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Default Extension="jpg" ContentType="image/jpg"/>
  <Default Extension="jpeg" ContentType="image/jpeg"/>
  <Default Extension="png" ContentType="image/png"/>
  <Default Extension="bmp" ContentType="image/bmp"/>
  <Default Extension="gif" ContentType="image/gif"/>
  <Default Extension="svg" ContentType="image/svg+xml"/>
  <Default Extension="emf" ContentType="image/x-emf"/>
  <Default Extension="wmf" ContentType="image/x-wmf"/>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comments1.xml" ContentType="application/vnd.openxmlformats-officedocument.spreadsheetml.comments+xml"/>
  <Override PartName="/xl/drawings/drawing1.xml" ContentType="application/vnd.openxmlformats-officedocument.drawing+xml"/>
  <Override PartName="/xl/worksheets/sheet3.xml" ContentType="application/vnd.openxmlformats-officedocument.spreadsheetml.worksheet+xml"/>
  <Override PartName="/xl/drawings/drawing2.xml" ContentType="application/vnd.openxmlformats-officedocument.drawing+xml"/>
  <Override PartName="/xl/worksheets/sheet4.xml" ContentType="application/vnd.openxmlformats-officedocument.spreadsheetml.worksheet+xml"/>
  <Override PartName="/xl/drawings/drawing3.xml" ContentType="application/vnd.openxmlformats-officedocument.drawing+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drawings/drawing4.xml" ContentType="application/vnd.openxmlformats-officedocument.drawing+xml"/>
  <Override PartName="/xl/worksheets/sheet46.xml" ContentType="application/vnd.openxmlformats-officedocument.spreadsheetml.worksheet+xml"/>
  <Override PartName="/xl/drawings/drawing5.xml" ContentType="application/vnd.openxmlformats-officedocument.drawing+xml"/>
  <Override PartName="/xl/worksheets/sheet47.xml" ContentType="application/vnd.openxmlformats-officedocument.spreadsheetml.worksheet+xml"/>
  <Override PartName="/xl/drawings/drawing6.xml" ContentType="application/vnd.openxmlformats-officedocument.drawing+xml"/>
  <Override PartName="/xl/worksheets/sheet48.xml" ContentType="application/vnd.openxmlformats-officedocument.spreadsheetml.worksheet+xml"/>
  <Override PartName="/xl/worksheets/sheet49.xml" ContentType="application/vnd.openxmlformats-officedocument.spreadsheetml.worksheet+xml"/>
  <Override PartName="/xl/comments2.xml" ContentType="application/vnd.openxmlformats-officedocument.spreadsheetml.comments+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comments3.xml" ContentType="application/vnd.openxmlformats-officedocument.spreadsheetml.comments+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sharedStrings.xml" ContentType="application/vnd.openxmlformats-officedocument.spreadsheetml.sharedString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bookViews>
    <workbookView tabRatio="894" activeTab="1"/>
  </bookViews>
  <sheets>
    <sheet name="Инструкция" sheetId="1" r:id="rId2"/>
    <sheet name="Титульный" sheetId="2" r:id="rId3"/>
    <sheet name="Список территорий" sheetId="3" r:id="rId4"/>
    <sheet name="Дифференциация" sheetId="4" state="hidden" r:id="rId5"/>
    <sheet name="Перечень тарифов" sheetId="5" r:id="rId6"/>
    <sheet name="Дифференциация тариф показатель" sheetId="6" state="hidden" r:id="rId7"/>
    <sheet name="Общая информация об организации" sheetId="7" state="hidden" r:id="rId8"/>
    <sheet name="Общая информация по ВД" sheetId="8" state="hidden" r:id="rId9"/>
    <sheet name="Виды объектов" sheetId="9" state="hidden" r:id="rId10"/>
    <sheet name="Сведения по территориям" sheetId="10" state="hidden" r:id="rId11"/>
    <sheet name="ТС. Т-ТЭ | &gt;=25МВт" sheetId="11" state="hidden" r:id="rId12"/>
    <sheet name="ТС. Т-ТЭ | ТСО" sheetId="12" state="hidden" r:id="rId13"/>
    <sheet name="ТС. Т-ТЭ | предел" sheetId="13" state="hidden" r:id="rId14"/>
    <sheet name="ТС. Т-ТЭ | индикат" sheetId="14" state="hidden" r:id="rId15"/>
    <sheet name="ТС. Резерв мощности" sheetId="15" state="hidden" r:id="rId16"/>
    <sheet name="ТС. Т-ТН" sheetId="16" state="hidden" r:id="rId17"/>
    <sheet name="ТС. Т-передача ТЭ" sheetId="17" state="hidden" r:id="rId18"/>
    <sheet name="ТС. Т-передача ТН" sheetId="18" state="hidden" r:id="rId19"/>
    <sheet name="ТС. Т-гор.вода" sheetId="19" state="hidden" r:id="rId20"/>
    <sheet name="ТС. Т-подкл" sheetId="20" state="hidden" r:id="rId21"/>
    <sheet name="ХВС. Т-пит" sheetId="21" state="hidden" r:id="rId22"/>
    <sheet name="ХВС. Т-тех" sheetId="22" state="hidden" r:id="rId23"/>
    <sheet name="ХВС. Т-транс" sheetId="23" state="hidden" r:id="rId24"/>
    <sheet name="ХВС. Т-подвоз" sheetId="24" state="hidden" r:id="rId25"/>
    <sheet name="ТС. Т-подкл(инд)" sheetId="25" state="hidden" r:id="rId26"/>
    <sheet name="ХВС. Т-подкл" sheetId="26" state="hidden" r:id="rId27"/>
    <sheet name="ВО. Т-во" sheetId="27" state="hidden" r:id="rId28"/>
    <sheet name="ВО. Т-транс" sheetId="28" state="hidden" r:id="rId29"/>
    <sheet name="ВО. Т-подкл" sheetId="29" state="hidden" r:id="rId30"/>
    <sheet name="ГВС. Т-гор.вода" sheetId="30" r:id="rId31"/>
    <sheet name="ГВС. Т-транс" sheetId="31" state="hidden" r:id="rId32"/>
    <sheet name="ГВС. Т-подкл" sheetId="32" state="hidden" r:id="rId33"/>
    <sheet name="Показатели ФХД" sheetId="33" state="hidden" r:id="rId34"/>
    <sheet name="Показатели ФХД &gt;20%" sheetId="34" state="hidden" r:id="rId35"/>
    <sheet name="ТКО. Показатели ФХД" sheetId="35" state="hidden" r:id="rId36"/>
    <sheet name="ТКО. Транс. Показатели ФХД" sheetId="36" state="hidden" r:id="rId37"/>
    <sheet name="Показатели КНЭ" sheetId="37" state="hidden" r:id="rId38"/>
    <sheet name="Ограничения" sheetId="38" state="hidden" r:id="rId39"/>
    <sheet name="ИП" sheetId="39" state="hidden" r:id="rId40"/>
    <sheet name="ИП. Детализация" sheetId="40" state="hidden" r:id="rId41"/>
    <sheet name="ИП. Финансовый план" sheetId="41" state="hidden" r:id="rId42"/>
    <sheet name="ИП. КНЭ" sheetId="42" state="hidden" r:id="rId43"/>
    <sheet name="ТП" sheetId="43" state="hidden" r:id="rId44"/>
    <sheet name="Договоры" sheetId="44" state="hidden" r:id="rId45"/>
    <sheet name="Порядок ТП" sheetId="45" state="hidden" r:id="rId46"/>
    <sheet name="Предложение" sheetId="46" state="hidden" r:id="rId47"/>
    <sheet name="Сведения о закупках" sheetId="47" state="hidden" r:id="rId48"/>
    <sheet name="Потребительские характеристики" sheetId="48" state="hidden" r:id="rId49"/>
    <sheet name="TEHSHEET" sheetId="49" state="hidden" r:id="rId50"/>
    <sheet name="Орган регулирования" sheetId="50" state="hidden" r:id="rId51"/>
    <sheet name="Перечень организаций" sheetId="51" state="hidden" r:id="rId52"/>
    <sheet name="Дела об установлении тарифов" sheetId="52" state="hidden" r:id="rId53"/>
    <sheet name="Дела об утверждении ПУЦ" sheetId="53" state="hidden" r:id="rId54"/>
    <sheet name="Привлечение к ответственности" sheetId="54" state="hidden" r:id="rId55"/>
    <sheet name="ЭД" sheetId="55" state="hidden" r:id="rId56"/>
    <sheet name="Сведения об изменении" sheetId="56" state="hidden" r:id="rId57"/>
    <sheet name="Комментарии" sheetId="57" r:id="rId58"/>
    <sheet name="Проверка" sheetId="58" state="hidden" r:id="rId59"/>
    <sheet name="et_union_hor" sheetId="59" state="hidden" r:id="rId60"/>
    <sheet name="DATA_FORMS" sheetId="60" state="hidden" r:id="rId61"/>
    <sheet name="DATA_NPA" sheetId="61" state="hidden" r:id="rId62"/>
    <sheet name="Т-ТЭ | потр" sheetId="62" state="hidden" r:id="rId63"/>
    <sheet name="modMainProcedures" sheetId="63" state="hidden" r:id="rId64"/>
    <sheet name="modB_FHD" sheetId="64" state="hidden" r:id="rId65"/>
    <sheet name="modB_FHD20" sheetId="65" state="hidden" r:id="rId66"/>
    <sheet name="modB_KNE" sheetId="66" state="hidden" r:id="rId67"/>
    <sheet name="modIP_MAIN" sheetId="67" state="hidden" r:id="rId68"/>
    <sheet name="modIP_QRE" sheetId="68" state="hidden" r:id="rId69"/>
    <sheet name="modIP_DETAILED" sheetId="69" state="hidden" r:id="rId70"/>
    <sheet name="et_union_vert" sheetId="70" state="hidden" r:id="rId71"/>
    <sheet name="Легенда" sheetId="71" state="hidden" r:id="rId72"/>
    <sheet name="modfrmListIP" sheetId="72" state="hidden" r:id="rId73"/>
    <sheet name="modfrmActivity" sheetId="73" state="hidden" r:id="rId74"/>
    <sheet name="REESTR_ORG" sheetId="74" state="hidden" r:id="rId75"/>
    <sheet name="REESTR_MO" sheetId="75" state="hidden" r:id="rId76"/>
    <sheet name="REESTR_IP" sheetId="76" state="hidden" r:id="rId77"/>
    <sheet name="REESTR_OBJ_INFR" sheetId="77" state="hidden" r:id="rId78"/>
    <sheet name="REESTR_DS" sheetId="78" state="hidden" r:id="rId79"/>
    <sheet name="REESTR_VT" sheetId="79" state="hidden" r:id="rId80"/>
    <sheet name="REESTR_VED" sheetId="80" state="hidden" r:id="rId81"/>
    <sheet name="REESTR_MO_FILTER" sheetId="81" state="hidden" r:id="rId82"/>
    <sheet name="REESTR_LINK" sheetId="82" state="hidden" r:id="rId83"/>
    <sheet name="modSheetMain" sheetId="83" state="hidden" r:id="rId84"/>
    <sheet name="modfrmReportMode" sheetId="84" state="hidden" r:id="rId85"/>
    <sheet name="modfrmReestrObj" sheetId="85" state="hidden" r:id="rId86"/>
    <sheet name="AllSheetsInThisWorkbook" sheetId="86" state="hidden" r:id="rId87"/>
    <sheet name="modInfo" sheetId="87" state="hidden" r:id="rId88"/>
  </sheets>
  <definedNames>
    <definedName name="anscount">1</definedName>
    <definedName name="B_FHD_CHECK_INDEX_1">'Показатели ФХД'!$L$66</definedName>
    <definedName name="B_FHD_CHECK_INDEX_2">'Показатели ФХД'!$L$68</definedName>
    <definedName name="B_FHD_COSTS_INDEX_1">'Показатели ФХД'!$H$65:$J$65</definedName>
    <definedName name="B_FHD_COSTS_INDEX_2">'Показатели ФХД'!$H$67:$J$67</definedName>
    <definedName name="B_FHD_DATA_TOP80_ACTIVITY">'Показатели ФХД'!$H$81:$J$81</definedName>
    <definedName name="B_FHD_diff_1">'Показатели ФХД'!$I$25:$I$27</definedName>
    <definedName name="B_FHD_FLAG_DIFFERENTIATION">'Показатели ФХД'!$H$24:$J$24</definedName>
    <definedName name="B_FHD_FLAG_INDEX_1">'Показатели ФХД'!$H$66:$J$66</definedName>
    <definedName name="B_FHD_FLAG_INDEX_2">'Показатели ФХД'!$H$68:$J$68</definedName>
    <definedName name="B_FHD_TKO_DATA_TOP80_ACTIVITY">'ТКО. Показатели ФХД'!$H$43:$J$43</definedName>
    <definedName name="B_FHD_TKO_diff_1">'ТКО. Показатели ФХД'!$I$10:$I$12</definedName>
    <definedName name="B_FHD_TKO_FLAG_DIFFERENTIATION">'ТКО. Показатели ФХД'!$H$9:$J$9</definedName>
    <definedName name="B_FHD_TKO_TRANS_DATA_TOP80_ACTIVITY">'ТКО. Транс. Показатели ФХД'!$H$35:$J$35</definedName>
    <definedName name="B_FHD_TKO_TRANS_diff_1">'ТКО. Транс. Показатели ФХД'!$I$10:$I$12</definedName>
    <definedName name="B_FHD_TKO_TRANS_FLAG_DIFFERENTIATION">'ТКО. Транс. Показатели ФХД'!$H$9:$J$9</definedName>
    <definedName name="B_FHD20_ADD_HL_2_COLUMN_MARKER">'Показатели ФХД &gt;20%'!$G$8</definedName>
    <definedName name="B_FHD20_ADD_HL_3_COLUMN_MARKER">'Показатели ФХД &gt;20%'!$J$8</definedName>
    <definedName name="B_FHD20_ADD_HL_4_COLUMN_MARKER">'Показатели ФХД &gt;20%'!$N$8</definedName>
    <definedName name="B_FHD20_ALL_DATA">'Показатели ФХД &gt;20%'!$D$13:$S$23</definedName>
    <definedName name="B_FHD20_COSTS_OPS_diff_1">'Показатели ФХД &gt;20%'!$Q$17</definedName>
    <definedName name="B_FHD20_COSTS_PH_diff_1">'Показатели ФХД &gt;20%'!$Q$20</definedName>
    <definedName name="B_FHD20_DEL_HL_2_COLUMN_MARKER">'Показатели ФХД &gt;20%'!$E$8</definedName>
    <definedName name="B_FHD20_DEL_HL_3_COLUMN_MARKER">'Показатели ФХД &gt;20%'!$H$8</definedName>
    <definedName name="B_FHD20_DEL_HL_4_COLUMN_MARKER">'Показатели ФХД &gt;20%'!$L$8</definedName>
    <definedName name="B_FHD20_diff_1">'Показатели ФХД &gt;20%'!$H$14:$R$16</definedName>
    <definedName name="B_FHD20_FLAG_FHD">'Показатели ФХД &gt;20%'!$V$11:$V$23</definedName>
    <definedName name="B_FHD20_NUMBER_COLUMN_MARKER">'Показатели ФХД &gt;20%'!$D$8</definedName>
    <definedName name="B_FHD20_PART_COLUMN_MARKER">'Показатели ФХД &gt;20%'!$R$8</definedName>
    <definedName name="B_KNE_diff_1">'Показатели КНЭ'!$I$7:$J$9</definedName>
    <definedName name="BLOCK_BALANCE_INDICATORS">Титульный!$50:$60</definedName>
    <definedName name="BLOCK_BALANCE_TKO_FLAG_TRANS">Титульный!$61:$62</definedName>
    <definedName name="BLOCK_CONNECTION_STATE">Титульный!$48:$49</definedName>
    <definedName name="BLOCK_DIFF_CS">Титульный!$40:$41</definedName>
    <definedName name="BLOCK_DIFFERENTIATION_NOT_TKO">Дифференциация!$J:$M</definedName>
    <definedName name="BLOCK_FIRST_TARIFF">Титульный!$20:$24</definedName>
    <definedName name="BLOCK_FIRST_TARIFF_OREG_PUBL">Титульный!$23:$24</definedName>
    <definedName name="BLOCK_IP_DETAILED_FACT_IST_FIN">'ИП. Детализация'!$AD:$AE</definedName>
    <definedName name="BLOCK_IP_DETAILED_FACT_PERIOD_EVENT">'ИП. Детализация'!$AI:$AK</definedName>
    <definedName name="BLOCK_MAIN_INFO_HEAT">'Общая информация об организации'!$19:$24</definedName>
    <definedName name="BLOCK_MAIN_INFO_NOT_TKO">'Общая информация об организации'!$46:$49</definedName>
    <definedName name="BLOCK_MAIN_INFO_OBJECT_COLDVSNA">'Общая информация по ВД'!$X:$Z</definedName>
    <definedName name="BLOCK_MAIN_INFO_OBJECT_COMM_COLDVSNA">'Общая информация по ВД'!$AG:$AG</definedName>
    <definedName name="BLOCK_MAIN_INFO_OBJECT_COMM_HEAT">'Общая информация по ВД'!$AE:$AE</definedName>
    <definedName name="BLOCK_MAIN_INFO_OBJECT_COMM_HOTVSNA">'Общая информация по ВД'!$AH:$AH</definedName>
    <definedName name="BLOCK_MAIN_INFO_OBJECT_COMM_VOTV">'Общая информация по ВД'!$AF:$AF</definedName>
    <definedName name="BLOCK_MAIN_INFO_OBJECT_HEAT">'Общая информация по ВД'!$H:$R</definedName>
    <definedName name="BLOCK_MAIN_INFO_OBJECT_HOTVSNA">'Общая информация по ВД'!$AB:$AC</definedName>
    <definedName name="BLOCK_MAIN_INFO_OBJECT_VOTV">'Общая информация по ВД'!$T:$V</definedName>
    <definedName name="BLOCK_NOT_ROIV_INDICATORS_1">Титульный!$37:$37</definedName>
    <definedName name="BLOCK_NOT_ROIV_INDICATORS_2">Титульный!$38:$39</definedName>
    <definedName name="BLOCK_NOT_ROIV_INDICATORS_3">Титульный!$63:$65</definedName>
    <definedName name="BLOCK_NOTE_P_TARIFF_A">'ТС. Т-ТЭ | &gt;=25МВт'!$58:$60</definedName>
    <definedName name="BLOCK_NOTE_P_TARIFF_A_COLDVSNA">'ХВС. Т-пит'!$54:$55</definedName>
    <definedName name="BLOCK_NOTE_P_TARIFF_A_HOTVSNA">'ГВС. Т-гор.вода'!$67:$68</definedName>
    <definedName name="BLOCK_NOTE_P_TARIFF_A_VOTV">'ВО. Т-во'!$54:$55</definedName>
    <definedName name="BLOCK_NOTE_P_TARIFF_B">'ТС. Т-ТЭ | ТСО'!$58:$60</definedName>
    <definedName name="BLOCK_NOTE_P_TARIFF_B_COLDVSNA">'ХВС. Т-тех'!$54:$55</definedName>
    <definedName name="BLOCK_NOTE_P_TARIFF_B_HOTVSNA">'ГВС. Т-транс'!$55:$56</definedName>
    <definedName name="BLOCK_NOTE_P_TARIFF_B_VOTV">'ВО. Т-транс'!$54:$55</definedName>
    <definedName name="BLOCK_NOTE_P_TARIFF_C">'ТС. Т-ТН'!$58:$61</definedName>
    <definedName name="BLOCK_NOTE_P_TARIFF_C_COLDVSNA">'ХВС. Т-транс'!$54:$55</definedName>
    <definedName name="BLOCK_NOTE_P_TARIFF_C_HOTVSNA">'ГВС. Т-подкл'!$64:$65</definedName>
    <definedName name="BLOCK_NOTE_P_TARIFF_C_VOTV">'ВО. Т-подкл'!$64:$65</definedName>
    <definedName name="BLOCK_NOTE_P_TARIFF_D">'ТС. Т-гор.вода'!$66:$68</definedName>
    <definedName name="BLOCK_NOTE_P_TARIFF_D_COLDVSNA">'ХВС. Т-подвоз'!$54:$55</definedName>
    <definedName name="BLOCK_NOTE_P_TARIFF_E_COLDVSNA">'ХВС. Т-подкл'!$64:$65</definedName>
    <definedName name="BLOCK_NOTE_P_TARIFF_E1">'ТС. Т-передача ТЭ'!$58:$61</definedName>
    <definedName name="BLOCK_NOTE_P_TARIFF_E2">'ТС. Т-передача ТН'!$58:$61</definedName>
    <definedName name="BLOCK_NOTE_P_TARIFF_F">'ТС. Резерв мощности'!$58:$60</definedName>
    <definedName name="BLOCK_NOTE_P_TARIFF_G">'ТС. Т-подкл'!$63:$65</definedName>
    <definedName name="BLOCK_NOTE_P_TARIFF_H">'ТС. Т-подкл(инд)'!$63:$65</definedName>
    <definedName name="BLOCK_NOTE_P_TARIFF_I">'ТС. Т-ТЭ | предел'!$58:$60</definedName>
    <definedName name="BLOCK_NOTE_P_TARIFF_I_1">'ТС. Т-ТЭ | индикат'!$58:$60</definedName>
    <definedName name="BLOCK_NOTE_R_TARIFF_A">'ТС. Т-ТЭ | &gt;=25МВт'!$61:$64</definedName>
    <definedName name="BLOCK_NOTE_R_TARIFF_A_COLDVSNA">'ХВС. Т-пит'!$56:$57</definedName>
    <definedName name="BLOCK_NOTE_R_TARIFF_A_HOTVSNA">'ГВС. Т-гор.вода'!$69:$70</definedName>
    <definedName name="BLOCK_NOTE_R_TARIFF_A_VOTV">'ВО. Т-во'!$56:$57</definedName>
    <definedName name="BLOCK_NOTE_R_TARIFF_B">'ТС. Т-ТЭ | ТСО'!$61:$64</definedName>
    <definedName name="BLOCK_NOTE_R_TARIFF_B_COLDVSNA">'ХВС. Т-тех'!$56:$57</definedName>
    <definedName name="BLOCK_NOTE_R_TARIFF_B_HOTVSNA">'ГВС. Т-транс'!$57:$58</definedName>
    <definedName name="BLOCK_NOTE_R_TARIFF_B_VOTV">'ВО. Т-транс'!$56:$57</definedName>
    <definedName name="BLOCK_NOTE_R_TARIFF_C">'ТС. Т-ТН'!$62:$65</definedName>
    <definedName name="BLOCK_NOTE_R_TARIFF_C_COLDVSNA">'ХВС. Т-транс'!$56:$57</definedName>
    <definedName name="BLOCK_NOTE_R_TARIFF_C_HOTVSNA">'ГВС. Т-подкл'!$66:$67</definedName>
    <definedName name="BLOCK_NOTE_R_TARIFF_C_VOTV">'ВО. Т-подкл'!$66:$67</definedName>
    <definedName name="BLOCK_NOTE_R_TARIFF_D">'ТС. Т-гор.вода'!$69:$71</definedName>
    <definedName name="BLOCK_NOTE_R_TARIFF_D_COLDVSNA">'ХВС. Т-подвоз'!$56:$57</definedName>
    <definedName name="BLOCK_NOTE_R_TARIFF_E_COLDVSNA">'ХВС. Т-подкл'!$66:$67</definedName>
    <definedName name="BLOCK_NOTE_R_TARIFF_E1">'ТС. Т-передача ТЭ'!$62:$65</definedName>
    <definedName name="BLOCK_NOTE_R_TARIFF_E2">'ТС. Т-передача ТН'!$62:$65</definedName>
    <definedName name="BLOCK_NOTE_R_TARIFF_F">'ТС. Резерв мощности'!$61:$64</definedName>
    <definedName name="BLOCK_NOTE_R_TARIFF_G">'ТС. Т-подкл'!$66:$68</definedName>
    <definedName name="BLOCK_NOTE_R_TARIFF_H">'ТС. Т-подкл(инд)'!$66:$68</definedName>
    <definedName name="BLOCK_NOTE_R_TARIFF_I">'ТС. Т-ТЭ | предел'!$61:$64</definedName>
    <definedName name="BLOCK_NOTE_R_TARIFF_I_1">'ТС. Т-ТЭ | индикат'!$61:$64</definedName>
    <definedName name="BLOCK_PERIOD_DATA">Титульный!$13:$13</definedName>
    <definedName name="BLOCK_PERIOD_QUARTER">Титульный!$15:$15</definedName>
    <definedName name="BLOCK_PERIOD_TWO_DATA">Титульный!$11:$12</definedName>
    <definedName name="BLOCK_PERIOD_YEAR">Титульный!$14:$14</definedName>
    <definedName name="BLOCK_POK_FHD_COLDVSNA_P1">'Показатели ФХД'!$82:$90</definedName>
    <definedName name="BLOCK_POK_FHD_COLDVSNA_P2">'Показатели ФХД'!$115:$119</definedName>
    <definedName name="BLOCK_POK_FHD_HEAT_P1">'Показатели ФХД'!$33:$40</definedName>
    <definedName name="BLOCK_POK_FHD_HEAT_P2">'Показатели ФХД'!$72:$72</definedName>
    <definedName name="BLOCK_POK_FHD_HEAT_P3">'Показатели ФХД'!$99:$111</definedName>
    <definedName name="BLOCK_POK_FHD_HEAT_P4">'Показатели ФХД'!$113:$113</definedName>
    <definedName name="BLOCK_POK_FHD_HEAT_P5">'Показатели ФХД'!$120:$130</definedName>
    <definedName name="BLOCK_POK_FHD_HEAT_P6">'Показатели ФХД'!$47:$47</definedName>
    <definedName name="BLOCK_POK_FHD_HOTVSNA_P1">'Показатели ФХД'!$41:$43</definedName>
    <definedName name="BLOCK_POK_FHD_HOTVSNA_P2">'Показатели ФХД'!$91:$95</definedName>
    <definedName name="BLOCK_POK_FHD_NOT_HEAT_P1">'Показатели ФХД'!$67:$68</definedName>
    <definedName name="BLOCK_POK_FHD_NOT_HEAT_P2">'Показатели ФХД'!$80:$80</definedName>
    <definedName name="BLOCK_POK_FHD_NOT_HOTVSNA">'Показатели ФХД'!$48:$48</definedName>
    <definedName name="BLOCK_POK_FHD_VOTV_P1">'Показатели ФХД'!$96:$98</definedName>
    <definedName name="BLOCK_POK_FHD_VSNA">'Показатели ФХД'!$114:$114</definedName>
    <definedName name="BLOCK_POK_FHD20_NOT_HEAT">'Показатели ФХД &gt;20%'!$20:$22</definedName>
    <definedName name="BLOCK_POK_KNE_COLDVSNA">'Показатели КНЭ'!$37:$63</definedName>
    <definedName name="BLOCK_POK_KNE_HEAT">'Показатели КНЭ'!$13:$35</definedName>
    <definedName name="BLOCK_POK_KNE_HOTVSNA">'Показатели КНЭ'!$65:$75</definedName>
    <definedName name="BLOCK_POK_KNE_VOTV">'Показатели КНЭ'!$77:$100</definedName>
    <definedName name="BLOCK_PRICE_INDICATORS_HEAT">Титульный!$42:$47</definedName>
    <definedName name="BLOCK_PRICE_IST_TE">'Перечень тарифов'!$S:$V</definedName>
    <definedName name="BLOCK_PRICE_REQUEST">Титульный!$20:$24</definedName>
    <definedName name="BLOCK_PT_COLDVSNA">'Перечень тарифов'!$74:$98</definedName>
    <definedName name="BLOCK_PT_HEAT">'Перечень тарифов'!$13:$72</definedName>
    <definedName name="BLOCK_PT_HOTVSNA">'Перечень тарифов'!$100:$114</definedName>
    <definedName name="BLOCK_PT_VOTV">'Перечень тарифов'!$116:$130</definedName>
    <definedName name="BLOCK_TABLE_P_TARIFF_A">'ТС. Т-ТЭ | &gt;=25МВт'!$28:$32</definedName>
    <definedName name="BLOCK_TABLE_P_TARIFF_A_COLDVSNA">'ХВС. Т-пит'!$26:$30</definedName>
    <definedName name="BLOCK_TABLE_P_TARIFF_A_HOTVSNA">'ГВС. Т-гор.вода'!$26:$30</definedName>
    <definedName name="BLOCK_TABLE_P_TARIFF_A_VOTV">'ВО. Т-во'!$26:$30</definedName>
    <definedName name="BLOCK_TABLE_P_TARIFF_B">'ТС. Т-ТЭ | ТСО'!$28:$32</definedName>
    <definedName name="BLOCK_TABLE_P_TARIFF_B_COLDVSNA">'ХВС. Т-тех'!$26:$30</definedName>
    <definedName name="BLOCK_TABLE_P_TARIFF_B_HOTVSNA">'ГВС. Т-транс'!$26:$30</definedName>
    <definedName name="BLOCK_TABLE_P_TARIFF_B_VOTV">'ВО. Т-транс'!$26:$30</definedName>
    <definedName name="BLOCK_TABLE_P_TARIFF_C">'ТС. Т-ТН'!$28:$32</definedName>
    <definedName name="BLOCK_TABLE_P_TARIFF_C_COLDVSNA">'ХВС. Т-транс'!$26:$30</definedName>
    <definedName name="BLOCK_TABLE_P_TARIFF_C_HOTVSNA">'ГВС. Т-подкл'!$30:$34</definedName>
    <definedName name="BLOCK_TABLE_P_TARIFF_C_VOTV">'ВО. Т-подкл'!$30:$34</definedName>
    <definedName name="BLOCK_TABLE_P_TARIFF_D">'ТС. Т-гор.вода'!$32:$36</definedName>
    <definedName name="BLOCK_TABLE_P_TARIFF_D_COLDVSNA">'ХВС. Т-подвоз'!$26:$30</definedName>
    <definedName name="BLOCK_TABLE_P_TARIFF_E_COLDVSNA">'ХВС. Т-подкл'!$30:$34</definedName>
    <definedName name="BLOCK_TABLE_P_TARIFF_E1">'ТС. Т-передача ТЭ'!$28:$32</definedName>
    <definedName name="BLOCK_TABLE_P_TARIFF_E2">'ТС. Т-передача ТН'!$28:$32</definedName>
    <definedName name="BLOCK_TABLE_P_TARIFF_F">'ТС. Резерв мощности'!$28:$32</definedName>
    <definedName name="BLOCK_TABLE_P_TARIFF_G">'ТС. Т-подкл'!$29:$33</definedName>
    <definedName name="BLOCK_TABLE_P_TARIFF_H">'ТС. Т-подкл(инд)'!$29:$33</definedName>
    <definedName name="BLOCK_TABLE_P_TARIFF_I">'ТС. Т-ТЭ | предел'!$28:$32</definedName>
    <definedName name="BLOCK_TABLE_P_TARIFF_I_1">'ТС. Т-ТЭ | индикат'!$28:$32</definedName>
    <definedName name="BLOCK_TABLE_R_TARIFF_A">'ТС. Т-ТЭ | &gt;=25МВт'!$33:$35</definedName>
    <definedName name="BLOCK_TABLE_R_TARIFF_A_COLDVSNA">'ХВС. Т-пит'!$31:$33</definedName>
    <definedName name="BLOCK_TABLE_R_TARIFF_A_HOTVSNA">'ГВС. Т-гор.вода'!$31:$33</definedName>
    <definedName name="BLOCK_TABLE_R_TARIFF_A_VOTV">'ВО. Т-во'!$31:$33</definedName>
    <definedName name="BLOCK_TABLE_R_TARIFF_B">'ТС. Т-ТЭ | ТСО'!$33:$35</definedName>
    <definedName name="BLOCK_TABLE_R_TARIFF_B_COLDVSNA">'ХВС. Т-тех'!$31:$33</definedName>
    <definedName name="BLOCK_TABLE_R_TARIFF_B_HOTVSNA">'ГВС. Т-транс'!$31:$33</definedName>
    <definedName name="BLOCK_TABLE_R_TARIFF_B_VOTV">'ВО. Т-транс'!$31:$33</definedName>
    <definedName name="BLOCK_TABLE_R_TARIFF_C">'ТС. Т-ТН'!$33:$35</definedName>
    <definedName name="BLOCK_TABLE_R_TARIFF_C_COLDVSNA">'ХВС. Т-транс'!$31:$33</definedName>
    <definedName name="BLOCK_TABLE_R_TARIFF_C_HOTVSNA">'ГВС. Т-подкл'!$35:$37</definedName>
    <definedName name="BLOCK_TABLE_R_TARIFF_C_VOTV">'ВО. Т-подкл'!$35:$37</definedName>
    <definedName name="BLOCK_TABLE_R_TARIFF_D">'ТС. Т-гор.вода'!$37:$39</definedName>
    <definedName name="BLOCK_TABLE_R_TARIFF_D_COLDVSNA">'ХВС. Т-подвоз'!$31:$33</definedName>
    <definedName name="BLOCK_TABLE_R_TARIFF_E_COLDVSNA">'ХВС. Т-подкл'!$35:$37</definedName>
    <definedName name="BLOCK_TABLE_R_TARIFF_E1">'ТС. Т-передача ТЭ'!$33:$35</definedName>
    <definedName name="BLOCK_TABLE_R_TARIFF_E2">'ТС. Т-передача ТН'!$33:$35</definedName>
    <definedName name="BLOCK_TABLE_R_TARIFF_F">'ТС. Резерв мощности'!$33:$35</definedName>
    <definedName name="BLOCK_TABLE_R_TARIFF_G">'ТС. Т-подкл'!$34:$36</definedName>
    <definedName name="BLOCK_TABLE_R_TARIFF_H">'ТС. Т-подкл(инд)'!$34:$36</definedName>
    <definedName name="BLOCK_TABLE_R_TARIFF_I">'ТС. Т-ТЭ | предел'!$33:$35</definedName>
    <definedName name="BLOCK_TABLE_R_TARIFF_I_1">'ТС. Т-ТЭ | индикат'!$33:$35</definedName>
    <definedName name="BLOCK_TEMPLATES_INVEST_TIT">Титульный!$59:$60</definedName>
    <definedName name="BLOCK_TERMS_HEAT_P1">Договоры!$19:$19</definedName>
    <definedName name="BLOCK_TERMS_NOT_TKO_P1">Договоры!$16:$18</definedName>
    <definedName name="BLOCK_TERMS_NOT_TKO_P2">Договоры!$20:$22</definedName>
    <definedName name="BLOCK_TERMS_TKO_TRANS">Договоры!$23:$26</definedName>
    <definedName name="BLOCK_TERRITORY_INFO">'Список территорий'!$7:$7</definedName>
    <definedName name="BLOCK_TITLE_ROIV_INFO">Титульный!$9:$9</definedName>
    <definedName name="BLOCK_WARM_ORG_TYPE">Титульный!$36:$36</definedName>
    <definedName name="checkCell_List01">'Список территорий'!$E$15:$I$15</definedName>
    <definedName name="checkCell_List07">'Сведения об изменении'!$D$11:$E$13</definedName>
    <definedName name="CLASS_TKO_LIST">TEHSHEET!$AZ$90:$AZ$94</definedName>
    <definedName name="code">Инструкция!$B$2</definedName>
    <definedName name="CodeTemplateList">TEHSHEET!$F$46:$F$53</definedName>
    <definedName name="COLDVSNA_FIN_SRC_LIST">TEHSHEET!$BJ$4:$BJ$34</definedName>
    <definedName name="COLDVSNA_FIN_SRC_VLD_LIST">TEHSHEET!$BJ$39:$BJ$60</definedName>
    <definedName name="COLDVSNA_IP_EVENT_CI_STAGE_LIST">TEHSHEET!$BJ$97:$BJ$100</definedName>
    <definedName name="COLDVSNA_IP_EVENT_GROUP_LIST">TEHSHEET!$BJ$69:$BJ$76</definedName>
    <definedName name="COLDVSNA_IP_EVENT_SUBGROUP_1_LIST">TEHSHEET!$BJ$80:$BJ$83</definedName>
    <definedName name="COLDVSNA_IP_EVENT_SUBGROUP_3_LIST">TEHSHEET!$BJ$87:$BJ$88</definedName>
    <definedName name="COLDVSNA_IP_EVENT_SUBGROUP_5_LIST">TEHSHEET!$BJ$92:$BJ$93</definedName>
    <definedName name="COLDVSNA_IP_EVENT_TYPE_LIST">TEHSHEET!$BJ$108</definedName>
    <definedName name="COLDVSNA_PT_VED_ID">TEHSHEET!$BT$19:$BT$25</definedName>
    <definedName name="COLDVSNA_PT_VED_NAME">TEHSHEET!$BU$19:$BU$25</definedName>
    <definedName name="COLDVSNA_PT_VED_NAME_LIST">TEHSHEET!$BT$19:$BU$25</definedName>
    <definedName name="COLDVSNA_TARIFF_A_COLDVSNA_ADD_HL_COLUMN_MARKER">'ХВС. Т-пит'!$T$34</definedName>
    <definedName name="COLDVSNA_TARIFF_A_COLDVSNA_DEL_HL_DATA_DIFF_COLUMN_MARKER">'ХВС. Т-пит'!$R$34</definedName>
    <definedName name="COLDVSNA_TARIFF_A_COLDVSNA_DEL_HL_FLAG_DIFF_COLUMN_MARKER">'ХВС. Т-пит'!$P$34</definedName>
    <definedName name="COLDVSNA_TARIFF_A_COLDVSNA_DEL_HL_GC_COLUMN_MARKER">'ХВС. Т-пит'!$Q$34</definedName>
    <definedName name="COLDVSNA_TARIFF_A_COLDVSNA_DELETE_PERIOD_ROW_MARKER">'ХВС. Т-пит'!$O$35</definedName>
    <definedName name="COLDVSNA_TARIFF_A_COLDVSNA_FLAG_BLOCK_COLUMN_MARKER">'ХВС. Т-пит'!$L$36</definedName>
    <definedName name="COLDVSNA_TARIFF_A_COLDVSNA_FLAG_BLOCK_ROW_MARKER">'ХВС. Т-пит'!$O$20</definedName>
    <definedName name="COLDVSNA_TARIFF_A_COLDVSNA_NUM_CS_COLUMN_MARKER">'ХВС. Т-пит'!$G$36</definedName>
    <definedName name="COLDVSNA_TARIFF_A_COLDVSNA_NUM_DATA_DIFF_COLUMN_MARKER">'ХВС. Т-пит'!$K$36</definedName>
    <definedName name="COLDVSNA_TARIFF_A_COLDVSNA_NUM_FLAG_DIFF_COLUMN_MARKER">'ХВС. Т-пит'!$I$36</definedName>
    <definedName name="COLDVSNA_TARIFF_A_COLDVSNA_NUM_GC_COLUMN_MARKER">'ХВС. Т-пит'!$J$36</definedName>
    <definedName name="COLDVSNA_TARIFF_A_COLDVSNA_NUM_NTAR_COLUMN_MARKER">'ХВС. Т-пит'!$E$36</definedName>
    <definedName name="COLDVSNA_TARIFF_A_COLDVSNA_NUM_TER_COLUMN_MARKER">'ХВС. Т-пит'!$F$36</definedName>
    <definedName name="COLDVSNA_TARIFF_B_COLDVSNA_ADD_HL_COLUMN_MARKER">'ХВС. Т-тех'!$T$34</definedName>
    <definedName name="COLDVSNA_TARIFF_B_COLDVSNA_DEL_HL_DATA_DIFF_COLUMN_MARKER">'ХВС. Т-тех'!$R$34</definedName>
    <definedName name="COLDVSNA_TARIFF_B_COLDVSNA_DEL_HL_FLAG_DIFF_COLUMN_MARKER">'ХВС. Т-тех'!$P$34</definedName>
    <definedName name="COLDVSNA_TARIFF_B_COLDVSNA_DEL_HL_GC_COLUMN_MARKER">'ХВС. Т-тех'!$Q$34</definedName>
    <definedName name="COLDVSNA_TARIFF_B_COLDVSNA_DELETE_PERIOD_ROW_MARKER">'ХВС. Т-тех'!$O$35</definedName>
    <definedName name="COLDVSNA_TARIFF_B_COLDVSNA_FLAG_BLOCK_COLUMN_MARKER">'ХВС. Т-тех'!$L$36</definedName>
    <definedName name="COLDVSNA_TARIFF_B_COLDVSNA_FLAG_BLOCK_ROW_MARKER">'ХВС. Т-тех'!$O$20</definedName>
    <definedName name="COLDVSNA_TARIFF_B_COLDVSNA_NUM_CS_COLUMN_MARKER">'ХВС. Т-тех'!$G$36</definedName>
    <definedName name="COLDVSNA_TARIFF_B_COLDVSNA_NUM_DATA_DIFF_COLUMN_MARKER">'ХВС. Т-тех'!$K$36</definedName>
    <definedName name="COLDVSNA_TARIFF_B_COLDVSNA_NUM_FLAG_DIFF_COLUMN_MARKER">'ХВС. Т-тех'!$I$36</definedName>
    <definedName name="COLDVSNA_TARIFF_B_COLDVSNA_NUM_GC_COLUMN_MARKER">'ХВС. Т-тех'!$J$36</definedName>
    <definedName name="COLDVSNA_TARIFF_B_COLDVSNA_NUM_NTAR_COLUMN_MARKER">'ХВС. Т-тех'!$E$36</definedName>
    <definedName name="COLDVSNA_TARIFF_B_COLDVSNA_NUM_TER_COLUMN_MARKER">'ХВС. Т-тех'!$F$36</definedName>
    <definedName name="COLDVSNA_TARIFF_C_COLDVSNA_ADD_HL_COLUMN_MARKER">'ХВС. Т-транс'!$T$34</definedName>
    <definedName name="COLDVSNA_TARIFF_C_COLDVSNA_DEL_HL_DATA_DIFF_COLUMN_MARKER">'ХВС. Т-транс'!$R$34</definedName>
    <definedName name="COLDVSNA_TARIFF_C_COLDVSNA_DEL_HL_FLAG_DIFF_COLUMN_MARKER">'ХВС. Т-транс'!$P$34</definedName>
    <definedName name="COLDVSNA_TARIFF_C_COLDVSNA_DEL_HL_GC_COLUMN_MARKER">'ХВС. Т-транс'!$Q$34</definedName>
    <definedName name="COLDVSNA_TARIFF_C_COLDVSNA_DELETE_PERIOD_ROW_MARKER">'ХВС. Т-транс'!$O$35</definedName>
    <definedName name="COLDVSNA_TARIFF_C_COLDVSNA_FLAG_BLOCK_COLUMN_MARKER">'ХВС. Т-транс'!$L$36</definedName>
    <definedName name="COLDVSNA_TARIFF_C_COLDVSNA_FLAG_BLOCK_ROW_MARKER">'ХВС. Т-транс'!$O$20</definedName>
    <definedName name="COLDVSNA_TARIFF_C_COLDVSNA_NUM_CS_COLUMN_MARKER">'ХВС. Т-транс'!$G$36</definedName>
    <definedName name="COLDVSNA_TARIFF_C_COLDVSNA_NUM_DATA_DIFF_COLUMN_MARKER">'ХВС. Т-транс'!$K$36</definedName>
    <definedName name="COLDVSNA_TARIFF_C_COLDVSNA_NUM_FLAG_DIFF_COLUMN_MARKER">'ХВС. Т-транс'!$I$36</definedName>
    <definedName name="COLDVSNA_TARIFF_C_COLDVSNA_NUM_GC_COLUMN_MARKER">'ХВС. Т-транс'!$J$36</definedName>
    <definedName name="COLDVSNA_TARIFF_C_COLDVSNA_NUM_NTAR_COLUMN_MARKER">'ХВС. Т-транс'!$E$36</definedName>
    <definedName name="COLDVSNA_TARIFF_C_COLDVSNA_NUM_TER_COLUMN_MARKER">'ХВС. Т-транс'!$F$36</definedName>
    <definedName name="COLDVSNA_TARIFF_D_COLDVSNA_ADD_HL_COLUMN_MARKER">'ХВС. Т-подвоз'!$T$34</definedName>
    <definedName name="COLDVSNA_TARIFF_D_COLDVSNA_DEL_HL_DATA_DIFF_COLUMN_MARKER">'ХВС. Т-подвоз'!$R$34</definedName>
    <definedName name="COLDVSNA_TARIFF_D_COLDVSNA_DEL_HL_FLAG_DIFF_COLUMN_MARKER">'ХВС. Т-подвоз'!$P$34</definedName>
    <definedName name="COLDVSNA_TARIFF_D_COLDVSNA_DEL_HL_GC_COLUMN_MARKER">'ХВС. Т-подвоз'!$Q$34</definedName>
    <definedName name="COLDVSNA_TARIFF_D_COLDVSNA_DELETE_PERIOD_ROW_MARKER">'ХВС. Т-подвоз'!$O$35</definedName>
    <definedName name="COLDVSNA_TARIFF_D_COLDVSNA_FLAG_BLOCK_COLUMN_MARKER">'ХВС. Т-подвоз'!$L$36</definedName>
    <definedName name="COLDVSNA_TARIFF_D_COLDVSNA_FLAG_BLOCK_ROW_MARKER">'ХВС. Т-подвоз'!$O$20</definedName>
    <definedName name="COLDVSNA_TARIFF_D_COLDVSNA_NUM_CS_COLUMN_MARKER">'ХВС. Т-подвоз'!$G$36</definedName>
    <definedName name="COLDVSNA_TARIFF_D_COLDVSNA_NUM_DATA_DIFF_COLUMN_MARKER">'ХВС. Т-подвоз'!$K$36</definedName>
    <definedName name="COLDVSNA_TARIFF_D_COLDVSNA_NUM_FLAG_DIFF_COLUMN_MARKER">'ХВС. Т-подвоз'!$I$36</definedName>
    <definedName name="COLDVSNA_TARIFF_D_COLDVSNA_NUM_GC_COLUMN_MARKER">'ХВС. Т-подвоз'!$J$36</definedName>
    <definedName name="COLDVSNA_TARIFF_D_COLDVSNA_NUM_NTAR_COLUMN_MARKER">'ХВС. Т-подвоз'!$E$36</definedName>
    <definedName name="COLDVSNA_TARIFF_D_COLDVSNA_NUM_TER_COLUMN_MARKER">'ХВС. Т-подвоз'!$F$36</definedName>
    <definedName name="COLDVSNA_TARIFF_E_COLDVSNA_ADD_HL_COLUMN_MARKER">'ХВС. Т-подкл'!$T$38</definedName>
    <definedName name="COLDVSNA_TARIFF_E_COLDVSNA_ADD_HL_DIAMETERS_COLUMN_MARKER">'ХВС. Т-подкл'!$AK$38</definedName>
    <definedName name="COLDVSNA_TARIFF_E_COLDVSNA_ADD_HL_LEN_COLUMN_MARKER">'ХВС. Т-подкл'!$AO$38</definedName>
    <definedName name="COLDVSNA_TARIFF_E_COLDVSNA_ADD_HL_LOAD_COLUMN_MARKER">'ХВС. Т-подкл'!$AG$38</definedName>
    <definedName name="COLDVSNA_TARIFF_E_COLDVSNA_ADD_HL_NETS_COLUMN_MARKER">'ХВС. Т-подкл'!$AS$38</definedName>
    <definedName name="COLDVSNA_TARIFF_E_COLDVSNA_DEL_HL_DATA_DIFF_COLUMN_MARKER">'ХВС. Т-подкл'!$R$38</definedName>
    <definedName name="COLDVSNA_TARIFF_E_COLDVSNA_DEL_HL_DIAMETERS_COLUMN_MARKER">'ХВС. Т-подкл'!$AI$38</definedName>
    <definedName name="COLDVSNA_TARIFF_E_COLDVSNA_DEL_HL_FLAG_DIFF_COLUMN_MARKER">'ХВС. Т-подкл'!$P$38</definedName>
    <definedName name="COLDVSNA_TARIFF_E_COLDVSNA_DEL_HL_GC_COLUMN_MARKER">'ХВС. Т-подкл'!$Q$38</definedName>
    <definedName name="COLDVSNA_TARIFF_E_COLDVSNA_DEL_HL_LEN_COLUMN_MARKER">'ХВС. Т-подкл'!$AM$38</definedName>
    <definedName name="COLDVSNA_TARIFF_E_COLDVSNA_DEL_HL_LOAD_COLUMN_MARKER">'ХВС. Т-подкл'!$AE$38</definedName>
    <definedName name="COLDVSNA_TARIFF_E_COLDVSNA_DEL_HL_NETS_COLUMN_MARKER">'ХВС. Т-подкл'!$AQ$38</definedName>
    <definedName name="COLDVSNA_TARIFF_E_COLDVSNA_DELETE_PERIOD_ROW_MARKER">'ХВС. Т-подкл'!$O$39</definedName>
    <definedName name="COLDVSNA_TARIFF_E_COLDVSNA_FLAG_BLOCK_COLUMN_MARKER">'ХВС. Т-подкл'!$L$44</definedName>
    <definedName name="COLDVSNA_TARIFF_E_COLDVSNA_FLAG_BLOCK_ROW_MARKER">'ХВС. Т-подкл'!$O$24</definedName>
    <definedName name="COLDVSNA_TARIFF_E_COLDVSNA_NUM_CS_COLUMN_MARKER">'ХВС. Т-подкл'!$G$44</definedName>
    <definedName name="COLDVSNA_TARIFF_E_COLDVSNA_NUM_DATA_DIFF_COLUMN_MARKER">'ХВС. Т-подкл'!$K$44</definedName>
    <definedName name="COLDVSNA_TARIFF_E_COLDVSNA_NUM_DIAMETERS_COLUMN_MARKER">'ХВС. Т-подкл'!$AJ$38</definedName>
    <definedName name="COLDVSNA_TARIFF_E_COLDVSNA_NUM_FLAG_DIFF_COLUMN_MARKER">'ХВС. Т-подкл'!$I$44</definedName>
    <definedName name="COLDVSNA_TARIFF_E_COLDVSNA_NUM_GC_COLUMN_MARKER">'ХВС. Т-подкл'!$J$44</definedName>
    <definedName name="COLDVSNA_TARIFF_E_COLDVSNA_NUM_LEN_COLUMN_MARKER">'ХВС. Т-подкл'!$AN$38</definedName>
    <definedName name="COLDVSNA_TARIFF_E_COLDVSNA_NUM_LOAD_COLUMN_MARKER">'ХВС. Т-подкл'!$AF$38</definedName>
    <definedName name="COLDVSNA_TARIFF_E_COLDVSNA_NUM_NETS_COLUMN_MARKER">'ХВС. Т-подкл'!$AR$38</definedName>
    <definedName name="COLDVSNA_TARIFF_E_COLDVSNA_NUM_NTAR_COLUMN_MARKER">'ХВС. Т-подкл'!$E$44</definedName>
    <definedName name="COLDVSNA_TARIFF_E_COLDVSNA_NUM_TER_COLUMN_MARKER">'ХВС. Т-подкл'!$F$44</definedName>
    <definedName name="cross_without_borders">TEHSHEET!$J$27</definedName>
    <definedName name="CS_ID">TEHSHEET!$E$63</definedName>
    <definedName name="CURRENT_DATE">TEHSHEET!$H$29</definedName>
    <definedName name="DATA_URL">TEHSHEET!$H$32</definedName>
    <definedName name="DESCRIPTION_TERRITORY">REESTR_DS!$B$2</definedName>
    <definedName name="DIFFERENTIATION_AREA">Дифференциация!$I$12:$I$16</definedName>
    <definedName name="DIFFERENTIATION_AREA_ID">Дифференциация!$U$11:$U$17</definedName>
    <definedName name="DIFFERENTIATION_CheckC">Дифференциация!$D$12:$M$16</definedName>
    <definedName name="DIFFERENTIATION_fieldMarker">Дифференциация!$W$12:$W$16</definedName>
    <definedName name="DIFFERENTIATION_ID">TEHSHEET!$E$57</definedName>
    <definedName name="DIFFERENTIATION_ID_DIFF">Дифференциация!$O$12:$O$16</definedName>
    <definedName name="DIFFERENTIATION_SYSTEM">Дифференциация!$M$12:$M$16</definedName>
    <definedName name="DIFFERENTIATION_TARIFF_AREA_ID">'Перечень тарифов'!$Z$12:$Z$132</definedName>
    <definedName name="DIFFERENTIATION_TARIFF_VD_ID">'Перечень тарифов'!$AB$12:$AB$132</definedName>
    <definedName name="DIFFERENTIATION_TARIFF_VTAR_ID">'Перечень тарифов'!$AA$12:$AA$132</definedName>
    <definedName name="DIFFERENTIATION_TKO_ADD_HL_CLASS_TKO_COLUMN_MARKER">'Дифференциация тариф показатель'!$AH$7</definedName>
    <definedName name="DIFFERENTIATION_TKO_ADD_HL_NTAR_COLUMN_MARKER">'Дифференциация тариф показатель'!$J$7</definedName>
    <definedName name="DIFFERENTIATION_TKO_ADD_HL_TER_COLUMN_MARKER">'Дифференциация тариф показатель'!$V$7</definedName>
    <definedName name="DIFFERENTIATION_TKO_ADD_HL_TO_COLUMN_MARKER">'Дифференциация тариф показатель'!$P$7</definedName>
    <definedName name="DIFFERENTIATION_TKO_ADD_HL_TYPE_TKO_COLUMN_MARKER">'Дифференциация тариф показатель'!$AB$7</definedName>
    <definedName name="DIFFERENTIATION_TKO_ADD_HL_VTAR_COLUMN_MARKER">'Дифференциация тариф показатель'!$F$7</definedName>
    <definedName name="DIFFERENTIATION_TKO_AREA_ID">'Дифференциация тариф показатель'!$AK$11:$AK$41</definedName>
    <definedName name="DIFFERENTIATION_TKO_DEL_HL_CLASS_TKO_COLUMN_MARKER">'Дифференциация тариф показатель'!$AF$7</definedName>
    <definedName name="DIFFERENTIATION_TKO_DEL_HL_NTAR_COLUMN_MARKER">'Дифференциация тариф показатель'!$H$7</definedName>
    <definedName name="DIFFERENTIATION_TKO_DEL_HL_TER_COLUMN_MARKER">'Дифференциация тариф показатель'!$T$7</definedName>
    <definedName name="DIFFERENTIATION_TKO_DEL_HL_TO_COLUMN_MARKER">'Дифференциация тариф показатель'!$N$7</definedName>
    <definedName name="DIFFERENTIATION_TKO_DEL_HL_TYPE_TKO_COLUMN_MARKER">'Дифференциация тариф показатель'!$Z$7</definedName>
    <definedName name="DIFFERENTIATION_TKO_FLAG_DIFF_CLASS_TKO_ETC_COLUMN_MARKER">'Дифференциация тариф показатель'!$AE$7</definedName>
    <definedName name="DIFFERENTIATION_TKO_FLAG_DIFF_CLASS_TKO_TARIFF_COLUMN_MARKER">'Дифференциация тариф показатель'!$AD$7</definedName>
    <definedName name="DIFFERENTIATION_TKO_FLAG_DIFF_TER_ETC_COLUMN_MARKER">'Дифференциация тариф показатель'!$S$7</definedName>
    <definedName name="DIFFERENTIATION_TKO_FLAG_DIFF_TER_TARIFF_COLUMN_MARKER">'Дифференциация тариф показатель'!$R$7</definedName>
    <definedName name="DIFFERENTIATION_TKO_FLAG_DIFF_TO_ETC_COLUMN_MARKER">'Дифференциация тариф показатель'!$M$7</definedName>
    <definedName name="DIFFERENTIATION_TKO_FLAG_DIFF_TO_TARIFF_COLUMN_MARKER">'Дифференциация тариф показатель'!$L$7</definedName>
    <definedName name="DIFFERENTIATION_TKO_FLAG_DIFF_TYPE_TKO_ETC_COLUMN_MARKER">'Дифференциация тариф показатель'!$Y$7</definedName>
    <definedName name="DIFFERENTIATION_TKO_FLAG_DIFF_TYPE_TKO_TARIFF_COLUMN_MARKER">'Дифференциация тариф показатель'!$X$7</definedName>
    <definedName name="DIFFERENTIATION_TKO_FLAG_VTAR_COLUMN_MARKER">'Дифференциация тариф показатель'!$G$7</definedName>
    <definedName name="DIFFERENTIATION_TKO_TER_ID">'Дифференциация тариф показатель'!$AL$11:$AL$41</definedName>
    <definedName name="DIFFERENTIATION_UNMERGE_AREA">Дифференциация!$Q$12:$Q$16</definedName>
    <definedName name="DIFFERENTIATION_UNMERGE_SYSTEM">Дифференциация!$R$12:$R$16</definedName>
    <definedName name="DIFFERENTIATION_UNMERGE_VD">Дифференциация!$P$12:$P$16</definedName>
    <definedName name="DIFFERENTIATION_VD">Дифференциация!$E$12:$E$16</definedName>
    <definedName name="DIFFERENTIATION_VD_ID">Дифференциация!$V$11:$V$17</definedName>
    <definedName name="ED_DATE">ЭД!$G$12:$G$13</definedName>
    <definedName name="ED_DATE_PARKING">ЭД!$I$5</definedName>
    <definedName name="ED_LINK">ЭД!$H$12:$H$13</definedName>
    <definedName name="EndDateList">TEHSHEET!$H$46:$H$53</definedName>
    <definedName name="et_B_FHD20_1_HEAT">et_union_hor!$127:$135</definedName>
    <definedName name="et_B_FHD20_1_NOT_HEAT">et_union_hor!$115:$123</definedName>
    <definedName name="et_B_FHD20_2">et_union_hor!$139:$142</definedName>
    <definedName name="et_B_FHD20_3">et_union_hor!$147:$148</definedName>
    <definedName name="et_B_FHD20_4">et_union_hor!$150:$150</definedName>
    <definedName name="et_CHANGE_INFO">et_union_hor!$4:$4</definedName>
    <definedName name="et_COLDVSNA_TARIFF_A_COLDVSNA_CS">'ХВС. Т-пит'!$4:$11</definedName>
    <definedName name="et_COLDVSNA_TARIFF_A_COLDVSNA_DATA_DIFF">'ХВС. Т-пит'!$7:$8</definedName>
    <definedName name="et_COLDVSNA_TARIFF_A_COLDVSNA_FLAG_DIFF">'ХВС. Т-пит'!$5:$10</definedName>
    <definedName name="et_COLDVSNA_TARIFF_A_COLDVSNA_GC">'ХВС. Т-пит'!$6:$9</definedName>
    <definedName name="et_COLDVSNA_TARIFF_A_COLDVSNA_NTAR">'ХВС. Т-пит'!$2:$13</definedName>
    <definedName name="et_COLDVSNA_TARIFF_A_COLDVSNA_PERIOD_COLOR">'ХВС. Т-пит'!$AC$7:$AI$8</definedName>
    <definedName name="et_COLDVSNA_TARIFF_A_COLDVSNA_PERIOD_NOT_COLOR">'ХВС. Т-пит'!$AC$15:$AI$16</definedName>
    <definedName name="et_COLDVSNA_TARIFF_A_COLDVSNA_TER">'ХВС. Т-пит'!$3:$12</definedName>
    <definedName name="et_COLDVSNA_TARIFF_A_COLDVSNA_TN">'ХВС. Т-пит'!$7:$8</definedName>
    <definedName name="et_COLDVSNA_TARIFF_B_COLDVSNA_CS">'ХВС. Т-тех'!$4:$11</definedName>
    <definedName name="et_COLDVSNA_TARIFF_B_COLDVSNA_DATA_DIFF">'ХВС. Т-тех'!$7:$8</definedName>
    <definedName name="et_COLDVSNA_TARIFF_B_COLDVSNA_FLAG_DIFF">'ХВС. Т-тех'!$5:$10</definedName>
    <definedName name="et_COLDVSNA_TARIFF_B_COLDVSNA_GC">'ХВС. Т-тех'!$6:$9</definedName>
    <definedName name="et_COLDVSNA_TARIFF_B_COLDVSNA_NTAR">'ХВС. Т-тех'!$2:$13</definedName>
    <definedName name="et_COLDVSNA_TARIFF_B_COLDVSNA_PERIOD_COLOR">'ХВС. Т-тех'!$AC$7:$AI$8</definedName>
    <definedName name="et_COLDVSNA_TARIFF_B_COLDVSNA_PERIOD_NOT_COLOR">'ХВС. Т-тех'!$AC$15:$AI$16</definedName>
    <definedName name="et_COLDVSNA_TARIFF_B_COLDVSNA_TER">'ХВС. Т-тех'!$3:$12</definedName>
    <definedName name="et_COLDVSNA_TARIFF_C_COLDVSNA_CS">'ХВС. Т-транс'!$4:$11</definedName>
    <definedName name="et_COLDVSNA_TARIFF_C_COLDVSNA_DATA_DIFF">'ХВС. Т-транс'!$7:$8</definedName>
    <definedName name="et_COLDVSNA_TARIFF_C_COLDVSNA_FLAG_DIFF">'ХВС. Т-транс'!$5:$10</definedName>
    <definedName name="et_COLDVSNA_TARIFF_C_COLDVSNA_GC">'ХВС. Т-транс'!$6:$9</definedName>
    <definedName name="et_COLDVSNA_TARIFF_C_COLDVSNA_NTAR">'ХВС. Т-транс'!$2:$13</definedName>
    <definedName name="et_COLDVSNA_TARIFF_C_COLDVSNA_PERIOD_COLOR">'ХВС. Т-транс'!$AC$7:$AI$8</definedName>
    <definedName name="et_COLDVSNA_TARIFF_C_COLDVSNA_PERIOD_NOT_COLOR">'ХВС. Т-транс'!$AC$15:$AI$16</definedName>
    <definedName name="et_COLDVSNA_TARIFF_C_COLDVSNA_TER">'ХВС. Т-транс'!$3:$12</definedName>
    <definedName name="et_COLDVSNA_TARIFF_D_COLDVSNA_CS">'ХВС. Т-подвоз'!$4:$11</definedName>
    <definedName name="et_COLDVSNA_TARIFF_D_COLDVSNA_DATA_DIFF">'ХВС. Т-подвоз'!$7:$8</definedName>
    <definedName name="et_COLDVSNA_TARIFF_D_COLDVSNA_FLAG_DIFF">'ХВС. Т-подвоз'!$5:$10</definedName>
    <definedName name="et_COLDVSNA_TARIFF_D_COLDVSNA_GC">'ХВС. Т-подвоз'!$6:$9</definedName>
    <definedName name="et_COLDVSNA_TARIFF_D_COLDVSNA_NTAR">'ХВС. Т-подвоз'!$2:$13</definedName>
    <definedName name="et_COLDVSNA_TARIFF_D_COLDVSNA_PERIOD_COLOR">'ХВС. Т-подвоз'!$AC$7:$AI$8</definedName>
    <definedName name="et_COLDVSNA_TARIFF_D_COLDVSNA_PERIOD_NOT_COLOR">'ХВС. Т-подвоз'!$AC$15:$AI$16</definedName>
    <definedName name="et_COLDVSNA_TARIFF_D_COLDVSNA_TER">'ХВС. Т-подвоз'!$3:$12</definedName>
    <definedName name="et_COLDVSNA_TARIFF_E_COLDVSNA_CS">'ХВС. Т-подкл'!$4:$16</definedName>
    <definedName name="et_COLDVSNA_TARIFF_E_COLDVSNA_DATA_DIFF">'ХВС. Т-подкл'!$8:$12</definedName>
    <definedName name="et_COLDVSNA_TARIFF_E_COLDVSNA_DIAMETERS">'ХВС. Т-подкл'!$8:$10</definedName>
    <definedName name="et_COLDVSNA_TARIFF_E_COLDVSNA_FLAG_DIFF">'ХВС. Т-подкл'!$6:$14</definedName>
    <definedName name="et_COLDVSNA_TARIFF_E_COLDVSNA_GC">'ХВС. Т-подкл'!$7:$13</definedName>
    <definedName name="et_COLDVSNA_TARIFF_E_COLDVSNA_LEN">'ХВС. Т-подкл'!$8:$9</definedName>
    <definedName name="et_COLDVSNA_TARIFF_E_COLDVSNA_LOAD">'ХВС. Т-подкл'!$8:$11</definedName>
    <definedName name="et_COLDVSNA_TARIFF_E_COLDVSNA_NETS">'ХВС. Т-подкл'!$8:$8</definedName>
    <definedName name="et_COLDVSNA_TARIFF_E_COLDVSNA_NTAR">'ХВС. Т-подкл'!$2:$18</definedName>
    <definedName name="et_COLDVSNA_TARIFF_E_COLDVSNA_PERIOD_COLOR">'ХВС. Т-подкл'!$AT$8:$BA$8</definedName>
    <definedName name="et_COLDVSNA_TARIFF_E_COLDVSNA_PERIOD_NOT_COLOR">'ХВС. Т-подкл'!$AT$20:$BA$20</definedName>
    <definedName name="et_COLDVSNA_TARIFF_E_COLDVSNA_TER">'ХВС. Т-подкл'!$3:$17</definedName>
    <definedName name="et_Comm">et_union_hor!$8:$8</definedName>
    <definedName name="et_DIFFERENTIATION_AREA">et_union_hor!$29:$30</definedName>
    <definedName name="et_DIFFERENTIATION_SYSTEM">et_union_hor!$34:$34</definedName>
    <definedName name="et_DIFFERENTIATION_TARIFF_COLOR">et_union_hor!$H$154:$W$158</definedName>
    <definedName name="et_DIFFERENTIATION_TARIFF_CS">et_union_hor!$169:$170</definedName>
    <definedName name="et_DIFFERENTIATION_TARIFF_IST_TE">et_union_hor!$172:$172</definedName>
    <definedName name="et_DIFFERENTIATION_TARIFF_NOT_COLOR">et_union_hor!$H$194:$W$198</definedName>
    <definedName name="et_DIFFERENTIATION_TARIFF_NOT_HEAT_COLOR">et_union_hor!$H$176:$W$180</definedName>
    <definedName name="et_DIFFERENTIATION_TARIFF_NOT_HEAT_CS">et_union_hor!$191:$192</definedName>
    <definedName name="et_DIFFERENTIATION_TARIFF_NOT_HEAT_NTAR">et_union_hor!$182:$185</definedName>
    <definedName name="et_DIFFERENTIATION_TARIFF_NOT_HEAT_TER">et_union_hor!$187:$189</definedName>
    <definedName name="et_DIFFERENTIATION_TARIFF_NOT_HEAT_VTAR">et_union_hor!$176:$180</definedName>
    <definedName name="et_DIFFERENTIATION_TARIFF_NTAR">et_union_hor!$160:$163</definedName>
    <definedName name="et_DIFFERENTIATION_TARIFF_TER">et_union_hor!$165:$167</definedName>
    <definedName name="et_DIFFERENTIATION_TARIFF_VTAR">et_union_hor!$154:$158</definedName>
    <definedName name="et_DIFFERENTIATION_TKO_CLASS_TKO">et_union_hor!$202:$202</definedName>
    <definedName name="et_DIFFERENTIATION_TKO_COLOR">et_union_hor!$H$202:$AI$207</definedName>
    <definedName name="et_DIFFERENTIATION_TKO_NOT_COLOR">et_union_hor!$H$209:$AI$214</definedName>
    <definedName name="et_DIFFERENTIATION_TKO_NTAR">et_union_hor!$202:$206</definedName>
    <definedName name="et_DIFFERENTIATION_TKO_TER">et_union_hor!$202:$204</definedName>
    <definedName name="et_DIFFERENTIATION_TKO_TO">et_union_hor!$202:$205</definedName>
    <definedName name="et_DIFFERENTIATION_TKO_TYPE_TKO">et_union_hor!$202:$203</definedName>
    <definedName name="et_DIFFERENTIATION_TKO_VTAR">et_union_hor!$202:$207</definedName>
    <definedName name="et_DIFFERENTIATION_VD">et_union_hor!$23:$25</definedName>
    <definedName name="et_ED">et_union_hor!$64:$64</definedName>
    <definedName name="et_HEAT_TARIFF_A_CS">'ТС. Т-ТЭ | &gt;=25МВт'!$4:$13</definedName>
    <definedName name="et_HEAT_TARIFF_A_GC">'ТС. Т-ТЭ | &gt;=25МВт'!$7:$10</definedName>
    <definedName name="et_HEAT_TARIFF_A_IST_TE">'ТС. Т-ТЭ | &gt;=25МВт'!$5:$12</definedName>
    <definedName name="et_HEAT_TARIFF_A_NTAR">'ТС. Т-ТЭ | &gt;=25МВт'!$2:$15</definedName>
    <definedName name="et_HEAT_TARIFF_A_PERIOD_COLOR">'ТС. Т-ТЭ | &gt;=25МВт'!$AD$8:$AK$9</definedName>
    <definedName name="et_HEAT_TARIFF_A_PERIOD_NOT_COLOR">'ТС. Т-ТЭ | &gt;=25МВт'!$AD$17:$AK$18</definedName>
    <definedName name="et_HEAT_TARIFF_A_SCHEME">'ТС. Т-ТЭ | &gt;=25МВт'!$6:$11</definedName>
    <definedName name="et_HEAT_TARIFF_A_TER">'ТС. Т-ТЭ | &gt;=25МВт'!$3:$14</definedName>
    <definedName name="et_HEAT_TARIFF_A_TN">'ТС. Т-ТЭ | &gt;=25МВт'!$8:$9</definedName>
    <definedName name="et_HEAT_TARIFF_B_CS">'ТС. Т-ТЭ | ТСО'!$4:$13</definedName>
    <definedName name="et_HEAT_TARIFF_B_GC">'ТС. Т-ТЭ | ТСО'!$7:$10</definedName>
    <definedName name="et_HEAT_TARIFF_B_IST_TE">'ТС. Т-ТЭ | ТСО'!$5:$12</definedName>
    <definedName name="et_HEAT_TARIFF_B_NTAR">'ТС. Т-ТЭ | ТСО'!$2:$15</definedName>
    <definedName name="et_HEAT_TARIFF_B_PERIOD_COLOR">'ТС. Т-ТЭ | ТСО'!$AD$8:$AK$9</definedName>
    <definedName name="et_HEAT_TARIFF_B_PERIOD_NOT_COLOR">'ТС. Т-ТЭ | ТСО'!$AD$17:$AK$18</definedName>
    <definedName name="et_HEAT_TARIFF_B_SCHEME">'ТС. Т-ТЭ | ТСО'!$6:$11</definedName>
    <definedName name="et_HEAT_TARIFF_B_TER">'ТС. Т-ТЭ | ТСО'!$3:$14</definedName>
    <definedName name="et_HEAT_TARIFF_B_TN">'ТС. Т-ТЭ | ТСО'!$8:$9</definedName>
    <definedName name="et_HEAT_TARIFF_C_CS">'ТС. Т-ТН'!$4:$13</definedName>
    <definedName name="et_HEAT_TARIFF_C_GC">'ТС. Т-ТН'!$7:$10</definedName>
    <definedName name="et_HEAT_TARIFF_C_IST_TE">'ТС. Т-ТН'!$5:$12</definedName>
    <definedName name="et_HEAT_TARIFF_C_NTAR">'ТС. Т-ТН'!$2:$15</definedName>
    <definedName name="et_HEAT_TARIFF_C_PERIOD_COLOR">'ТС. Т-ТН'!$AD$8:$AK$9</definedName>
    <definedName name="et_HEAT_TARIFF_C_PERIOD_NOT_COLOR">'ТС. Т-ТН'!$AD$17:$AK$18</definedName>
    <definedName name="et_HEAT_TARIFF_C_SCHEME">'ТС. Т-ТН'!$6:$11</definedName>
    <definedName name="et_HEAT_TARIFF_C_TER">'ТС. Т-ТН'!$3:$14</definedName>
    <definedName name="et_HEAT_TARIFF_C_TN">'ТС. Т-ТН'!$8:$9</definedName>
    <definedName name="et_HEAT_TARIFF_D_CONS">'ТС. Т-гор.вода'!$9:$10</definedName>
    <definedName name="et_HEAT_TARIFF_D_CS">'ТС. Т-гор.вода'!$4:$15</definedName>
    <definedName name="et_HEAT_TARIFF_D_GC">'ТС. Т-гор.вода'!$7:$12</definedName>
    <definedName name="et_HEAT_TARIFF_D_IST_TE">'ТС. Т-гор.вода'!$5:$14</definedName>
    <definedName name="et_HEAT_TARIFF_D_NTAR">'ТС. Т-гор.вода'!$2:$17</definedName>
    <definedName name="et_HEAT_TARIFF_D_PERIOD_COLOR">'ТС. Т-гор.вода'!$AG$8:$AO$10</definedName>
    <definedName name="et_HEAT_TARIFF_D_PERIOD_NOT_COLOR">'ТС. Т-гор.вода'!$AG$19:$AO$22</definedName>
    <definedName name="et_HEAT_TARIFF_D_SCHEME">'ТС. Т-гор.вода'!$6:$13</definedName>
    <definedName name="et_HEAT_TARIFF_D_TER">'ТС. Т-гор.вода'!$3:$16</definedName>
    <definedName name="et_HEAT_TARIFF_D_TN">'ТС. Т-гор.вода'!$8:$11</definedName>
    <definedName name="et_HEAT_TARIFF_E1_CS">'ТС. Т-передача ТЭ'!$4:$13</definedName>
    <definedName name="et_HEAT_TARIFF_E1_GC">'ТС. Т-передача ТЭ'!$7:$10</definedName>
    <definedName name="et_HEAT_TARIFF_E1_IST_TE">'ТС. Т-передача ТЭ'!$5:$12</definedName>
    <definedName name="et_HEAT_TARIFF_E1_NTAR">'ТС. Т-передача ТЭ'!$2:$15</definedName>
    <definedName name="et_HEAT_TARIFF_E1_PERIOD_COLOR">'ТС. Т-передача ТЭ'!$AD$8:$AK$9</definedName>
    <definedName name="et_HEAT_TARIFF_E1_PERIOD_NOT_COLOR">'ТС. Т-передача ТЭ'!$AD$17:$AK$18</definedName>
    <definedName name="et_HEAT_TARIFF_E1_SCHEME">'ТС. Т-передача ТЭ'!$6:$11</definedName>
    <definedName name="et_HEAT_TARIFF_E1_TER">'ТС. Т-передача ТЭ'!$3:$14</definedName>
    <definedName name="et_HEAT_TARIFF_E1_TN">'ТС. Т-передача ТЭ'!$8:$9</definedName>
    <definedName name="et_HEAT_TARIFF_E2_CS">'ТС. Т-передача ТН'!$4:$13</definedName>
    <definedName name="et_HEAT_TARIFF_E2_GC">'ТС. Т-передача ТН'!$7:$10</definedName>
    <definedName name="et_HEAT_TARIFF_E2_IST_TE">'ТС. Т-передача ТН'!$5:$12</definedName>
    <definedName name="et_HEAT_TARIFF_E2_NTAR">'ТС. Т-передача ТН'!$2:$15</definedName>
    <definedName name="et_HEAT_TARIFF_E2_PERIOD_COLOR">'ТС. Т-передача ТН'!$AD$8:$AK$9</definedName>
    <definedName name="et_HEAT_TARIFF_E2_PERIOD_NOT_COLOR">'ТС. Т-передача ТН'!$AD$17:$AK$18</definedName>
    <definedName name="et_HEAT_TARIFF_E2_SCHEME">'ТС. Т-передача ТН'!$6:$11</definedName>
    <definedName name="et_HEAT_TARIFF_E2_TER">'ТС. Т-передача ТН'!$3:$14</definedName>
    <definedName name="et_HEAT_TARIFF_E2_TN">'ТС. Т-передача ТН'!$8:$9</definedName>
    <definedName name="et_HEAT_TARIFF_F_CS">'ТС. Резерв мощности'!$4:$13</definedName>
    <definedName name="et_HEAT_TARIFF_F_GC">'ТС. Резерв мощности'!$7:$10</definedName>
    <definedName name="et_HEAT_TARIFF_F_IST_TE">'ТС. Резерв мощности'!$5:$12</definedName>
    <definedName name="et_HEAT_TARIFF_F_NTAR">'ТС. Резерв мощности'!$2:$15</definedName>
    <definedName name="et_HEAT_TARIFF_F_PERIOD_COLOR">'ТС. Резерв мощности'!$AD$8:$AK$9</definedName>
    <definedName name="et_HEAT_TARIFF_F_PERIOD_NOT_COLOR">'ТС. Резерв мощности'!$AD$17:$AK$18</definedName>
    <definedName name="et_HEAT_TARIFF_F_SCHEME">'ТС. Резерв мощности'!$6:$11</definedName>
    <definedName name="et_HEAT_TARIFF_F_TER">'ТС. Резерв мощности'!$3:$14</definedName>
    <definedName name="et_HEAT_TARIFF_F_TN">'ТС. Резерв мощности'!$8:$9</definedName>
    <definedName name="et_HEAT_TARIFF_G_CS">'ТС. Т-подкл'!$4:$15</definedName>
    <definedName name="et_HEAT_TARIFF_G_DIAMETERS">'ТС. Т-подкл'!$8:$8</definedName>
    <definedName name="et_HEAT_TARIFF_G_GC">'ТС. Т-подкл'!$7:$12</definedName>
    <definedName name="et_HEAT_TARIFF_G_IST_TE">'ТС. Т-подкл'!$5:$14</definedName>
    <definedName name="et_HEAT_TARIFF_G_LOAD">'ТС. Т-подкл'!$8:$10</definedName>
    <definedName name="et_HEAT_TARIFF_G_NETS">'ТС. Т-подкл'!$8:$9</definedName>
    <definedName name="et_HEAT_TARIFF_G_NTAR">'ТС. Т-подкл'!$2:$17</definedName>
    <definedName name="et_HEAT_TARIFF_G_PERIOD_COLOR">'ТС. Т-подкл'!$AN$8:$AS$8</definedName>
    <definedName name="et_HEAT_TARIFF_G_PERIOD_NOT_COLOR">'ТС. Т-подкл'!$AN$19:$AS$19</definedName>
    <definedName name="et_HEAT_TARIFF_G_SCHEME">'ТС. Т-подкл'!$6:$13</definedName>
    <definedName name="et_HEAT_TARIFF_G_TER">'ТС. Т-подкл'!$3:$16</definedName>
    <definedName name="et_HEAT_TARIFF_G_TN">'ТС. Т-подкл'!$8:$11</definedName>
    <definedName name="et_HEAT_TARIFF_H_CS">'ТС. Т-подкл(инд)'!$4:$15</definedName>
    <definedName name="et_HEAT_TARIFF_H_DIAMETERS">'ТС. Т-подкл(инд)'!$8:$8</definedName>
    <definedName name="et_HEAT_TARIFF_H_GC">'ТС. Т-подкл(инд)'!$7:$12</definedName>
    <definedName name="et_HEAT_TARIFF_H_IST_TE">'ТС. Т-подкл(инд)'!$5:$14</definedName>
    <definedName name="et_HEAT_TARIFF_H_LOAD">'ТС. Т-подкл(инд)'!$8:$10</definedName>
    <definedName name="et_HEAT_TARIFF_H_NETS">'ТС. Т-подкл(инд)'!$8:$9</definedName>
    <definedName name="et_HEAT_TARIFF_H_NTAR">'ТС. Т-подкл(инд)'!$2:$17</definedName>
    <definedName name="et_HEAT_TARIFF_H_PERIOD_COLOR">'ТС. Т-подкл(инд)'!$AD$8:$AI$8</definedName>
    <definedName name="et_HEAT_TARIFF_H_PERIOD_NOT_COLOR">'ТС. Т-подкл(инд)'!$AD$19:$AI$19</definedName>
    <definedName name="et_HEAT_TARIFF_H_SCHEME">'ТС. Т-подкл(инд)'!$6:$13</definedName>
    <definedName name="et_HEAT_TARIFF_H_TER">'ТС. Т-подкл(инд)'!$3:$16</definedName>
    <definedName name="et_HEAT_TARIFF_H_TN">'ТС. Т-подкл(инд)'!$8:$11</definedName>
    <definedName name="et_HEAT_TARIFF_I_1_CS">'ТС. Т-ТЭ | индикат'!$4:$13</definedName>
    <definedName name="et_HEAT_TARIFF_I_1_GC">'ТС. Т-ТЭ | индикат'!$7:$10</definedName>
    <definedName name="et_HEAT_TARIFF_I_1_IST_TE">'ТС. Т-ТЭ | индикат'!$5:$12</definedName>
    <definedName name="et_HEAT_TARIFF_I_1_NTAR">'ТС. Т-ТЭ | индикат'!$2:$15</definedName>
    <definedName name="et_HEAT_TARIFF_I_1_PERIOD_COLOR">'ТС. Т-ТЭ | индикат'!$AD$8:$AK$9</definedName>
    <definedName name="et_HEAT_TARIFF_I_1_PERIOD_NOT_COLOR">'ТС. Т-ТЭ | индикат'!$AD$17:$AK$18</definedName>
    <definedName name="et_HEAT_TARIFF_I_1_SCHEME">'ТС. Т-ТЭ | индикат'!$6:$11</definedName>
    <definedName name="et_HEAT_TARIFF_I_1_TER">'ТС. Т-ТЭ | индикат'!$3:$14</definedName>
    <definedName name="et_HEAT_TARIFF_I_1_TN">'ТС. Т-ТЭ | индикат'!$8:$9</definedName>
    <definedName name="et_HEAT_TARIFF_I_CS">'ТС. Т-ТЭ | предел'!$4:$13</definedName>
    <definedName name="et_HEAT_TARIFF_I_GC">'ТС. Т-ТЭ | предел'!$7:$10</definedName>
    <definedName name="et_HEAT_TARIFF_I_IST_TE">'ТС. Т-ТЭ | предел'!$5:$12</definedName>
    <definedName name="et_HEAT_TARIFF_I_NTAR">'ТС. Т-ТЭ | предел'!$2:$15</definedName>
    <definedName name="et_HEAT_TARIFF_I_PERIOD_COLOR">'ТС. Т-ТЭ | предел'!$AD$8:$AK$9</definedName>
    <definedName name="et_HEAT_TARIFF_I_PERIOD_NOT_COLOR">'ТС. Т-ТЭ | предел'!$AD$17:$AK$18</definedName>
    <definedName name="et_HEAT_TARIFF_I_SCHEME">'ТС. Т-ТЭ | предел'!$6:$11</definedName>
    <definedName name="et_HEAT_TARIFF_I_TER">'ТС. Т-ТЭ | предел'!$3:$14</definedName>
    <definedName name="et_HEAT_TARIFF_I_TN">'ТС. Т-ТЭ | предел'!$8:$9</definedName>
    <definedName name="et_hor_B_FHD_1">'Показатели ФХД'!$2:$7</definedName>
    <definedName name="et_hor_B_FHD_2">'Показатели ФХД'!$9:$9</definedName>
    <definedName name="et_hor_B_FHD_3">'Показатели ФХД'!$11:$11</definedName>
    <definedName name="et_hor_B_FHD_4">'Показатели ФХД'!$13:$13</definedName>
    <definedName name="et_hor_B_FHD_5">'Показатели ФХД'!$15:$15</definedName>
    <definedName name="et_hor_B_FHD_6">'Показатели ФХД'!$17:$17</definedName>
    <definedName name="et_hor_B_FHD_TKO_2">'ТКО. Показатели ФХД'!$2:$2</definedName>
    <definedName name="et_hor_B_FHD_TKO_TRANS_2">'ТКО. Транс. Показатели ФХД'!$2:$2</definedName>
    <definedName name="et_hor_Q_LIMIT_1">Ограничения!$3:$4</definedName>
    <definedName name="et_hor_Q_LIMIT_2">Ограничения!$6:$7</definedName>
    <definedName name="et_hor_Q_LIMIT_3">Ограничения!$9:$11</definedName>
    <definedName name="et_hor_Q_LIMIT_4">Ограничения!$13:$14</definedName>
    <definedName name="et_hor_Q_TP_1">ТП!$2:$2</definedName>
    <definedName name="et_HOTVSNA_TARIFF_A_HOTVSNA_CS">'ГВС. Т-гор.вода'!$4:$11</definedName>
    <definedName name="et_HOTVSNA_TARIFF_A_HOTVSNA_DATA_DIFF">'ГВС. Т-гор.вода'!$7:$8</definedName>
    <definedName name="et_HOTVSNA_TARIFF_A_HOTVSNA_FLAG_DIFF">'ГВС. Т-гор.вода'!$5:$10</definedName>
    <definedName name="et_HOTVSNA_TARIFF_A_HOTVSNA_GC">'ГВС. Т-гор.вода'!$6:$9</definedName>
    <definedName name="et_HOTVSNA_TARIFF_A_HOTVSNA_NTAR">'ГВС. Т-гор.вода'!$2:$13</definedName>
    <definedName name="et_HOTVSNA_TARIFF_A_HOTVSNA_PERIOD_COLOR">'ГВС. Т-гор.вода'!$AG$7:$AQ$8</definedName>
    <definedName name="et_HOTVSNA_TARIFF_A_HOTVSNA_PERIOD_NOT_COLOR">'ГВС. Т-гор.вода'!$AG$15:$AQ$16</definedName>
    <definedName name="et_HOTVSNA_TARIFF_A_HOTVSNA_TER">'ГВС. Т-гор.вода'!$3:$12</definedName>
    <definedName name="et_HOTVSNA_TARIFF_A_HOTVSNA_TN">'ГВС. Т-гор.вода'!$7:$8</definedName>
    <definedName name="et_HOTVSNA_TARIFF_B_HOTVSNA_CS">'ГВС. Т-транс'!$4:$11</definedName>
    <definedName name="et_HOTVSNA_TARIFF_B_HOTVSNA_DATA_DIFF">'ГВС. Т-транс'!$7:$8</definedName>
    <definedName name="et_HOTVSNA_TARIFF_B_HOTVSNA_FLAG_DIFF">'ГВС. Т-транс'!$5:$10</definedName>
    <definedName name="et_HOTVSNA_TARIFF_B_HOTVSNA_GC">'ГВС. Т-транс'!$6:$9</definedName>
    <definedName name="et_HOTVSNA_TARIFF_B_HOTVSNA_NTAR">'ГВС. Т-транс'!$2:$13</definedName>
    <definedName name="et_HOTVSNA_TARIFF_B_HOTVSNA_PERIOD_COLOR">'ГВС. Т-транс'!$AG$7:$AQ$8</definedName>
    <definedName name="et_HOTVSNA_TARIFF_B_HOTVSNA_PERIOD_NOT_COLOR">'ГВС. Т-транс'!$AG$15:$AQ$16</definedName>
    <definedName name="et_HOTVSNA_TARIFF_B_HOTVSNA_TER">'ГВС. Т-транс'!$3:$12</definedName>
    <definedName name="et_HOTVSNA_TARIFF_B_HOTVSNA_TN">'ГВС. Т-транс'!$7:$8</definedName>
    <definedName name="et_HOTVSNA_TARIFF_C_HOTVSNA_CS">'ГВС. Т-подкл'!$4:$16</definedName>
    <definedName name="et_HOTVSNA_TARIFF_C_HOTVSNA_DATA_DIFF">'ГВС. Т-подкл'!$8:$12</definedName>
    <definedName name="et_HOTVSNA_TARIFF_C_HOTVSNA_DIAMETERS">'ГВС. Т-подкл'!$8:$10</definedName>
    <definedName name="et_HOTVSNA_TARIFF_C_HOTVSNA_FLAG_DIFF">'ГВС. Т-подкл'!$6:$14</definedName>
    <definedName name="et_HOTVSNA_TARIFF_C_HOTVSNA_GC">'ГВС. Т-подкл'!$7:$13</definedName>
    <definedName name="et_HOTVSNA_TARIFF_C_HOTVSNA_LEN">'ГВС. Т-подкл'!$8:$9</definedName>
    <definedName name="et_HOTVSNA_TARIFF_C_HOTVSNA_LOAD">'ГВС. Т-подкл'!$8:$11</definedName>
    <definedName name="et_HOTVSNA_TARIFF_C_HOTVSNA_NETS">'ГВС. Т-подкл'!$8:$8</definedName>
    <definedName name="et_HOTVSNA_TARIFF_C_HOTVSNA_NTAR">'ГВС. Т-подкл'!$2:$18</definedName>
    <definedName name="et_HOTVSNA_TARIFF_C_HOTVSNA_PERIOD_COLOR">'ГВС. Т-подкл'!$AT$8:$BA$8</definedName>
    <definedName name="et_HOTVSNA_TARIFF_C_HOTVSNA_PERIOD_NOT_COLOR">'ГВС. Т-подкл'!$AT$20:$BA$20</definedName>
    <definedName name="et_HOTVSNA_TARIFF_C_HOTVSNA_TER">'ГВС. Т-подкл'!$3:$17</definedName>
    <definedName name="et_IP_DETAILED">et_union_hor!$81:$87</definedName>
    <definedName name="et_IP_DETAILED_EVENT">et_union_hor!$101:$105</definedName>
    <definedName name="et_IP_DETAILED_IST_FIN">et_union_hor!$97:$97</definedName>
    <definedName name="et_IP_DETAILED_OBJECT">et_union_hor!$91:$93</definedName>
    <definedName name="et_IP_DETAILED_YEAR">et_union_hor!$82:$87</definedName>
    <definedName name="et_IP_MAIN">et_union_hor!$72:$73</definedName>
    <definedName name="et_IP_MAIN_PROPERTY">et_union_hor!$77:$77</definedName>
    <definedName name="et_IP_QRE">et_union_hor!$109:$111</definedName>
    <definedName name="et_IP_QRE_CLAIM">et_union_hor!$110:$110</definedName>
    <definedName name="et_List02">et_union_hor!$154:$158</definedName>
    <definedName name="et_List02_1_wd">et_union_hor!$194:$197</definedName>
    <definedName name="et_List02_2_wd">et_union_hor!$194:$196</definedName>
    <definedName name="et_List02_3_wd">et_union_hor!$194:$195</definedName>
    <definedName name="et_List02_4_wd">et_union_hor!$194:$194</definedName>
    <definedName name="et_List02_changeColor_1">et_union_hor!$J$154:$J$157</definedName>
    <definedName name="et_List02_changeColor_1_wd">et_union_hor!$J$194:$J$197</definedName>
    <definedName name="et_List02_changeColor_2">et_union_hor!$N$154:$N$156</definedName>
    <definedName name="et_List02_changeColor_2_wd">et_union_hor!$N$194:$N$196</definedName>
    <definedName name="et_List02_changeColor_3">et_union_hor!$R$154:$R$155</definedName>
    <definedName name="et_List02_changeColor_3_wd">et_union_hor!$R$194:$R$195</definedName>
    <definedName name="et_List02_changeColor_4">et_union_hor!$V$154</definedName>
    <definedName name="et_List02_changeColor_4_wd">et_union_hor!$V$194</definedName>
    <definedName name="et_List02_wd">et_union_hor!$194:$198</definedName>
    <definedName name="et_OFFER_p1">Предложение!$8:$8</definedName>
    <definedName name="et_OFFER_p1_0">Предложение!$2:$3</definedName>
    <definedName name="et_OFFER_p2">Предложение!$10:$10</definedName>
    <definedName name="et_OFFER_p2_0">Предложение!$5:$6</definedName>
    <definedName name="et_ORG_INFO_1">et_union_hor!$39:$39</definedName>
    <definedName name="et_ORG_INFO_2">et_union_hor!$43:$43</definedName>
    <definedName name="et_ORG_INFO_3">et_union_hor!$47:$51</definedName>
    <definedName name="et_ORG_TERRITORY_MO">et_union_hor!$56:$56</definedName>
    <definedName name="et_ORG_TERRITORY_MO_FLAG_INTERNET">et_union_hor!$J$56</definedName>
    <definedName name="et_ORG_TERRITORY_MO_LINK">et_union_hor!$K$56</definedName>
    <definedName name="et_ORG_VD">et_union_hor!$60:$60</definedName>
    <definedName name="et_ORG_VD_COLDVSNA">et_union_hor!$X$60:$Z$60</definedName>
    <definedName name="et_ORG_VD_FIRST_SYSTEM">et_union_hor!$E$60</definedName>
    <definedName name="et_ORG_VD_HEAT">et_union_hor!$H$60:$R$60</definedName>
    <definedName name="et_ORG_VD_HOTVSNA">et_union_hor!$AB$60:$AC$60</definedName>
    <definedName name="et_ORG_VD_TKO_ACTIVITY">'Виды объектов'!$2:$3</definedName>
    <definedName name="et_ORG_VD_TKO_TYPE_OBJECT">'Виды объектов'!$2:$2</definedName>
    <definedName name="et_ORG_VD_VOTV">et_union_hor!$T$60:$V$60</definedName>
    <definedName name="et_P_PROCEDURE_TC_1">'Порядок ТП'!$2:$2</definedName>
    <definedName name="et_P_PROCEDURE_TC_2">'Порядок ТП'!$4:$4</definedName>
    <definedName name="et_P_PROCEDURE_TC_3">'Порядок ТП'!$6:$6</definedName>
    <definedName name="et_P_PROCEDURE_TC_4">'Порядок ТП'!$8:$8</definedName>
    <definedName name="et_P_PROCEDURE_TC_5">'Порядок ТП'!$10:$10</definedName>
    <definedName name="et_P_T_TERMS">et_union_hor!$68:$68</definedName>
    <definedName name="et_Q_TP_DIFFERENTIATION">ТП!$G:$G</definedName>
    <definedName name="et_QRE">et_union_hor!$109:$111</definedName>
    <definedName name="et_QRE_CLAIM">et_union_hor!$110:$110</definedName>
    <definedName name="et_R_B_Purch">'Сведения о закупках'!$2:$2</definedName>
    <definedName name="et_ROIV_CASE_case">'Дела об установлении тарифов'!$2:$2</definedName>
    <definedName name="et_ROIV_CASE_PUC_case">'Дела об утверждении ПУЦ'!$2:$2</definedName>
    <definedName name="et_ROIV_INFO_phone">'Орган регулирования'!$2:$2</definedName>
    <definedName name="et_ROIV_ORG_org">'Перечень организаций'!$2:$2</definedName>
    <definedName name="et_ROIV_OTV_DL">'Привлечение к ответственности'!$5:$5</definedName>
    <definedName name="et_ROIV_OTV_org">'Привлечение к ответственности'!$2:$3</definedName>
    <definedName name="et_TERMS">et_union_hor!$68:$68</definedName>
    <definedName name="et_TERRITORY_AREA">et_union_hor!$13:$15</definedName>
    <definedName name="et_TERRITORY_MO">et_union_hor!$19:$19</definedName>
    <definedName name="et_ver_B_FHD_DIFFERENTIATION">'Показатели ФХД'!$H:$H</definedName>
    <definedName name="et_ver_B_FHD_TKO_DIFFERENTIATION">'ТКО. Показатели ФХД'!$H:$H</definedName>
    <definedName name="et_ver_B_FHD_TKO_TRANS_DIFFERENTIATION">'ТКО. Транс. Показатели ФХД'!$H:$H</definedName>
    <definedName name="et_ver_B_KNE_DIFFERENTIATION">'Показатели КНЭ'!$G:$H</definedName>
    <definedName name="et_ver_COLDVSNA_TARIFF_A_COLDVSNA">'ХВС. Т-пит'!$V:$AB</definedName>
    <definedName name="et_ver_COLDVSNA_TARIFF_B_COLDVSNA">'ХВС. Т-тех'!$V:$AB</definedName>
    <definedName name="et_ver_COLDVSNA_TARIFF_C_COLDVSNA">'ХВС. Т-транс'!$V:$AB</definedName>
    <definedName name="et_ver_COLDVSNA_TARIFF_D_COLDVSNA">'ХВС. Т-подвоз'!$V:$AB</definedName>
    <definedName name="et_ver_COLDVSNA_TARIFF_E_COLDVSNA">'ХВС. Т-подкл'!$V:$AC</definedName>
    <definedName name="et_ver_HEAT_TARIFF_A">'ТС. Т-ТЭ | &gt;=25МВт'!$V:$AC</definedName>
    <definedName name="et_ver_HEAT_TARIFF_B">'ТС. Т-ТЭ | ТСО'!$V:$AC</definedName>
    <definedName name="et_ver_HEAT_TARIFF_C">'ТС. Т-ТН'!$V:$AC</definedName>
    <definedName name="et_ver_HEAT_TARIFF_D">'ТС. Т-гор.вода'!$X:$AF</definedName>
    <definedName name="et_ver_HEAT_TARIFF_E1">'ТС. Т-передача ТЭ'!$V:$AC</definedName>
    <definedName name="et_ver_HEAT_TARIFF_E2">'ТС. Т-передача ТН'!$V:$AC</definedName>
    <definedName name="et_ver_HEAT_TARIFF_F">'ТС. Резерв мощности'!$V:$AC</definedName>
    <definedName name="et_ver_HEAT_TARIFF_G">'ТС. Т-подкл'!$V:$AA</definedName>
    <definedName name="et_ver_HEAT_TARIFF_H">'ТС. Т-подкл(инд)'!$V:$AA</definedName>
    <definedName name="et_ver_HEAT_TARIFF_I">'ТС. Т-ТЭ | предел'!$V:$AC</definedName>
    <definedName name="et_ver_HEAT_TARIFF_I_1">'ТС. Т-ТЭ | индикат'!$V:$AC</definedName>
    <definedName name="et_ver_HOTVSNA_TARIFF_A_HOTVSNA">'ГВС. Т-гор.вода'!$V:$AF</definedName>
    <definedName name="et_ver_HOTVSNA_TARIFF_B_HOTVSNA">'ГВС. Т-транс'!$V:$AF</definedName>
    <definedName name="et_ver_HOTVSNA_TARIFF_C_HOTVSNA">'ГВС. Т-подкл'!$V:$AC</definedName>
    <definedName name="et_ver_IP_FIN_PLAN">'ИП. Финансовый план'!$H:$J</definedName>
    <definedName name="et_ver_IP_FIN_PLAN_YEAR">'ИП. Финансовый план'!$I:$I</definedName>
    <definedName name="et_ver_Q_LIMIT_DIFFERENTIATION">Ограничения!$G:$H</definedName>
    <definedName name="et_ver_Q_PH_DIFFERENTIATION">'Потребительские характеристики'!$G:$H</definedName>
    <definedName name="et_ver_Q_TP_DIFFERENTIATION">ТП!$G:$G</definedName>
    <definedName name="et_ver_VOTV_TARIFF_A_VOTV">'ВО. Т-во'!$V:$AB</definedName>
    <definedName name="et_ver_VOTV_TARIFF_B_VOTV">'ВО. Т-транс'!$V:$AB</definedName>
    <definedName name="et_ver_VOTV_TARIFF_C_VOTV">'ВО. Т-подкл'!$V:$AC</definedName>
    <definedName name="et_VOTV_TARIFF_A_VOTV_CS">'ВО. Т-во'!$4:$11</definedName>
    <definedName name="et_VOTV_TARIFF_A_VOTV_DATA_DIFF">'ВО. Т-во'!$7:$8</definedName>
    <definedName name="et_VOTV_TARIFF_A_VOTV_FLAG_DIFF">'ВО. Т-во'!$5:$10</definedName>
    <definedName name="et_VOTV_TARIFF_A_VOTV_GC">'ВО. Т-во'!$6:$9</definedName>
    <definedName name="et_VOTV_TARIFF_A_VOTV_NTAR">'ВО. Т-во'!$2:$13</definedName>
    <definedName name="et_VOTV_TARIFF_A_VOTV_PERIOD_COLOR">'ВО. Т-во'!$AC$7:$AI$8</definedName>
    <definedName name="et_VOTV_TARIFF_A_VOTV_PERIOD_NOT_COLOR">'ВО. Т-во'!$AC$15:$AI$16</definedName>
    <definedName name="et_VOTV_TARIFF_A_VOTV_TER">'ВО. Т-во'!$3:$12</definedName>
    <definedName name="et_VOTV_TARIFF_A_VOTV_TN">'ВО. Т-во'!$7:$8</definedName>
    <definedName name="et_VOTV_TARIFF_B_VOTV_CS">'ВО. Т-транс'!$4:$11</definedName>
    <definedName name="et_VOTV_TARIFF_B_VOTV_DATA_DIFF">'ВО. Т-транс'!$7:$8</definedName>
    <definedName name="et_VOTV_TARIFF_B_VOTV_FLAG_DIFF">'ВО. Т-транс'!$5:$10</definedName>
    <definedName name="et_VOTV_TARIFF_B_VOTV_GC">'ВО. Т-транс'!$6:$9</definedName>
    <definedName name="et_VOTV_TARIFF_B_VOTV_NTAR">'ВО. Т-транс'!$2:$13</definedName>
    <definedName name="et_VOTV_TARIFF_B_VOTV_PERIOD_COLOR">'ВО. Т-транс'!$AC$7:$AI$8</definedName>
    <definedName name="et_VOTV_TARIFF_B_VOTV_PERIOD_NOT_COLOR">'ВО. Т-транс'!$AC$15:$AI$16</definedName>
    <definedName name="et_VOTV_TARIFF_B_VOTV_TER">'ВО. Т-транс'!$3:$12</definedName>
    <definedName name="et_VOTV_TARIFF_B_VOTV_TN">'ВО. Т-транс'!$7:$8</definedName>
    <definedName name="et_VOTV_TARIFF_C_VOTV_CS">'ВО. Т-подкл'!$4:$16</definedName>
    <definedName name="et_VOTV_TARIFF_C_VOTV_DATA_DIFF">'ВО. Т-подкл'!$8:$12</definedName>
    <definedName name="et_VOTV_TARIFF_C_VOTV_DIAMETERS">'ВО. Т-подкл'!$8:$10</definedName>
    <definedName name="et_VOTV_TARIFF_C_VOTV_FLAG_DIFF">'ВО. Т-подкл'!$6:$14</definedName>
    <definedName name="et_VOTV_TARIFF_C_VOTV_GC">'ВО. Т-подкл'!$7:$13</definedName>
    <definedName name="et_VOTV_TARIFF_C_VOTV_LEN">'ВО. Т-подкл'!$8:$9</definedName>
    <definedName name="et_VOTV_TARIFF_C_VOTV_LOAD">'ВО. Т-подкл'!$8:$11</definedName>
    <definedName name="et_VOTV_TARIFF_C_VOTV_NETS">'ВО. Т-подкл'!$8:$8</definedName>
    <definedName name="et_VOTV_TARIFF_C_VOTV_NTAR">'ВО. Т-подкл'!$2:$18</definedName>
    <definedName name="et_VOTV_TARIFF_C_VOTV_PERIOD_COLOR">'ВО. Т-подкл'!$AT$8:$BA$8</definedName>
    <definedName name="et_VOTV_TARIFF_C_VOTV_PERIOD_NOT_COLOR">'ВО. Т-подкл'!$AT$20:$BA$20</definedName>
    <definedName name="et_VOTV_TARIFF_C_VOTV_TER">'ВО. Т-подкл'!$3:$17</definedName>
    <definedName name="f_quart">Титульный!$F$15</definedName>
    <definedName name="f_year">Титульный!$F$14</definedName>
    <definedName name="FHD_NAME_FORM">DATA_FORMS!$C$6</definedName>
    <definedName name="FHD_NOTE_P_1">DATA_NPA!$N$18</definedName>
    <definedName name="FHD_NOTE_P_10">DATA_NPA!$N$27</definedName>
    <definedName name="FHD_NOTE_P_11">DATA_NPA!$N$28</definedName>
    <definedName name="FHD_NOTE_P_12">DATA_NPA!$N$29</definedName>
    <definedName name="FHD_NOTE_P_13">DATA_NPA!$N$30</definedName>
    <definedName name="FHD_NOTE_P_14">DATA_NPA!$N$31</definedName>
    <definedName name="FHD_NOTE_P_15">DATA_NPA!$N$32</definedName>
    <definedName name="FHD_NOTE_P_16">DATA_NPA!$N$33</definedName>
    <definedName name="FHD_NOTE_P_17">DATA_NPA!$N$34</definedName>
    <definedName name="FHD_NOTE_P_18">DATA_NPA!$N$35</definedName>
    <definedName name="FHD_NOTE_P_19">DATA_NPA!$N$36</definedName>
    <definedName name="FHD_NOTE_P_2">DATA_NPA!$N$19</definedName>
    <definedName name="FHD_NOTE_P_20">DATA_NPA!$N$37</definedName>
    <definedName name="FHD_NOTE_P_21">DATA_NPA!$N$38</definedName>
    <definedName name="FHD_NOTE_P_22">DATA_NPA!$N$39</definedName>
    <definedName name="FHD_NOTE_P_23">DATA_NPA!$N$40</definedName>
    <definedName name="FHD_NOTE_P_24">DATA_NPA!$N$41</definedName>
    <definedName name="FHD_NOTE_P_25">DATA_NPA!$N$42</definedName>
    <definedName name="FHD_NOTE_P_26">DATA_NPA!$N$43</definedName>
    <definedName name="FHD_NOTE_P_27">DATA_NPA!$N$44</definedName>
    <definedName name="FHD_NOTE_P_28">DATA_NPA!$N$45</definedName>
    <definedName name="FHD_NOTE_P_29">DATA_NPA!$N$46</definedName>
    <definedName name="FHD_NOTE_P_3">DATA_NPA!$N$20</definedName>
    <definedName name="FHD_NOTE_P_30">DATA_NPA!$N$47</definedName>
    <definedName name="FHD_NOTE_P_31">DATA_NPA!$N$48</definedName>
    <definedName name="FHD_NOTE_P_32">DATA_NPA!$N$49</definedName>
    <definedName name="FHD_NOTE_P_33">DATA_NPA!$N$50</definedName>
    <definedName name="FHD_NOTE_P_34">DATA_NPA!$N$51</definedName>
    <definedName name="FHD_NOTE_P_35">DATA_NPA!$N$52</definedName>
    <definedName name="FHD_NOTE_P_36">DATA_NPA!$N$53</definedName>
    <definedName name="FHD_NOTE_P_37">DATA_NPA!$N$54</definedName>
    <definedName name="FHD_NOTE_P_38">DATA_NPA!$N$55</definedName>
    <definedName name="FHD_NOTE_P_39">DATA_NPA!$N$56</definedName>
    <definedName name="FHD_NOTE_P_4">DATA_NPA!$N$21</definedName>
    <definedName name="FHD_NOTE_P_40">DATA_NPA!$N$57</definedName>
    <definedName name="FHD_NOTE_P_41">DATA_NPA!$N$58</definedName>
    <definedName name="FHD_NOTE_P_42">DATA_NPA!$N$59</definedName>
    <definedName name="FHD_NOTE_P_43">DATA_NPA!$N$60</definedName>
    <definedName name="FHD_NOTE_P_44">DATA_NPA!$N$61</definedName>
    <definedName name="FHD_NOTE_P_45">DATA_NPA!$N$62</definedName>
    <definedName name="FHD_NOTE_P_46">DATA_NPA!$N$63</definedName>
    <definedName name="FHD_NOTE_P_47">DATA_NPA!$N$64</definedName>
    <definedName name="FHD_NOTE_P_48">DATA_NPA!$N$65</definedName>
    <definedName name="FHD_NOTE_P_49">DATA_NPA!$N$66</definedName>
    <definedName name="FHD_NOTE_P_5">DATA_NPA!$N$22</definedName>
    <definedName name="FHD_NOTE_P_50">DATA_NPA!$N$67</definedName>
    <definedName name="FHD_NOTE_P_51">DATA_NPA!$N$68</definedName>
    <definedName name="FHD_NOTE_P_52">DATA_NPA!$N$69</definedName>
    <definedName name="FHD_NOTE_P_53">DATA_NPA!$N$70</definedName>
    <definedName name="FHD_NOTE_P_54">DATA_NPA!$N$71</definedName>
    <definedName name="FHD_NOTE_P_55">DATA_NPA!$N$72</definedName>
    <definedName name="FHD_NOTE_P_56">DATA_NPA!$N$73</definedName>
    <definedName name="FHD_NOTE_P_57">DATA_NPA!$N$74</definedName>
    <definedName name="FHD_NOTE_P_58">DATA_NPA!$N$75</definedName>
    <definedName name="FHD_NOTE_P_59">DATA_NPA!$N$76</definedName>
    <definedName name="FHD_NOTE_P_6">DATA_NPA!$N$23</definedName>
    <definedName name="FHD_NOTE_P_60">DATA_NPA!$N$77</definedName>
    <definedName name="FHD_NOTE_P_61">DATA_NPA!$N$78</definedName>
    <definedName name="FHD_NOTE_P_62">DATA_NPA!$N$79</definedName>
    <definedName name="FHD_NOTE_P_63">DATA_NPA!$N$80</definedName>
    <definedName name="FHD_NOTE_P_64">DATA_NPA!$N$81</definedName>
    <definedName name="FHD_NOTE_P_65">DATA_NPA!$N$82</definedName>
    <definedName name="FHD_NOTE_P_66">DATA_NPA!$N$83</definedName>
    <definedName name="FHD_NOTE_P_67">DATA_NPA!$N$84</definedName>
    <definedName name="FHD_NOTE_P_68">DATA_NPA!$N$85</definedName>
    <definedName name="FHD_NOTE_P_69">DATA_NPA!$N$86</definedName>
    <definedName name="FHD_NOTE_P_7">DATA_NPA!$N$24</definedName>
    <definedName name="FHD_NOTE_P_70">DATA_NPA!$N$87</definedName>
    <definedName name="FHD_NOTE_P_71">DATA_NPA!$N$88</definedName>
    <definedName name="FHD_NOTE_P_72">DATA_NPA!$N$89</definedName>
    <definedName name="FHD_NOTE_P_73">DATA_NPA!$N$90</definedName>
    <definedName name="FHD_NOTE_P_74">DATA_NPA!$N$91</definedName>
    <definedName name="FHD_NOTE_P_75">DATA_NPA!$N$92</definedName>
    <definedName name="FHD_NOTE_P_76">DATA_NPA!$N$93</definedName>
    <definedName name="FHD_NOTE_P_77">DATA_NPA!$N$94</definedName>
    <definedName name="FHD_NOTE_P_78">DATA_NPA!$N$95</definedName>
    <definedName name="FHD_NOTE_P_79">DATA_NPA!$N$96</definedName>
    <definedName name="FHD_NOTE_P_8">DATA_NPA!$N$25</definedName>
    <definedName name="FHD_NOTE_P_80">DATA_NPA!$N$97</definedName>
    <definedName name="FHD_NOTE_P_81">DATA_NPA!$N$98</definedName>
    <definedName name="FHD_NOTE_P_82">DATA_NPA!$N$99</definedName>
    <definedName name="FHD_NOTE_P_83">DATA_NPA!$N$100</definedName>
    <definedName name="FHD_NOTE_P_84">DATA_NPA!$N$101</definedName>
    <definedName name="FHD_NOTE_P_9">DATA_NPA!$N$26</definedName>
    <definedName name="FHD_NUM_P_1">DATA_NPA!$L$18</definedName>
    <definedName name="FHD_NUM_P_10">DATA_NPA!$L$27</definedName>
    <definedName name="FHD_NUM_P_11">DATA_NPA!$L$28</definedName>
    <definedName name="FHD_NUM_P_12">DATA_NPA!$L$29</definedName>
    <definedName name="FHD_NUM_P_13">DATA_NPA!$L$30</definedName>
    <definedName name="FHD_NUM_P_14">DATA_NPA!$L$31</definedName>
    <definedName name="FHD_NUM_P_15">DATA_NPA!$L$32</definedName>
    <definedName name="FHD_NUM_P_16">DATA_NPA!$L$33</definedName>
    <definedName name="FHD_NUM_P_17">DATA_NPA!$L$34</definedName>
    <definedName name="FHD_NUM_P_18">DATA_NPA!$L$35</definedName>
    <definedName name="FHD_NUM_P_19">DATA_NPA!$L$36</definedName>
    <definedName name="FHD_NUM_P_2">DATA_NPA!$L$19</definedName>
    <definedName name="FHD_NUM_P_20">DATA_NPA!$L$37</definedName>
    <definedName name="FHD_NUM_P_21">DATA_NPA!$L$38</definedName>
    <definedName name="FHD_NUM_P_22">DATA_NPA!$L$39</definedName>
    <definedName name="FHD_NUM_P_23">DATA_NPA!$L$40</definedName>
    <definedName name="FHD_NUM_P_24">DATA_NPA!$L$41</definedName>
    <definedName name="FHD_NUM_P_25">DATA_NPA!$L$42</definedName>
    <definedName name="FHD_NUM_P_26">DATA_NPA!$L$43</definedName>
    <definedName name="FHD_NUM_P_27">DATA_NPA!$L$44</definedName>
    <definedName name="FHD_NUM_P_28">DATA_NPA!$L$45</definedName>
    <definedName name="FHD_NUM_P_29">DATA_NPA!$L$46</definedName>
    <definedName name="FHD_NUM_P_3">DATA_NPA!$L$20</definedName>
    <definedName name="FHD_NUM_P_30">DATA_NPA!$L$47</definedName>
    <definedName name="FHD_NUM_P_31">DATA_NPA!$L$48</definedName>
    <definedName name="FHD_NUM_P_32">DATA_NPA!$L$49</definedName>
    <definedName name="FHD_NUM_P_33">DATA_NPA!$L$50</definedName>
    <definedName name="FHD_NUM_P_34">DATA_NPA!$L$51</definedName>
    <definedName name="FHD_NUM_P_35">DATA_NPA!$L$52</definedName>
    <definedName name="FHD_NUM_P_36">DATA_NPA!$L$53</definedName>
    <definedName name="FHD_NUM_P_37">DATA_NPA!$L$54</definedName>
    <definedName name="FHD_NUM_P_38">DATA_NPA!$L$55</definedName>
    <definedName name="FHD_NUM_P_39">DATA_NPA!$L$56</definedName>
    <definedName name="FHD_NUM_P_4">DATA_NPA!$L$21</definedName>
    <definedName name="FHD_NUM_P_40">DATA_NPA!$L$57</definedName>
    <definedName name="FHD_NUM_P_41">DATA_NPA!$L$58</definedName>
    <definedName name="FHD_NUM_P_42">DATA_NPA!$L$59</definedName>
    <definedName name="FHD_NUM_P_43">DATA_NPA!$L$60</definedName>
    <definedName name="FHD_NUM_P_44">DATA_NPA!$L$61</definedName>
    <definedName name="FHD_NUM_P_45">DATA_NPA!$L$62</definedName>
    <definedName name="FHD_NUM_P_46">DATA_NPA!$L$63</definedName>
    <definedName name="FHD_NUM_P_47">DATA_NPA!$L$64</definedName>
    <definedName name="FHD_NUM_P_48">DATA_NPA!$L$65</definedName>
    <definedName name="FHD_NUM_P_49">DATA_NPA!$L$66</definedName>
    <definedName name="FHD_NUM_P_5">DATA_NPA!$L$22</definedName>
    <definedName name="FHD_NUM_P_50">DATA_NPA!$L$67</definedName>
    <definedName name="FHD_NUM_P_51">DATA_NPA!$L$68</definedName>
    <definedName name="FHD_NUM_P_52">DATA_NPA!$L$69</definedName>
    <definedName name="FHD_NUM_P_53">DATA_NPA!$L$70</definedName>
    <definedName name="FHD_NUM_P_54">DATA_NPA!$L$71</definedName>
    <definedName name="FHD_NUM_P_55">DATA_NPA!$L$72</definedName>
    <definedName name="FHD_NUM_P_56">DATA_NPA!$L$73</definedName>
    <definedName name="FHD_NUM_P_57">DATA_NPA!$L$74</definedName>
    <definedName name="FHD_NUM_P_58">DATA_NPA!$L$75</definedName>
    <definedName name="FHD_NUM_P_59">DATA_NPA!$L$76</definedName>
    <definedName name="FHD_NUM_P_6">DATA_NPA!$L$23</definedName>
    <definedName name="FHD_NUM_P_60">DATA_NPA!$L$77</definedName>
    <definedName name="FHD_NUM_P_61">DATA_NPA!$L$78</definedName>
    <definedName name="FHD_NUM_P_62">DATA_NPA!$L$79</definedName>
    <definedName name="FHD_NUM_P_63">DATA_NPA!$L$80</definedName>
    <definedName name="FHD_NUM_P_64">DATA_NPA!$L$81</definedName>
    <definedName name="FHD_NUM_P_65">DATA_NPA!$L$82</definedName>
    <definedName name="FHD_NUM_P_66">DATA_NPA!$L$83</definedName>
    <definedName name="FHD_NUM_P_67">DATA_NPA!$L$84</definedName>
    <definedName name="FHD_NUM_P_68">DATA_NPA!$L$85</definedName>
    <definedName name="FHD_NUM_P_69">DATA_NPA!$L$86</definedName>
    <definedName name="FHD_NUM_P_7">DATA_NPA!$L$24</definedName>
    <definedName name="FHD_NUM_P_70">DATA_NPA!$L$87</definedName>
    <definedName name="FHD_NUM_P_71">DATA_NPA!$L$88</definedName>
    <definedName name="FHD_NUM_P_72">DATA_NPA!$L$89</definedName>
    <definedName name="FHD_NUM_P_73">DATA_NPA!$L$90</definedName>
    <definedName name="FHD_NUM_P_74">DATA_NPA!$L$91</definedName>
    <definedName name="FHD_NUM_P_75">DATA_NPA!$L$92</definedName>
    <definedName name="FHD_NUM_P_76">DATA_NPA!$L$93</definedName>
    <definedName name="FHD_NUM_P_77">DATA_NPA!$L$94</definedName>
    <definedName name="FHD_NUM_P_78">DATA_NPA!$L$95</definedName>
    <definedName name="FHD_NUM_P_79">DATA_NPA!$L$96</definedName>
    <definedName name="FHD_NUM_P_8">DATA_NPA!$L$25</definedName>
    <definedName name="FHD_NUM_P_80">DATA_NPA!$L$97</definedName>
    <definedName name="FHD_NUM_P_81">DATA_NPA!$L$98</definedName>
    <definedName name="FHD_NUM_P_82">DATA_NPA!$L$99</definedName>
    <definedName name="FHD_NUM_P_83">DATA_NPA!$L$100</definedName>
    <definedName name="FHD_NUM_P_84">DATA_NPA!$L$101</definedName>
    <definedName name="FHD_NUM_P_9">DATA_NPA!$L$26</definedName>
    <definedName name="FHD_NUM_P_A">DATA_NPA!$L$18</definedName>
    <definedName name="FHD_P_1">DATA_NPA!$M$18</definedName>
    <definedName name="FHD_P_10">DATA_NPA!$M$27</definedName>
    <definedName name="FHD_P_11">DATA_NPA!$M$28</definedName>
    <definedName name="FHD_P_12">DATA_NPA!$M$29</definedName>
    <definedName name="FHD_P_13">DATA_NPA!$M$30</definedName>
    <definedName name="FHD_P_14">DATA_NPA!$M$31</definedName>
    <definedName name="FHD_P_15">DATA_NPA!$M$32</definedName>
    <definedName name="FHD_P_16">DATA_NPA!$M$33</definedName>
    <definedName name="FHD_P_17">DATA_NPA!$M$34</definedName>
    <definedName name="FHD_P_18">DATA_NPA!$M$35</definedName>
    <definedName name="FHD_P_19">DATA_NPA!$M$36</definedName>
    <definedName name="FHD_P_2">DATA_NPA!$M$19</definedName>
    <definedName name="FHD_P_20">DATA_NPA!$M$37</definedName>
    <definedName name="FHD_P_21">DATA_NPA!$M$38</definedName>
    <definedName name="FHD_P_22">DATA_NPA!$M$39</definedName>
    <definedName name="FHD_P_23">DATA_NPA!$M$40</definedName>
    <definedName name="FHD_P_24">DATA_NPA!$M$41</definedName>
    <definedName name="FHD_P_25">DATA_NPA!$M$42</definedName>
    <definedName name="FHD_P_26">DATA_NPA!$M$43</definedName>
    <definedName name="FHD_P_27">DATA_NPA!$M$44</definedName>
    <definedName name="FHD_P_28">DATA_NPA!$M$45</definedName>
    <definedName name="FHD_P_29">DATA_NPA!$M$46</definedName>
    <definedName name="FHD_P_3">DATA_NPA!$M$20</definedName>
    <definedName name="FHD_P_30">DATA_NPA!$M$47</definedName>
    <definedName name="FHD_P_31">DATA_NPA!$M$48</definedName>
    <definedName name="FHD_P_32">DATA_NPA!$M$49</definedName>
    <definedName name="FHD_P_33">DATA_NPA!$M$50</definedName>
    <definedName name="FHD_P_34">DATA_NPA!$M$51</definedName>
    <definedName name="FHD_P_35">DATA_NPA!$M$52</definedName>
    <definedName name="FHD_P_36">DATA_NPA!$M$53</definedName>
    <definedName name="FHD_P_37">DATA_NPA!$M$54</definedName>
    <definedName name="FHD_P_38">DATA_NPA!$M$55</definedName>
    <definedName name="FHD_P_39">DATA_NPA!$M$56</definedName>
    <definedName name="FHD_P_4">DATA_NPA!$M$21</definedName>
    <definedName name="FHD_P_40">DATA_NPA!$M$57</definedName>
    <definedName name="FHD_P_41">DATA_NPA!$M$58</definedName>
    <definedName name="FHD_P_42">DATA_NPA!$M$59</definedName>
    <definedName name="FHD_P_43">DATA_NPA!$M$60</definedName>
    <definedName name="FHD_P_44">DATA_NPA!$M$61</definedName>
    <definedName name="FHD_P_45">DATA_NPA!$M$62</definedName>
    <definedName name="FHD_P_46">DATA_NPA!$M$63</definedName>
    <definedName name="FHD_P_47">DATA_NPA!$M$64</definedName>
    <definedName name="FHD_P_48">DATA_NPA!$M$65</definedName>
    <definedName name="FHD_P_49">DATA_NPA!$M$66</definedName>
    <definedName name="FHD_P_5">DATA_NPA!$M$22</definedName>
    <definedName name="FHD_P_50">DATA_NPA!$M$67</definedName>
    <definedName name="FHD_P_51">DATA_NPA!$M$68</definedName>
    <definedName name="FHD_P_52">DATA_NPA!$M$69</definedName>
    <definedName name="FHD_P_53">DATA_NPA!$M$70</definedName>
    <definedName name="FHD_P_54">DATA_NPA!$M$71</definedName>
    <definedName name="FHD_P_55">DATA_NPA!$M$72</definedName>
    <definedName name="FHD_P_56">DATA_NPA!$M$73</definedName>
    <definedName name="FHD_P_57">DATA_NPA!$M$74</definedName>
    <definedName name="FHD_P_58">DATA_NPA!$M$75</definedName>
    <definedName name="FHD_P_59">DATA_NPA!$M$76</definedName>
    <definedName name="FHD_P_6">DATA_NPA!$M$23</definedName>
    <definedName name="FHD_P_60">DATA_NPA!$M$77</definedName>
    <definedName name="FHD_P_61">DATA_NPA!$M$78</definedName>
    <definedName name="FHD_P_62">DATA_NPA!$M$79</definedName>
    <definedName name="FHD_P_63">DATA_NPA!$M$80</definedName>
    <definedName name="FHD_P_64">DATA_NPA!$M$81</definedName>
    <definedName name="FHD_P_65">DATA_NPA!$M$82</definedName>
    <definedName name="FHD_P_66">DATA_NPA!$M$83</definedName>
    <definedName name="FHD_P_67">DATA_NPA!$M$84</definedName>
    <definedName name="FHD_P_68">DATA_NPA!$M$85</definedName>
    <definedName name="FHD_P_69">DATA_NPA!$M$86</definedName>
    <definedName name="FHD_P_7">DATA_NPA!$M$24</definedName>
    <definedName name="FHD_P_70">DATA_NPA!$M$87</definedName>
    <definedName name="FHD_P_71">DATA_NPA!$M$88</definedName>
    <definedName name="FHD_P_72">DATA_NPA!$M$89</definedName>
    <definedName name="FHD_P_73">DATA_NPA!$M$90</definedName>
    <definedName name="FHD_P_74">DATA_NPA!$M$91</definedName>
    <definedName name="FHD_P_75">DATA_NPA!$M$92</definedName>
    <definedName name="FHD_P_76">DATA_NPA!$M$93</definedName>
    <definedName name="FHD_P_77">DATA_NPA!$M$94</definedName>
    <definedName name="FHD_P_78">DATA_NPA!$M$95</definedName>
    <definedName name="FHD_P_79">DATA_NPA!$M$96</definedName>
    <definedName name="FHD_P_8">DATA_NPA!$M$25</definedName>
    <definedName name="FHD_P_80">DATA_NPA!$M$97</definedName>
    <definedName name="FHD_P_81">DATA_NPA!$M$98</definedName>
    <definedName name="FHD_P_82">DATA_NPA!$M$99</definedName>
    <definedName name="FHD_P_83">DATA_NPA!$M$100</definedName>
    <definedName name="FHD_P_84">DATA_NPA!$M$101</definedName>
    <definedName name="FHD_P_9">DATA_NPA!$M$26</definedName>
    <definedName name="FHD_P_A">DATA_NPA!$M$18</definedName>
    <definedName name="FHD20_NAME_FORM">DATA_FORMS!$C$7</definedName>
    <definedName name="fil">Титульный!$F$32</definedName>
    <definedName name="flag_Q_LIMIT_p3">Ограничения!$F$36:$K$36</definedName>
    <definedName name="flag_Q_LIMIT_p4">Ограничения!$F$38:$K$38</definedName>
    <definedName name="HEAT_FIN_SRC_LIST">TEHSHEET!$BH$4:$BH$26</definedName>
    <definedName name="HEAT_FIN_SRC_VLD_LIST">TEHSHEET!$BH$39:$BH$54</definedName>
    <definedName name="HEAT_IP_EVENT_CI_STAGE_LIST">TEHSHEET!$BH$97:$BH$99</definedName>
    <definedName name="HEAT_IP_EVENT_GROUP_LIST">TEHSHEET!$BH$69:$BH$76</definedName>
    <definedName name="HEAT_IP_EVENT_SUBGROUP_1_LIST">TEHSHEET!$BH$80:$BH$83</definedName>
    <definedName name="HEAT_IP_EVENT_SUBGROUP_3_LIST">TEHSHEET!$BH$87:$BH$88</definedName>
    <definedName name="HEAT_IP_EVENT_SUBGROUP_5_LIST">TEHSHEET!$BH$92:$BH$93</definedName>
    <definedName name="HEAT_IP_EVENT_TYPE_LIST">TEHSHEET!$BH$108:$BH$110</definedName>
    <definedName name="HEAT_PT_SCHEME">TEHSHEET!$BH$115:$BH$118</definedName>
    <definedName name="HEAT_PT_TARIFF_ID">TEHSHEET!$BQ$5:$BQ$14</definedName>
    <definedName name="HEAT_PT_TARIFF_NAME">TEHSHEET!$BR$5:$BR$14</definedName>
    <definedName name="HEAT_PT_TARIFF_NAME_LIST">TEHSHEET!$BQ$5:$BR$14</definedName>
    <definedName name="HEAT_PT_VED_ID">TEHSHEET!$BQ$19:$BQ$28</definedName>
    <definedName name="HEAT_PT_VED_NAME">TEHSHEET!$BR$19:$BR$28</definedName>
    <definedName name="HEAT_PT_VED_NAME_LIST">TEHSHEET!$BQ$19:$BR$28</definedName>
    <definedName name="HEAT_TARIFF_A_ADD_HL_COLUMN_MARKER">'ТС. Т-ТЭ | &gt;=25МВт'!$T$36</definedName>
    <definedName name="HEAT_TARIFF_A_DEL_HL_GC_COLUMN_MARKER">'ТС. Т-ТЭ | &gt;=25МВт'!$Q$36</definedName>
    <definedName name="HEAT_TARIFF_A_DEL_HL_SCHEME_COLUMN_MARKER">'ТС. Т-ТЭ | &gt;=25МВт'!$P$36</definedName>
    <definedName name="HEAT_TARIFF_A_DEL_HL_TN_COLUMN_MARKER">'ТС. Т-ТЭ | &gt;=25МВт'!$R$36</definedName>
    <definedName name="HEAT_TARIFF_A_DELETE_PERIOD_ROW_MARKER">'ТС. Т-ТЭ | &gt;=25МВт'!$O$37</definedName>
    <definedName name="HEAT_TARIFF_A_FLAG_BLOCK_COLUMN_MARKER">'ТС. Т-ТЭ | &gt;=25МВт'!$L$41</definedName>
    <definedName name="HEAT_TARIFF_A_FLAG_BLOCK_ROW_MARKER">'ТС. Т-ТЭ | &gt;=25МВт'!$O$22</definedName>
    <definedName name="HEAT_TARIFF_A_NUM_CS_COLUMN_MARKER">'ТС. Т-ТЭ | &gt;=25МВт'!$G$41</definedName>
    <definedName name="HEAT_TARIFF_A_NUM_GC_COLUMN_MARKER">'ТС. Т-ТЭ | &gt;=25МВт'!$J$41</definedName>
    <definedName name="HEAT_TARIFF_A_NUM_IST_TE_COLUMN_MARKER">'ТС. Т-ТЭ | &gt;=25МВт'!$H$41</definedName>
    <definedName name="HEAT_TARIFF_A_NUM_NTAR_COLUMN_MARKER">'ТС. Т-ТЭ | &gt;=25МВт'!$E$41</definedName>
    <definedName name="HEAT_TARIFF_A_NUM_SCHEME_COLUMN_MARKER">'ТС. Т-ТЭ | &gt;=25МВт'!$I$41</definedName>
    <definedName name="HEAT_TARIFF_A_NUM_TER_COLUMN_MARKER">'ТС. Т-ТЭ | &gt;=25МВт'!$F$41</definedName>
    <definedName name="HEAT_TARIFF_A_NUM_TN_COLUMN_MARKER">'ТС. Т-ТЭ | &gt;=25МВт'!$K$41</definedName>
    <definedName name="HEAT_TARIFF_B_ADD_HL_COLUMN_MARKER">'ТС. Т-ТЭ | ТСО'!$T$36</definedName>
    <definedName name="HEAT_TARIFF_B_DEL_HL_GC_COLUMN_MARKER">'ТС. Т-ТЭ | ТСО'!$Q$36</definedName>
    <definedName name="HEAT_TARIFF_B_DEL_HL_SCHEME_COLUMN_MARKER">'ТС. Т-ТЭ | ТСО'!$P$36</definedName>
    <definedName name="HEAT_TARIFF_B_DEL_HL_TN_COLUMN_MARKER">'ТС. Т-ТЭ | ТСО'!$R$36</definedName>
    <definedName name="HEAT_TARIFF_B_DELETE_PERIOD_ROW_MARKER">'ТС. Т-ТЭ | ТСО'!$O$37</definedName>
    <definedName name="HEAT_TARIFF_B_FLAG_BLOCK_COLUMN_MARKER">'ТС. Т-ТЭ | ТСО'!$L$41</definedName>
    <definedName name="HEAT_TARIFF_B_FLAG_BLOCK_ROW_MARKER">'ТС. Т-ТЭ | ТСО'!$O$22</definedName>
    <definedName name="HEAT_TARIFF_B_NUM_CS_COLUMN_MARKER">'ТС. Т-ТЭ | ТСО'!$G$41</definedName>
    <definedName name="HEAT_TARIFF_B_NUM_GC_COLUMN_MARKER">'ТС. Т-ТЭ | ТСО'!$J$41</definedName>
    <definedName name="HEAT_TARIFF_B_NUM_IST_TE_COLUMN_MARKER">'ТС. Т-ТЭ | ТСО'!$H$41</definedName>
    <definedName name="HEAT_TARIFF_B_NUM_NTAR_COLUMN_MARKER">'ТС. Т-ТЭ | ТСО'!$E$41</definedName>
    <definedName name="HEAT_TARIFF_B_NUM_SCHEME_COLUMN_MARKER">'ТС. Т-ТЭ | ТСО'!$I$41</definedName>
    <definedName name="HEAT_TARIFF_B_NUM_TER_COLUMN_MARKER">'ТС. Т-ТЭ | ТСО'!$F$41</definedName>
    <definedName name="HEAT_TARIFF_B_NUM_TN_COLUMN_MARKER">'ТС. Т-ТЭ | ТСО'!$K$41</definedName>
    <definedName name="HEAT_TARIFF_C_ADD_HL_COLUMN_MARKER">'ТС. Т-ТН'!$T$36</definedName>
    <definedName name="HEAT_TARIFF_C_DEL_HL_GC_COLUMN_MARKER">'ТС. Т-ТН'!$Q$36</definedName>
    <definedName name="HEAT_TARIFF_C_DEL_HL_SCHEME_COLUMN_MARKER">'ТС. Т-ТН'!$P$36</definedName>
    <definedName name="HEAT_TARIFF_C_DEL_HL_TN_COLUMN_MARKER">'ТС. Т-ТН'!$R$36</definedName>
    <definedName name="HEAT_TARIFF_C_DELETE_PERIOD_ROW_MARKER">'ТС. Т-ТН'!$O$37</definedName>
    <definedName name="HEAT_TARIFF_C_FLAG_BLOCK_COLUMN_MARKER">'ТС. Т-ТН'!$L$41</definedName>
    <definedName name="HEAT_TARIFF_C_FLAG_BLOCK_ROW_MARKER">'ТС. Т-ТН'!$O$22</definedName>
    <definedName name="HEAT_TARIFF_C_NUM_CS_COLUMN_MARKER">'ТС. Т-ТН'!$G$41</definedName>
    <definedName name="HEAT_TARIFF_C_NUM_GC_COLUMN_MARKER">'ТС. Т-ТН'!$J$41</definedName>
    <definedName name="HEAT_TARIFF_C_NUM_IST_TE_COLUMN_MARKER">'ТС. Т-ТН'!$H$41</definedName>
    <definedName name="HEAT_TARIFF_C_NUM_NTAR_COLUMN_MARKER">'ТС. Т-ТН'!$E$41</definedName>
    <definedName name="HEAT_TARIFF_C_NUM_SCHEME_COLUMN_MARKER">'ТС. Т-ТН'!$I$41</definedName>
    <definedName name="HEAT_TARIFF_C_NUM_TER_COLUMN_MARKER">'ТС. Т-ТН'!$F$41</definedName>
    <definedName name="HEAT_TARIFF_C_NUM_TN_COLUMN_MARKER">'ТС. Т-ТН'!$K$41</definedName>
    <definedName name="HEAT_TARIFF_D_ADD_HL_COLUMN_MARKER">'ТС. Т-гор.вода'!$V$40</definedName>
    <definedName name="HEAT_TARIFF_D_DEL_HL_CONS_COLUMN_MARKER">'ТС. Т-гор.вода'!$T$40</definedName>
    <definedName name="HEAT_TARIFF_D_DEL_HL_GC_COLUMN_MARKER">'ТС. Т-гор.вода'!$R$40</definedName>
    <definedName name="HEAT_TARIFF_D_DEL_HL_SCHEME_COLUMN_MARKER">'ТС. Т-гор.вода'!$Q$40</definedName>
    <definedName name="HEAT_TARIFF_D_DEL_HL_TN_COLUMN_MARKER">'ТС. Т-гор.вода'!$S$40</definedName>
    <definedName name="HEAT_TARIFF_D_DELETE_PERIOD_ROW_MARKER">'ТС. Т-гор.вода'!$P$41</definedName>
    <definedName name="HEAT_TARIFF_D_FLAG_BLOCK_COLUMN_MARKER">'ТС. Т-гор.вода'!$M$47</definedName>
    <definedName name="HEAT_TARIFF_D_FLAG_BLOCK_ROW_MARKER">'ТС. Т-гор.вода'!$P$26</definedName>
    <definedName name="HEAT_TARIFF_D_NUM_CONS_COLUMN_MARKER">'ТС. Т-гор.вода'!$L$47</definedName>
    <definedName name="HEAT_TARIFF_D_NUM_CS_COLUMN_MARKER">'ТС. Т-гор.вода'!$G$47</definedName>
    <definedName name="HEAT_TARIFF_D_NUM_GC_COLUMN_MARKER">'ТС. Т-гор.вода'!$J$47</definedName>
    <definedName name="HEAT_TARIFF_D_NUM_IST_TE_COLUMN_MARKER">'ТС. Т-гор.вода'!$H$47</definedName>
    <definedName name="HEAT_TARIFF_D_NUM_NTAR_COLUMN_MARKER">'ТС. Т-гор.вода'!$E$47</definedName>
    <definedName name="HEAT_TARIFF_D_NUM_SCHEME_COLUMN_MARKER">'ТС. Т-гор.вода'!$I$47</definedName>
    <definedName name="HEAT_TARIFF_D_NUM_TER_COLUMN_MARKER">'ТС. Т-гор.вода'!$F$47</definedName>
    <definedName name="HEAT_TARIFF_D_NUM_TN_COLUMN_MARKER">'ТС. Т-гор.вода'!$K$47</definedName>
    <definedName name="HEAT_TARIFF_E1_ADD_HL_COLUMN_MARKER">'ТС. Т-передача ТЭ'!$T$36</definedName>
    <definedName name="HEAT_TARIFF_E1_DEL_HL_GC_COLUMN_MARKER">'ТС. Т-передача ТЭ'!$Q$36</definedName>
    <definedName name="HEAT_TARIFF_E1_DEL_HL_SCHEME_COLUMN_MARKER">'ТС. Т-передача ТЭ'!$P$36</definedName>
    <definedName name="HEAT_TARIFF_E1_DEL_HL_TN_COLUMN_MARKER">'ТС. Т-передача ТЭ'!$R$36</definedName>
    <definedName name="HEAT_TARIFF_E1_DELETE_PERIOD_ROW_MARKER">'ТС. Т-передача ТЭ'!$O$37</definedName>
    <definedName name="HEAT_TARIFF_E1_FLAG_BLOCK_COLUMN_MARKER">'ТС. Т-передача ТЭ'!$L$41</definedName>
    <definedName name="HEAT_TARIFF_E1_FLAG_BLOCK_ROW_MARKER">'ТС. Т-передача ТЭ'!$O$22</definedName>
    <definedName name="HEAT_TARIFF_E1_NUM_CS_COLUMN_MARKER">'ТС. Т-передача ТЭ'!$G$41</definedName>
    <definedName name="HEAT_TARIFF_E1_NUM_GC_COLUMN_MARKER">'ТС. Т-передача ТЭ'!$J$41</definedName>
    <definedName name="HEAT_TARIFF_E1_NUM_IST_TE_COLUMN_MARKER">'ТС. Т-передача ТЭ'!$H$41</definedName>
    <definedName name="HEAT_TARIFF_E1_NUM_NTAR_COLUMN_MARKER">'ТС. Т-передача ТЭ'!$E$41</definedName>
    <definedName name="HEAT_TARIFF_E1_NUM_SCHEME_COLUMN_MARKER">'ТС. Т-передача ТЭ'!$I$41</definedName>
    <definedName name="HEAT_TARIFF_E1_NUM_TER_COLUMN_MARKER">'ТС. Т-передача ТЭ'!$F$41</definedName>
    <definedName name="HEAT_TARIFF_E1_NUM_TN_COLUMN_MARKER">'ТС. Т-передача ТЭ'!$K$41</definedName>
    <definedName name="HEAT_TARIFF_E2_ADD_HL_COLUMN_MARKER">'ТС. Т-передача ТН'!$T$36</definedName>
    <definedName name="HEAT_TARIFF_E2_DEL_HL_GC_COLUMN_MARKER">'ТС. Т-передача ТН'!$Q$36</definedName>
    <definedName name="HEAT_TARIFF_E2_DEL_HL_SCHEME_COLUMN_MARKER">'ТС. Т-передача ТН'!$P$36</definedName>
    <definedName name="HEAT_TARIFF_E2_DEL_HL_TN_COLUMN_MARKER">'ТС. Т-передача ТН'!$R$36</definedName>
    <definedName name="HEAT_TARIFF_E2_DELETE_PERIOD_ROW_MARKER">'ТС. Т-передача ТН'!$O$37</definedName>
    <definedName name="HEAT_TARIFF_E2_FLAG_BLOCK_COLUMN_MARKER">'ТС. Т-передача ТН'!$L$41</definedName>
    <definedName name="HEAT_TARIFF_E2_FLAG_BLOCK_ROW_MARKER">'ТС. Т-передача ТН'!$O$22</definedName>
    <definedName name="HEAT_TARIFF_E2_NUM_CS_COLUMN_MARKER">'ТС. Т-передача ТН'!$G$41</definedName>
    <definedName name="HEAT_TARIFF_E2_NUM_GC_COLUMN_MARKER">'ТС. Т-передача ТН'!$J$41</definedName>
    <definedName name="HEAT_TARIFF_E2_NUM_IST_TE_COLUMN_MARKER">'ТС. Т-передача ТН'!$H$41</definedName>
    <definedName name="HEAT_TARIFF_E2_NUM_NTAR_COLUMN_MARKER">'ТС. Т-передача ТН'!$E$41</definedName>
    <definedName name="HEAT_TARIFF_E2_NUM_SCHEME_COLUMN_MARKER">'ТС. Т-передача ТН'!$I$41</definedName>
    <definedName name="HEAT_TARIFF_E2_NUM_TER_COLUMN_MARKER">'ТС. Т-передача ТН'!$F$41</definedName>
    <definedName name="HEAT_TARIFF_E2_NUM_TN_COLUMN_MARKER">'ТС. Т-передача ТН'!$K$41</definedName>
    <definedName name="HEAT_TARIFF_F_ADD_HL_COLUMN_MARKER">'ТС. Резерв мощности'!$T$36</definedName>
    <definedName name="HEAT_TARIFF_F_DEL_HL_GC_COLUMN_MARKER">'ТС. Резерв мощности'!$Q$36</definedName>
    <definedName name="HEAT_TARIFF_F_DEL_HL_SCHEME_COLUMN_MARKER">'ТС. Резерв мощности'!$P$36</definedName>
    <definedName name="HEAT_TARIFF_F_DEL_HL_TN_COLUMN_MARKER">'ТС. Резерв мощности'!$R$36</definedName>
    <definedName name="HEAT_TARIFF_F_DELETE_PERIOD_ROW_MARKER">'ТС. Резерв мощности'!$O$37</definedName>
    <definedName name="HEAT_TARIFF_F_FLAG_BLOCK_COLUMN_MARKER">'ТС. Резерв мощности'!$L$41</definedName>
    <definedName name="HEAT_TARIFF_F_FLAG_BLOCK_ROW_MARKER">'ТС. Резерв мощности'!$O$22</definedName>
    <definedName name="HEAT_TARIFF_F_NUM_CS_COLUMN_MARKER">'ТС. Резерв мощности'!$G$41</definedName>
    <definedName name="HEAT_TARIFF_F_NUM_GC_COLUMN_MARKER">'ТС. Резерв мощности'!$J$41</definedName>
    <definedName name="HEAT_TARIFF_F_NUM_IST_TE_COLUMN_MARKER">'ТС. Резерв мощности'!$H$41</definedName>
    <definedName name="HEAT_TARIFF_F_NUM_NTAR_COLUMN_MARKER">'ТС. Резерв мощности'!$E$41</definedName>
    <definedName name="HEAT_TARIFF_F_NUM_SCHEME_COLUMN_MARKER">'ТС. Резерв мощности'!$I$41</definedName>
    <definedName name="HEAT_TARIFF_F_NUM_TER_COLUMN_MARKER">'ТС. Резерв мощности'!$F$41</definedName>
    <definedName name="HEAT_TARIFF_F_NUM_TN_COLUMN_MARKER">'ТС. Резерв мощности'!$K$41</definedName>
    <definedName name="HEAT_TARIFF_G_ADD_HL_COLUMN_MARKER">'ТС. Т-подкл'!$T$37</definedName>
    <definedName name="HEAT_TARIFF_G_ADD_HL_DIAMETERS_COLUMN_MARKER">'ТС. Т-подкл'!$AM$37</definedName>
    <definedName name="HEAT_TARIFF_G_ADD_HL_LOAD_COLUMN_MARKER">'ТС. Т-подкл'!$AE$37</definedName>
    <definedName name="HEAT_TARIFF_G_ADD_HL_NETS_COLUMN_MARKER">'ТС. Т-подкл'!$AI$37</definedName>
    <definedName name="HEAT_TARIFF_G_DEL_HL_DIAMETERS_COLUMN_MARKER">'ТС. Т-подкл'!$AK$37</definedName>
    <definedName name="HEAT_TARIFF_G_DEL_HL_GC_COLUMN_MARKER">'ТС. Т-подкл'!$Q$37</definedName>
    <definedName name="HEAT_TARIFF_G_DEL_HL_LOAD_COLUMN_MARKER">'ТС. Т-подкл'!$AC$37</definedName>
    <definedName name="HEAT_TARIFF_G_DEL_HL_NETS_COLUMN_MARKER">'ТС. Т-подкл'!$AG$37</definedName>
    <definedName name="HEAT_TARIFF_G_DEL_HL_SCHEME_COLUMN_MARKER">'ТС. Т-подкл'!$P$37</definedName>
    <definedName name="HEAT_TARIFF_G_DEL_HL_TN_COLUMN_MARKER">'ТС. Т-подкл'!$R$37</definedName>
    <definedName name="HEAT_TARIFF_G_DELETE_PERIOD_ROW_MARKER">'ТС. Т-подкл'!$O$38</definedName>
    <definedName name="HEAT_TARIFF_G_FLAG_BLOCK_COLUMN_MARKER">'ТС. Т-подкл'!$L$43</definedName>
    <definedName name="HEAT_TARIFF_G_FLAG_BLOCK_ROW_MARKER">'ТС. Т-подкл'!$O$23</definedName>
    <definedName name="HEAT_TARIFF_G_NUM_CS_COLUMN_MARKER">'ТС. Т-подкл'!$G$43</definedName>
    <definedName name="HEAT_TARIFF_G_NUM_DIAMETERS_COLUMN_MARKER">'ТС. Т-подкл'!$AL$37</definedName>
    <definedName name="HEAT_TARIFF_G_NUM_GC_COLUMN_MARKER">'ТС. Т-подкл'!$J$43</definedName>
    <definedName name="HEAT_TARIFF_G_NUM_IST_TE_COLUMN_MARKER">'ТС. Т-подкл'!$H$43</definedName>
    <definedName name="HEAT_TARIFF_G_NUM_LOAD_COLUMN_MARKER">'ТС. Т-подкл'!$AD$37</definedName>
    <definedName name="HEAT_TARIFF_G_NUM_NETS_COLUMN_MARKER">'ТС. Т-подкл'!$AH$37</definedName>
    <definedName name="HEAT_TARIFF_G_NUM_NTAR_COLUMN_MARKER">'ТС. Т-подкл'!$E$43</definedName>
    <definedName name="HEAT_TARIFF_G_NUM_SCHEME_COLUMN_MARKER">'ТС. Т-подкл'!$I$43</definedName>
    <definedName name="HEAT_TARIFF_G_NUM_TER_COLUMN_MARKER">'ТС. Т-подкл'!$F$43</definedName>
    <definedName name="HEAT_TARIFF_G_NUM_TN_COLUMN_MARKER">'ТС. Т-подкл'!$K$43</definedName>
    <definedName name="HEAT_TARIFF_H_ADD_HL_COLUMN_MARKER">'ТС. Т-подкл(инд)'!$T$37</definedName>
    <definedName name="HEAT_TARIFF_H_ADD_HL_DIAMETERS_COLUMN_MARKER">'ТС. Т-подкл(инд)'!$AO$37</definedName>
    <definedName name="HEAT_TARIFF_H_ADD_HL_LOAD_COLUMN_MARKER">'ТС. Т-подкл(инд)'!$AM$37</definedName>
    <definedName name="HEAT_TARIFF_H_ADD_HL_NETS_COLUMN_MARKER">'ТС. Т-подкл(инд)'!$AN$37</definedName>
    <definedName name="HEAT_TARIFF_H_DEL_HL_DIAMETERS_COLUMN_MARKER">'ТС. Т-подкл(инд)'!$AO$37</definedName>
    <definedName name="HEAT_TARIFF_H_DEL_HL_GC_COLUMN_MARKER">'ТС. Т-подкл(инд)'!$Q$37</definedName>
    <definedName name="HEAT_TARIFF_H_DEL_HL_LOAD_COLUMN_MARKER">'ТС. Т-подкл(инд)'!$AM$37</definedName>
    <definedName name="HEAT_TARIFF_H_DEL_HL_NETS_COLUMN_MARKER">'ТС. Т-подкл(инд)'!$AN$37</definedName>
    <definedName name="HEAT_TARIFF_H_DEL_HL_SCHEME_COLUMN_MARKER">'ТС. Т-подкл(инд)'!$P$37</definedName>
    <definedName name="HEAT_TARIFF_H_DEL_HL_TN_COLUMN_MARKER">'ТС. Т-подкл(инд)'!$R$37</definedName>
    <definedName name="HEAT_TARIFF_H_DELETE_PERIOD_ROW_MARKER">'ТС. Т-подкл(инд)'!$O$38</definedName>
    <definedName name="HEAT_TARIFF_H_FLAG_BLOCK_COLUMN_MARKER">'ТС. Т-подкл(инд)'!$L$43</definedName>
    <definedName name="HEAT_TARIFF_H_FLAG_BLOCK_ROW_MARKER">'ТС. Т-подкл(инд)'!$O$23</definedName>
    <definedName name="HEAT_TARIFF_H_NUM_CS_COLUMN_MARKER">'ТС. Т-подкл(инд)'!$G$43</definedName>
    <definedName name="HEAT_TARIFF_H_NUM_DIAMETERS_COLUMN_MARKER">'ТС. Т-подкл(инд)'!$AO$37</definedName>
    <definedName name="HEAT_TARIFF_H_NUM_GC_COLUMN_MARKER">'ТС. Т-подкл(инд)'!$J$43</definedName>
    <definedName name="HEAT_TARIFF_H_NUM_IST_TE_COLUMN_MARKER">'ТС. Т-подкл(инд)'!$H$43</definedName>
    <definedName name="HEAT_TARIFF_H_NUM_LOAD_COLUMN_MARKER">'ТС. Т-подкл(инд)'!$AM$37</definedName>
    <definedName name="HEAT_TARIFF_H_NUM_NETS_COLUMN_MARKER">'ТС. Т-подкл(инд)'!$AN$37</definedName>
    <definedName name="HEAT_TARIFF_H_NUM_NTAR_COLUMN_MARKER">'ТС. Т-подкл(инд)'!$E$43</definedName>
    <definedName name="HEAT_TARIFF_H_NUM_SCHEME_COLUMN_MARKER">'ТС. Т-подкл(инд)'!$I$43</definedName>
    <definedName name="HEAT_TARIFF_H_NUM_TER_COLUMN_MARKER">'ТС. Т-подкл(инд)'!$F$43</definedName>
    <definedName name="HEAT_TARIFF_H_NUM_TN_COLUMN_MARKER">'ТС. Т-подкл(инд)'!$K$43</definedName>
    <definedName name="HEAT_TARIFF_I_1_ADD_HL_COLUMN_MARKER">'ТС. Т-ТЭ | индикат'!$T$36</definedName>
    <definedName name="HEAT_TARIFF_I_1_DEL_HL_GC_COLUMN_MARKER">'ТС. Т-ТЭ | индикат'!$Q$36</definedName>
    <definedName name="HEAT_TARIFF_I_1_DEL_HL_SCHEME_COLUMN_MARKER">'ТС. Т-ТЭ | индикат'!$P$36</definedName>
    <definedName name="HEAT_TARIFF_I_1_DEL_HL_TN_COLUMN_MARKER">'ТС. Т-ТЭ | индикат'!$R$36</definedName>
    <definedName name="HEAT_TARIFF_I_1_DELETE_PERIOD_ROW_MARKER">'ТС. Т-ТЭ | индикат'!$O$37</definedName>
    <definedName name="HEAT_TARIFF_I_1_FLAG_BLOCK_COLUMN_MARKER">'ТС. Т-ТЭ | индикат'!$L$41</definedName>
    <definedName name="HEAT_TARIFF_I_1_FLAG_BLOCK_ROW_MARKER">'ТС. Т-ТЭ | индикат'!$O$22</definedName>
    <definedName name="HEAT_TARIFF_I_1_NUM_CS_COLUMN_MARKER">'ТС. Т-ТЭ | индикат'!$G$41</definedName>
    <definedName name="HEAT_TARIFF_I_1_NUM_GC_COLUMN_MARKER">'ТС. Т-ТЭ | индикат'!$J$41</definedName>
    <definedName name="HEAT_TARIFF_I_1_NUM_IST_TE_COLUMN_MARKER">'ТС. Т-ТЭ | индикат'!$H$41</definedName>
    <definedName name="HEAT_TARIFF_I_1_NUM_NTAR_COLUMN_MARKER">'ТС. Т-ТЭ | индикат'!$E$41</definedName>
    <definedName name="HEAT_TARIFF_I_1_NUM_SCHEME_COLUMN_MARKER">'ТС. Т-ТЭ | индикат'!$I$41</definedName>
    <definedName name="HEAT_TARIFF_I_1_NUM_TER_COLUMN_MARKER">'ТС. Т-ТЭ | индикат'!$F$41</definedName>
    <definedName name="HEAT_TARIFF_I_1_NUM_TN_COLUMN_MARKER">'ТС. Т-ТЭ | индикат'!$K$41</definedName>
    <definedName name="HEAT_TARIFF_I_ADD_HL_COLUMN_MARKER">'ТС. Т-ТЭ | предел'!$T$36</definedName>
    <definedName name="HEAT_TARIFF_I_DEL_HL_GC_COLUMN_MARKER">'ТС. Т-ТЭ | предел'!$Q$36</definedName>
    <definedName name="HEAT_TARIFF_I_DEL_HL_SCHEME_COLUMN_MARKER">'ТС. Т-ТЭ | предел'!$P$36</definedName>
    <definedName name="HEAT_TARIFF_I_DEL_HL_TN_COLUMN_MARKER">'ТС. Т-ТЭ | предел'!$R$36</definedName>
    <definedName name="HEAT_TARIFF_I_DELETE_PERIOD_ROW_MARKER">'ТС. Т-ТЭ | предел'!$O$37</definedName>
    <definedName name="HEAT_TARIFF_I_FLAG_BLOCK_COLUMN_MARKER">'ТС. Т-ТЭ | предел'!$L$41</definedName>
    <definedName name="HEAT_TARIFF_I_FLAG_BLOCK_ROW_MARKER">'ТС. Т-ТЭ | предел'!$O$22</definedName>
    <definedName name="HEAT_TARIFF_I_NUM_CS_COLUMN_MARKER">'ТС. Т-ТЭ | предел'!$G$41</definedName>
    <definedName name="HEAT_TARIFF_I_NUM_GC_COLUMN_MARKER">'ТС. Т-ТЭ | предел'!$J$41</definedName>
    <definedName name="HEAT_TARIFF_I_NUM_IST_TE_COLUMN_MARKER">'ТС. Т-ТЭ | предел'!$H$41</definedName>
    <definedName name="HEAT_TARIFF_I_NUM_NTAR_COLUMN_MARKER">'ТС. Т-ТЭ | предел'!$E$41</definedName>
    <definedName name="HEAT_TARIFF_I_NUM_SCHEME_COLUMN_MARKER">'ТС. Т-ТЭ | предел'!$I$41</definedName>
    <definedName name="HEAT_TARIFF_I_NUM_TER_COLUMN_MARKER">'ТС. Т-ТЭ | предел'!$F$41</definedName>
    <definedName name="HEAT_TARIFF_I_NUM_TN_COLUMN_MARKER">'ТС. Т-ТЭ | предел'!$K$41</definedName>
    <definedName name="HOTVSNA_FIN_SRC_LIST">TEHSHEET!$BJ$4:$BJ$34</definedName>
    <definedName name="HOTVSNA_FIN_SRC_VLD_LIST">TEHSHEET!$BJ$39:$BJ$60</definedName>
    <definedName name="HOTVSNA_IP_EVENT_CI_STAGE_LIST">TEHSHEET!$BJ$97:$BJ$100</definedName>
    <definedName name="HOTVSNA_IP_EVENT_GROUP_LIST">TEHSHEET!$BJ$69:$BJ$76</definedName>
    <definedName name="HOTVSNA_IP_EVENT_SUBGROUP_1_LIST">TEHSHEET!$BJ$80:$BJ$83</definedName>
    <definedName name="HOTVSNA_IP_EVENT_SUBGROUP_3_LIST">TEHSHEET!$BJ$87:$BJ$88</definedName>
    <definedName name="HOTVSNA_IP_EVENT_SUBGROUP_5_LIST">TEHSHEET!$BJ$92:$BJ$93</definedName>
    <definedName name="HOTVSNA_IP_EVENT_TYPE_LIST">TEHSHEET!$BJ$108</definedName>
    <definedName name="HOTVSNA_PT_VED_ID">TEHSHEET!$BW$19:$BW$21</definedName>
    <definedName name="HOTVSNA_PT_VED_NAME">TEHSHEET!$BX$19:$BX$21</definedName>
    <definedName name="HOTVSNA_PT_VED_NAME_LIST">TEHSHEET!$BW$19:$BX$21</definedName>
    <definedName name="HOTVSNA_TARIFF_A_HOTVSNA_ADD_HL_COLUMN_MARKER">'ГВС. Т-гор.вода'!$T$34</definedName>
    <definedName name="HOTVSNA_TARIFF_A_HOTVSNA_DEL_HL_DATA_DIFF_COLUMN_MARKER">'ГВС. Т-гор.вода'!$R$34</definedName>
    <definedName name="HOTVSNA_TARIFF_A_HOTVSNA_DEL_HL_FLAG_DIFF_COLUMN_MARKER">'ГВС. Т-гор.вода'!$P$34</definedName>
    <definedName name="HOTVSNA_TARIFF_A_HOTVSNA_DEL_HL_GC_COLUMN_MARKER">'ГВС. Т-гор.вода'!$Q$34</definedName>
    <definedName name="HOTVSNA_TARIFF_A_HOTVSNA_DELETE_PERIOD_ROW_MARKER">'ГВС. Т-гор.вода'!$O$35</definedName>
    <definedName name="HOTVSNA_TARIFF_A_HOTVSNA_FLAG_BLOCK_COLUMN_MARKER">'ГВС. Т-гор.вода'!$L$36</definedName>
    <definedName name="HOTVSNA_TARIFF_A_HOTVSNA_FLAG_BLOCK_ROW_MARKER">'ГВС. Т-гор.вода'!$O$20</definedName>
    <definedName name="HOTVSNA_TARIFF_A_HOTVSNA_NUM_CS_COLUMN_MARKER">'ГВС. Т-гор.вода'!$G$36</definedName>
    <definedName name="HOTVSNA_TARIFF_A_HOTVSNA_NUM_DATA_DIFF_COLUMN_MARKER">'ГВС. Т-гор.вода'!$K$36</definedName>
    <definedName name="HOTVSNA_TARIFF_A_HOTVSNA_NUM_FLAG_DIFF_COLUMN_MARKER">'ГВС. Т-гор.вода'!$I$36</definedName>
    <definedName name="HOTVSNA_TARIFF_A_HOTVSNA_NUM_GC_COLUMN_MARKER">'ГВС. Т-гор.вода'!$J$36</definedName>
    <definedName name="HOTVSNA_TARIFF_A_HOTVSNA_NUM_NTAR_COLUMN_MARKER">'ГВС. Т-гор.вода'!$E$36</definedName>
    <definedName name="HOTVSNA_TARIFF_A_HOTVSNA_NUM_TER_COLUMN_MARKER">'ГВС. Т-гор.вода'!$F$36</definedName>
    <definedName name="HOTVSNA_TARIFF_B_HOTVSNA_ADD_HL_COLUMN_MARKER">'ГВС. Т-транс'!$T$34</definedName>
    <definedName name="HOTVSNA_TARIFF_B_HOTVSNA_DEL_HL_DATA_DIFF_COLUMN_MARKER">'ГВС. Т-транс'!$R$34</definedName>
    <definedName name="HOTVSNA_TARIFF_B_HOTVSNA_DEL_HL_FLAG_DIFF_COLUMN_MARKER">'ГВС. Т-транс'!$P$34</definedName>
    <definedName name="HOTVSNA_TARIFF_B_HOTVSNA_DEL_HL_GC_COLUMN_MARKER">'ГВС. Т-транс'!$Q$34</definedName>
    <definedName name="HOTVSNA_TARIFF_B_HOTVSNA_DELETE_PERIOD_ROW_MARKER">'ГВС. Т-транс'!$O$35</definedName>
    <definedName name="HOTVSNA_TARIFF_B_HOTVSNA_FLAG_BLOCK_COLUMN_MARKER">'ГВС. Т-транс'!$L$36</definedName>
    <definedName name="HOTVSNA_TARIFF_B_HOTVSNA_FLAG_BLOCK_ROW_MARKER">'ГВС. Т-транс'!$O$20</definedName>
    <definedName name="HOTVSNA_TARIFF_B_HOTVSNA_NUM_CS_COLUMN_MARKER">'ГВС. Т-транс'!$G$36</definedName>
    <definedName name="HOTVSNA_TARIFF_B_HOTVSNA_NUM_DATA_DIFF_COLUMN_MARKER">'ГВС. Т-транс'!$K$36</definedName>
    <definedName name="HOTVSNA_TARIFF_B_HOTVSNA_NUM_FLAG_DIFF_COLUMN_MARKER">'ГВС. Т-транс'!$I$36</definedName>
    <definedName name="HOTVSNA_TARIFF_B_HOTVSNA_NUM_GC_COLUMN_MARKER">'ГВС. Т-транс'!$J$36</definedName>
    <definedName name="HOTVSNA_TARIFF_B_HOTVSNA_NUM_NTAR_COLUMN_MARKER">'ГВС. Т-транс'!$E$36</definedName>
    <definedName name="HOTVSNA_TARIFF_B_HOTVSNA_NUM_TER_COLUMN_MARKER">'ГВС. Т-транс'!$F$36</definedName>
    <definedName name="HOTVSNA_TARIFF_C_HOTVSNA_ADD_HL_COLUMN_MARKER">'ГВС. Т-подкл'!$T$38</definedName>
    <definedName name="HOTVSNA_TARIFF_C_HOTVSNA_ADD_HL_DIAMETERS_COLUMN_MARKER">'ГВС. Т-подкл'!$AK$38</definedName>
    <definedName name="HOTVSNA_TARIFF_C_HOTVSNA_ADD_HL_LEN_COLUMN_MARKER">'ГВС. Т-подкл'!$AO$38</definedName>
    <definedName name="HOTVSNA_TARIFF_C_HOTVSNA_ADD_HL_LOAD_COLUMN_MARKER">'ГВС. Т-подкл'!$AG$38</definedName>
    <definedName name="HOTVSNA_TARIFF_C_HOTVSNA_ADD_HL_NETS_COLUMN_MARKER">'ГВС. Т-подкл'!$AS$38</definedName>
    <definedName name="HOTVSNA_TARIFF_C_HOTVSNA_DEL_HL_DATA_DIFF_COLUMN_MARKER">'ГВС. Т-подкл'!$R$38</definedName>
    <definedName name="HOTVSNA_TARIFF_C_HOTVSNA_DEL_HL_DIAMETERS_COLUMN_MARKER">'ГВС. Т-подкл'!$AI$38</definedName>
    <definedName name="HOTVSNA_TARIFF_C_HOTVSNA_DEL_HL_FLAG_DIFF_COLUMN_MARKER">'ГВС. Т-подкл'!$P$38</definedName>
    <definedName name="HOTVSNA_TARIFF_C_HOTVSNA_DEL_HL_GC_COLUMN_MARKER">'ГВС. Т-подкл'!$Q$38</definedName>
    <definedName name="HOTVSNA_TARIFF_C_HOTVSNA_DEL_HL_LEN_COLUMN_MARKER">'ГВС. Т-подкл'!$AM$38</definedName>
    <definedName name="HOTVSNA_TARIFF_C_HOTVSNA_DEL_HL_LOAD_COLUMN_MARKER">'ГВС. Т-подкл'!$AE$38</definedName>
    <definedName name="HOTVSNA_TARIFF_C_HOTVSNA_DEL_HL_NETS_COLUMN_MARKER">'ГВС. Т-подкл'!$AQ$38</definedName>
    <definedName name="HOTVSNA_TARIFF_C_HOTVSNA_DELETE_PERIOD_ROW_MARKER">'ГВС. Т-подкл'!$O$39</definedName>
    <definedName name="HOTVSNA_TARIFF_C_HOTVSNA_FLAG_BLOCK_COLUMN_MARKER">'ГВС. Т-подкл'!$L$44</definedName>
    <definedName name="HOTVSNA_TARIFF_C_HOTVSNA_FLAG_BLOCK_ROW_MARKER">'ГВС. Т-подкл'!$O$24</definedName>
    <definedName name="HOTVSNA_TARIFF_C_HOTVSNA_NUM_CS_COLUMN_MARKER">'ГВС. Т-подкл'!$G$44</definedName>
    <definedName name="HOTVSNA_TARIFF_C_HOTVSNA_NUM_DATA_DIFF_COLUMN_MARKER">'ГВС. Т-подкл'!$K$44</definedName>
    <definedName name="HOTVSNA_TARIFF_C_HOTVSNA_NUM_DIAMETERS_COLUMN_MARKER">'ГВС. Т-подкл'!$AJ$38</definedName>
    <definedName name="HOTVSNA_TARIFF_C_HOTVSNA_NUM_FLAG_DIFF_COLUMN_MARKER">'ГВС. Т-подкл'!$I$44</definedName>
    <definedName name="HOTVSNA_TARIFF_C_HOTVSNA_NUM_GC_COLUMN_MARKER">'ГВС. Т-подкл'!$J$44</definedName>
    <definedName name="HOTVSNA_TARIFF_C_HOTVSNA_NUM_LEN_COLUMN_MARKER">'ГВС. Т-подкл'!$AN$38</definedName>
    <definedName name="HOTVSNA_TARIFF_C_HOTVSNA_NUM_LOAD_COLUMN_MARKER">'ГВС. Т-подкл'!$AF$38</definedName>
    <definedName name="HOTVSNA_TARIFF_C_HOTVSNA_NUM_NETS_COLUMN_MARKER">'ГВС. Т-подкл'!$AR$38</definedName>
    <definedName name="HOTVSNA_TARIFF_C_HOTVSNA_NUM_NTAR_COLUMN_MARKER">'ГВС. Т-подкл'!$E$44</definedName>
    <definedName name="HOTVSNA_TARIFF_C_HOTVSNA_NUM_TER_COLUMN_MARKER">'ГВС. Т-подкл'!$F$44</definedName>
    <definedName name="Info_Diff">modInfo!$B$28</definedName>
    <definedName name="Info_Diff1">modInfo!$B$30</definedName>
    <definedName name="Info_FilFlag">modInfo!$B$1</definedName>
    <definedName name="Info_ForMOInListMO">modInfo!$B$18</definedName>
    <definedName name="Info_ForMRInListMO">modInfo!$B$17</definedName>
    <definedName name="Info_ForSKIInListMO">modInfo!$B$19</definedName>
    <definedName name="Info_ForSKINumberInListMO">modInfo!$B$20</definedName>
    <definedName name="Info_NoteStandarts">modInfo!$B$22</definedName>
    <definedName name="Info_NoUpdates">modInfo!$B$36</definedName>
    <definedName name="Info_PeriodInTitle">modInfo!$B$4</definedName>
    <definedName name="Info_PrDiff">modInfo!$B$29</definedName>
    <definedName name="Info_PublicationNotDisclosed">modInfo!$B$15</definedName>
    <definedName name="Info_PublicationPdf">modInfo!$B$14</definedName>
    <definedName name="Info_PublicationWeb">modInfo!$B$13</definedName>
    <definedName name="Info_T_Podkl">modInfo!$B$24</definedName>
    <definedName name="Info_TarName">modInfo!$B$27</definedName>
    <definedName name="Info_TerExcludeHelp_1">modInfo!$B$33</definedName>
    <definedName name="Info_TerExcludeHelp_2">modInfo!$B$34</definedName>
    <definedName name="Info_TitleFil">modInfo!$B$11</definedName>
    <definedName name="Info_TitleFlagCrossSubsidization">modInfo!$B$8</definedName>
    <definedName name="Info_TitleFlagIstPubl">modInfo!$B$9</definedName>
    <definedName name="Info_TitleFlagTwoPartTariff">modInfo!$B$7</definedName>
    <definedName name="Info_TitleGroupRates">modInfo!$B$5</definedName>
    <definedName name="Info_TitleKindPublication">modInfo!$B$3</definedName>
    <definedName name="Info_TitleKindsOfGoods">modInfo!$B$6</definedName>
    <definedName name="Info_TitlePublication">modInfo!$B$2</definedName>
    <definedName name="Info_TitleType">modInfo!$B$10</definedName>
    <definedName name="inn">Титульный!$F$33</definedName>
    <definedName name="IP_CLAIM_LIST">TEHSHEET!$AZ$20:$AZ$26</definedName>
    <definedName name="IP_DETAILED_ADD_HL_EVENT_COLUMN_MARKER">'ИП. Детализация'!$I$7</definedName>
    <definedName name="IP_DETAILED_ADD_HL_IST_FIN_COLUMN_MARKER">'ИП. Детализация'!$AB$7</definedName>
    <definedName name="IP_DETAILED_ADD_HL_OBJECT_COLUMN_MARKER">'ИП. Детализация'!$P$7</definedName>
    <definedName name="IP_DETAILED_DATA_KS">'ИП. Детализация'!$M$7</definedName>
    <definedName name="IP_DETAILED_EVENT_MARKER">'ИП. Детализация'!$K$7:$Y$7</definedName>
    <definedName name="IP_DETAILED_EVENT_SUBGROUP_COLUMN_MARKER">'ИП. Детализация'!$J$7</definedName>
    <definedName name="IP_DETAILED_EVENT_SUBGROUP_RANGE_COLUMN_MARKER">'ИП. Детализация'!$B$7</definedName>
    <definedName name="IP_DETAILED_FLAG_KS">'ИП. Детализация'!$L$7</definedName>
    <definedName name="IP_DETAILED_FLAG_OBJECT">'ИП. Детализация'!$P$13</definedName>
    <definedName name="IP_DETAILED_GROUP_MARKER">'ИП. Детализация'!$I$7:$J$7</definedName>
    <definedName name="IP_DETAILED_IST_FIN_FACT_COLUMN_MARKER">'ИП. Детализация'!$AD$7</definedName>
    <definedName name="IP_DETAILED_LIST_IP_ID">'ИП. Детализация'!$A$14:$A$14</definedName>
    <definedName name="IP_DETAILED_MONTH_FACT_COLUMN_MARKER">'ИП. Детализация'!$AJ$7</definedName>
    <definedName name="IP_DETAILED_MONTH_PLAN_COLUMN_MARKER">'ИП. Детализация'!$AG$7</definedName>
    <definedName name="IP_DETAILED_NAME_EVENT_COLUMN_MARKER">'ИП. Детализация'!$K$7</definedName>
    <definedName name="IP_DETAILED_YEAR_FACT_COLUMN_MARKER">'ИП. Детализация'!$AK$7</definedName>
    <definedName name="IP_DETAILED_YEAR_PLAN_COLUMN_MARKER">'ИП. Детализация'!$AH$7</definedName>
    <definedName name="IP_FIN_PLAN_LIST_ID_MARKER_ROW">'ИП. Финансовый план'!$E$8</definedName>
    <definedName name="IP_FIN_PLAN_NAME_IP_MARKER_ROW">'ИП. Финансовый план'!$E$11</definedName>
    <definedName name="IP_FIN_PLAN_YEAR_MARKER_ROW">'ИП. Финансовый план'!$E$12</definedName>
    <definedName name="IP_ID">TEHSHEET!$E$58</definedName>
    <definedName name="IP_MAIN_ADD_HL_PROPERTY_COLUMN_MARKER">ИП!$AB$7</definedName>
    <definedName name="IP_MAIN_APPROVAL_DATE">ИП!$I$11:$I$13</definedName>
    <definedName name="IP_MAIN_CHANGE_DATE">ИП!$J$11:$J$13</definedName>
    <definedName name="IP_MAIN_CLAIM">ИП!$K$11:$K$13</definedName>
    <definedName name="IP_MAIN_DATE_PARKING">ИП!$L$5</definedName>
    <definedName name="IP_MAIN_DELETE_HL_COLUMN_MARKER">ИП!$E$7</definedName>
    <definedName name="IP_MAIN_DIFFERENTIATION_EVENTS_FLAG">ИП!$H$11:$H$13</definedName>
    <definedName name="IP_MAIN_END_DATE">ИП!$O$11:$O$13</definedName>
    <definedName name="IP_MAIN_FLAG_KS">ИП!$Y$11:$Y$13</definedName>
    <definedName name="IP_MAIN_FLAG_KS_COLUMN_MARKER">ИП!$Y$7</definedName>
    <definedName name="IP_MAIN_IP_FIN_PLAN_VISIBLE_FLAG">ИП!$H$15</definedName>
    <definedName name="IP_MAIN_LIST_IP_ID">ИП!$AD$11:$AD$13</definedName>
    <definedName name="IP_MAIN_LIST_NAME_IP">ИП!$G$11:$G$13</definedName>
    <definedName name="IP_MAIN_PERIOD_REALIZ_DATE">ИП!$P$11:$P$13</definedName>
    <definedName name="IP_MAIN_PR_IP_CHANGE_DATE">ИП!$X$11:$X$13</definedName>
    <definedName name="IP_MAIN_PR_IP_DATE">ИП!$T$11:$T$13</definedName>
    <definedName name="IP_MAIN_PR_IP_NAME">ИП!$Q$11:$Q$13</definedName>
    <definedName name="IP_MAIN_PR_IP_NUMBER">ИП!$S$11:$S$13</definedName>
    <definedName name="IP_MAIN_PR_IP_TYPE">ИП!$R$11:$R$13</definedName>
    <definedName name="IP_MAIN_START_DATE">ИП!$N$11:$N$13</definedName>
    <definedName name="IP_NAME_FORM">DATA_FORMS!$C$32</definedName>
    <definedName name="IP_QRE_ADD_HL_CLAIM_COLUMN_MARKER">'ИП. КНЭ'!$G$7</definedName>
    <definedName name="IP_QRE_ADD_HL_COLUMN_MARKER">'ИП. КНЭ'!$G$8</definedName>
    <definedName name="IP_QRE_DELETE_HL_COLUMN_MARKER">'ИП. КНЭ'!$E$8</definedName>
    <definedName name="IP_QRE_LIST_IP_ID">'ИП. КНЭ'!$A$18:$A$20</definedName>
    <definedName name="IP_QRE_NUM_COLUMN_MARKER">'ИП. КНЭ'!$F$8</definedName>
    <definedName name="IP_QRE_OTKO_FEATURES_BLOCK">'ИП. КНЭ'!$DY$8</definedName>
    <definedName name="IP_QRE_VOTV_FEATURES_BLOCK">'ИП. КНЭ'!$CY$8:$DX$8</definedName>
    <definedName name="IP_QRE_VSNA_FEATURES_BLOCK">'ИП. КНЭ'!$BT$8:$CX$8</definedName>
    <definedName name="IP_QRE_WARM_FEATURES_BLOCK">'ИП. КНЭ'!$O$8:$BS$8</definedName>
    <definedName name="IST_TE_ID">TEHSHEET!$E$64</definedName>
    <definedName name="kind_group_rates">TEHSHEET!$X$2:$X$14</definedName>
    <definedName name="kind_group_rates_load">TEHSHEET!$AP$2:$AP$11</definedName>
    <definedName name="kind_group_rates_load_ETS">TEHSHEET!$AP$2:$AP$11</definedName>
    <definedName name="kind_group_rates_load_filter">TEHSHEET!$AQ$2:$AQ$11</definedName>
    <definedName name="kind_group_rates_load_filter_ETS">TEHSHEET!$AQ$2:$AQ$11</definedName>
    <definedName name="kind_of_activity_WARM">TEHSHEET!$N$2:$N$8</definedName>
    <definedName name="kind_of_cons">TEHSHEET!$R$2:$R$6</definedName>
    <definedName name="kind_of_control_method">TEHSHEET!$K$2:$K$5</definedName>
    <definedName name="kind_of_control_method_filter">TEHSHEET!$L$2:$L$5</definedName>
    <definedName name="kind_of_data_type">TEHSHEET!$P$2:$P$3</definedName>
    <definedName name="kind_of_diameters">TEHSHEET!$T$2:$T$6</definedName>
    <definedName name="kind_of_diameters2">TEHSHEET!$AU$2:$AU$8</definedName>
    <definedName name="kind_of_diff">TEHSHEET!$AS$2:$AS$4</definedName>
    <definedName name="kind_of_fuel">TEHSHEET!$AK$2:$AK$9</definedName>
    <definedName name="kind_of_fuels">TEHSHEET!$BB$2:$BB$29</definedName>
    <definedName name="kind_of_heat_transfer">TEHSHEET!$O$2:$O$12</definedName>
    <definedName name="kind_of_heat_transfer2">TEHSHEET!$AH$2:$AH$7</definedName>
    <definedName name="kind_of_heat_transfer3">TEHSHEET!$AI$2:$AI$3</definedName>
    <definedName name="kind_of_load">TEHSHEET!$U$2:$U$7</definedName>
    <definedName name="kind_of_load2">TEHSHEET!$U$2:$U$4</definedName>
    <definedName name="kind_of_load3">TEHSHEET!$AF$2:$AF$5</definedName>
    <definedName name="kind_of_load4">TEHSHEET!$U$2:$U$5</definedName>
    <definedName name="kind_of_NDS">TEHSHEET!$H$2:$H$8</definedName>
    <definedName name="kind_of_NDS_tariff">TEHSHEET!$H$10:$H$11</definedName>
    <definedName name="kind_of_NDS_tariff_people">TEHSHEET!$H$16:$H$17</definedName>
    <definedName name="kind_of_nets">TEHSHEET!$S$2:$S$4</definedName>
    <definedName name="kind_of_org_type">TEHSHEET!$AZ$2:$AZ$5</definedName>
    <definedName name="kind_of_power_te_unit">TEHSHEET!$J$11:$J$12</definedName>
    <definedName name="kind_of_publication">TEHSHEET!$G$2:$G$3</definedName>
    <definedName name="kind_of_purchase_method">TEHSHEET!$K$11:$K$13</definedName>
    <definedName name="kind_of_scheme_in">TEHSHEET!$Q$2:$Q$5</definedName>
    <definedName name="kind_of_scheme_in2">TEHSHEET!$Q$3:$Q$5</definedName>
    <definedName name="kind_of_tariff_unit">TEHSHEET!$J$7:$J$8</definedName>
    <definedName name="kind_of_unit">TEHSHEET!$J$2:$J$4</definedName>
    <definedName name="kind_of_volume_te_unit">TEHSHEET!$J$15:$J$16</definedName>
    <definedName name="kind_of_zak">TEHSHEET!$AM$2:$AM$7</definedName>
    <definedName name="KNE_NAME_FORM">DATA_FORMS!$C$8</definedName>
    <definedName name="kpp">Титульный!$F$34</definedName>
    <definedName name="LINK_RANGE">REESTR_LINK!$B$2:$B$3</definedName>
    <definedName name="List_H">TEHSHEET!$AW$2:$AW$25</definedName>
    <definedName name="List_M">TEHSHEET!$AX$2:$AX$61</definedName>
    <definedName name="LIST_MR_MO_OKTMO">REESTR_MO!$A$2:$D$709</definedName>
    <definedName name="LIST_MR_MO_OKTMO_FILTER">REESTR_MO_FILTER!$A$2:$D$708</definedName>
    <definedName name="ListForms">modSheetMain!$A:$A</definedName>
    <definedName name="logical">TEHSHEET!$D$2:$D$3</definedName>
    <definedName name="MONTH">TEHSHEET!$E$2:$E$13</definedName>
    <definedName name="MONTH_IP_LIST">TEHSHEET!$BF$2:$BF$13</definedName>
    <definedName name="nalog">Титульный!$F$37</definedName>
    <definedName name="name_rates_4">TEHSHEET!$AA$2:$AA$3</definedName>
    <definedName name="name_rates_4_filter">TEHSHEET!$AB$2:$AB$3</definedName>
    <definedName name="name_rates_8">TEHSHEET!$AC$2:$AC$4</definedName>
    <definedName name="name_rates_8_filter">TEHSHEET!$AD$2:$AD$4</definedName>
    <definedName name="NameTemplatesInListMO">TEHSHEET!$K$45</definedName>
    <definedName name="NameTemplatesInTitle">TEHSHEET!$J$45</definedName>
    <definedName name="NameTemplatesInTitleList">TEHSHEET!$J$46:$J$53</definedName>
    <definedName name="NTAR_ID">TEHSHEET!$E$61</definedName>
    <definedName name="OFFER_DPR">Предложение!$L$82</definedName>
    <definedName name="OFFER_METHOD">Предложение!$K$24:$K$80</definedName>
    <definedName name="OFFER_METHOD_FLAG">TEHSHEET!$L$6</definedName>
    <definedName name="OFFER_TARIFF_A_1">Предложение!$24:$26</definedName>
    <definedName name="OFFER_TARIFF_A_2">Предложение!$84:$86</definedName>
    <definedName name="OFFER_TARIFF_A_3">Предложение!$142:$144</definedName>
    <definedName name="OFFER_TARIFF_A_4">Предложение!$200:$202</definedName>
    <definedName name="OFFER_TARIFF_A_5">Предложение!$258:$260</definedName>
    <definedName name="OFFER_TARIFF_A_COLDVSNA_1">Предложение!$48:$50</definedName>
    <definedName name="OFFER_TARIFF_A_COLDVSNA_2">Предложение!$108:$110</definedName>
    <definedName name="OFFER_TARIFF_A_COLDVSNA_3">Предложение!$166:$168</definedName>
    <definedName name="OFFER_TARIFF_A_COLDVSNA_4">Предложение!$224:$226</definedName>
    <definedName name="OFFER_TARIFF_A_COLDVSNA_5">Предложение!$282:$284</definedName>
    <definedName name="OFFER_TARIFF_A_HOTVSNA_1">Предложение!$63:$65</definedName>
    <definedName name="OFFER_TARIFF_A_HOTVSNA_2">Предложение!$123:$125</definedName>
    <definedName name="OFFER_TARIFF_A_HOTVSNA_3">Предложение!$181:$183</definedName>
    <definedName name="OFFER_TARIFF_A_HOTVSNA_4">Предложение!$239:$241</definedName>
    <definedName name="OFFER_TARIFF_A_HOTVSNA_5">Предложение!$297:$299</definedName>
    <definedName name="OFFER_TARIFF_A_VOTV_1">Предложение!$72:$74</definedName>
    <definedName name="OFFER_TARIFF_A_VOTV_2">Предложение!$132:$134</definedName>
    <definedName name="OFFER_TARIFF_A_VOTV_3">Предложение!$190:$192</definedName>
    <definedName name="OFFER_TARIFF_A_VOTV_4">Предложение!$248:$250</definedName>
    <definedName name="OFFER_TARIFF_A_VOTV_5">Предложение!$306:$308</definedName>
    <definedName name="OFFER_TARIFF_B_1">Предложение!$27:$29</definedName>
    <definedName name="OFFER_TARIFF_B_2">Предложение!$87:$89</definedName>
    <definedName name="OFFER_TARIFF_B_3">Предложение!$145:$147</definedName>
    <definedName name="OFFER_TARIFF_B_4">Предложение!$203:$205</definedName>
    <definedName name="OFFER_TARIFF_B_5">Предложение!$261:$263</definedName>
    <definedName name="OFFER_TARIFF_B_COLDVSNA_1">Предложение!$51:$53</definedName>
    <definedName name="OFFER_TARIFF_B_COLDVSNA_2">Предложение!$111:$113</definedName>
    <definedName name="OFFER_TARIFF_B_COLDVSNA_3">Предложение!$169:$171</definedName>
    <definedName name="OFFER_TARIFF_B_COLDVSNA_4">Предложение!$227:$229</definedName>
    <definedName name="OFFER_TARIFF_B_COLDVSNA_5">Предложение!$285:$287</definedName>
    <definedName name="OFFER_TARIFF_B_HOTVSNA_1">Предложение!$66:$68</definedName>
    <definedName name="OFFER_TARIFF_B_HOTVSNA_2">Предложение!$126:$128</definedName>
    <definedName name="OFFER_TARIFF_B_HOTVSNA_3">Предложение!$184:$186</definedName>
    <definedName name="OFFER_TARIFF_B_HOTVSNA_4">Предложение!$242:$244</definedName>
    <definedName name="OFFER_TARIFF_B_HOTVSNA_5">Предложение!$300:$302</definedName>
    <definedName name="OFFER_TARIFF_B_VOTV_1">Предложение!$75:$77</definedName>
    <definedName name="OFFER_TARIFF_B_VOTV_2">Предложение!$135:$137</definedName>
    <definedName name="OFFER_TARIFF_B_VOTV_3">Предложение!$193:$195</definedName>
    <definedName name="OFFER_TARIFF_B_VOTV_4">Предложение!$251:$253</definedName>
    <definedName name="OFFER_TARIFF_B_VOTV_5">Предложение!$309:$311</definedName>
    <definedName name="OFFER_TARIFF_C_1">Предложение!$30:$32</definedName>
    <definedName name="OFFER_TARIFF_C_2">Предложение!$90:$92</definedName>
    <definedName name="OFFER_TARIFF_C_3">Предложение!$148:$150</definedName>
    <definedName name="OFFER_TARIFF_C_4">Предложение!$206:$208</definedName>
    <definedName name="OFFER_TARIFF_C_5">Предложение!$264:$266</definedName>
    <definedName name="OFFER_TARIFF_C_COLDVSNA_1">Предложение!$54:$56</definedName>
    <definedName name="OFFER_TARIFF_C_COLDVSNA_2">Предложение!$114:$116</definedName>
    <definedName name="OFFER_TARIFF_C_COLDVSNA_3">Предложение!$172:$174</definedName>
    <definedName name="OFFER_TARIFF_C_COLDVSNA_4">Предложение!$230:$232</definedName>
    <definedName name="OFFER_TARIFF_C_COLDVSNA_5">Предложение!$288:$290</definedName>
    <definedName name="OFFER_TARIFF_C_HOTVSNA_1">Предложение!$69:$71</definedName>
    <definedName name="OFFER_TARIFF_C_HOTVSNA_2">Предложение!$129:$131</definedName>
    <definedName name="OFFER_TARIFF_C_HOTVSNA_3">Предложение!$187:$189</definedName>
    <definedName name="OFFER_TARIFF_C_HOTVSNA_4">Предложение!$245:$247</definedName>
    <definedName name="OFFER_TARIFF_C_HOTVSNA_5">Предложение!$303:$305</definedName>
    <definedName name="OFFER_TARIFF_C_VOTV_1">Предложение!$78:$80</definedName>
    <definedName name="OFFER_TARIFF_C_VOTV_2">Предложение!$138:$140</definedName>
    <definedName name="OFFER_TARIFF_C_VOTV_3">Предложение!$196:$198</definedName>
    <definedName name="OFFER_TARIFF_C_VOTV_4">Предложение!$254:$256</definedName>
    <definedName name="OFFER_TARIFF_C_VOTV_5">Предложение!$312:$314</definedName>
    <definedName name="OFFER_TARIFF_D_1">Предложение!$33:$35</definedName>
    <definedName name="OFFER_TARIFF_D_2">Предложение!$93:$95</definedName>
    <definedName name="OFFER_TARIFF_D_3">Предложение!$151:$153</definedName>
    <definedName name="OFFER_TARIFF_D_4">Предложение!$209:$211</definedName>
    <definedName name="OFFER_TARIFF_D_5">Предложение!$267:$269</definedName>
    <definedName name="OFFER_TARIFF_D_COLDVSNA_1">Предложение!$57:$59</definedName>
    <definedName name="OFFER_TARIFF_D_COLDVSNA_2">Предложение!$117:$119</definedName>
    <definedName name="OFFER_TARIFF_D_COLDVSNA_3">Предложение!$175:$177</definedName>
    <definedName name="OFFER_TARIFF_D_COLDVSNA_4">Предложение!$233:$235</definedName>
    <definedName name="OFFER_TARIFF_D_COLDVSNA_5">Предложение!$291:$293</definedName>
    <definedName name="OFFER_TARIFF_E_COLDVSNA_1">Предложение!$60:$62</definedName>
    <definedName name="OFFER_TARIFF_E_COLDVSNA_2">Предложение!$120:$122</definedName>
    <definedName name="OFFER_TARIFF_E_COLDVSNA_3">Предложение!$178:$180</definedName>
    <definedName name="OFFER_TARIFF_E_COLDVSNA_4">Предложение!$236:$238</definedName>
    <definedName name="OFFER_TARIFF_E_COLDVSNA_5">Предложение!$294:$296</definedName>
    <definedName name="OFFER_TARIFF_E1_1">Предложение!$36:$38</definedName>
    <definedName name="OFFER_TARIFF_E1_2">Предложение!$96:$98</definedName>
    <definedName name="OFFER_TARIFF_E1_3">Предложение!$154:$156</definedName>
    <definedName name="OFFER_TARIFF_E1_4">Предложение!$212:$214</definedName>
    <definedName name="OFFER_TARIFF_E1_5">Предложение!$270:$272</definedName>
    <definedName name="OFFER_TARIFF_E2_1">Предложение!$39:$41</definedName>
    <definedName name="OFFER_TARIFF_E2_2">Предложение!$99:$101</definedName>
    <definedName name="OFFER_TARIFF_E2_3">Предложение!$157:$159</definedName>
    <definedName name="OFFER_TARIFF_E2_4">Предложение!$215:$217</definedName>
    <definedName name="OFFER_TARIFF_E2_5">Предложение!$273:$275</definedName>
    <definedName name="OFFER_TARIFF_F_1">Предложение!$42:$44</definedName>
    <definedName name="OFFER_TARIFF_F_2">Предложение!$102:$104</definedName>
    <definedName name="OFFER_TARIFF_F_3">Предложение!$160:$162</definedName>
    <definedName name="OFFER_TARIFF_F_4">Предложение!$218:$220</definedName>
    <definedName name="OFFER_TARIFF_F_5">Предложение!$276:$278</definedName>
    <definedName name="OFFER_TARIFF_G_1">Предложение!$45:$47</definedName>
    <definedName name="OFFER_TARIFF_G_2">Предложение!$105:$107</definedName>
    <definedName name="OFFER_TARIFF_G_3">Предложение!$163:$165</definedName>
    <definedName name="OFFER_TARIFF_G_4">Предложение!$221:$223</definedName>
    <definedName name="OFFER_TARIFF_G_5">Предложение!$279:$281</definedName>
    <definedName name="org">Титульный!$F$31</definedName>
    <definedName name="Org_Address">Титульный!$F$64:$F$64</definedName>
    <definedName name="ORG_END_DATE">TEHSHEET!$F$29</definedName>
    <definedName name="ORG_INFO_DATE_OGRN">'Общая информация об организации'!$F$17</definedName>
    <definedName name="ORG_INFO_DATE_PARKING">'Общая информация об организации'!$G$4</definedName>
    <definedName name="ORG_INFO_DATE_UNI_TS">'Общая информация об организации'!$F$21</definedName>
    <definedName name="ORG_INFO_EMAIL">'Общая информация об организации'!$F$44</definedName>
    <definedName name="ORG_INFO_ET">'Общая информация об организации'!$F$20:$F$24</definedName>
    <definedName name="ORG_INFO_ET_CYAN">'Общая информация об организации'!$F$20:$F$23</definedName>
    <definedName name="ORG_INFO_FLAG_INVEST">'Общая информация об организации'!$F$51</definedName>
    <definedName name="ORG_INFO_NAME_FORM">DATA_FORMS!$C$4</definedName>
    <definedName name="ORG_INFO_P_NOTE_MAIN">DATA_NPA!$N$3</definedName>
    <definedName name="ORG_INFO_RESP_EMAIL">'Общая информация об организации'!$F$32</definedName>
    <definedName name="ORG_INFO_URL">'Общая информация об организации'!$F$43</definedName>
    <definedName name="Org_main">Титульный!$F$65</definedName>
    <definedName name="ORG_START_DATE">TEHSHEET!$E$29</definedName>
    <definedName name="ORG_TERRITORY_FIRST_MO">'Сведения по территориям'!$G$12</definedName>
    <definedName name="ORG_TERRITORY_FLAG_INTERNET">'Сведения по территориям'!$J$11:$J$13</definedName>
    <definedName name="ORG_TERRITORY_LINK">'Сведения по территориям'!$K$11:$K$13</definedName>
    <definedName name="ORG_TERRITORY_NAME_COL">'Сведения по территориям'!$G$1:$I$1</definedName>
    <definedName name="ORG_TERRITORY_POINT_NUMBER_1">'Сведения по территориям'!$A:$A</definedName>
    <definedName name="ORG_VD_EM">'Общая информация по ВД'!$K$11:$K$13</definedName>
    <definedName name="ORG_VD_FIRST_ROW">'Общая информация по ВД'!$12:$12</definedName>
    <definedName name="ORG_VD_FIRST_SYSTEM">'Общая информация по ВД'!$E$12</definedName>
    <definedName name="ORG_VD_NAME_FORM">DATA_FORMS!$C$31</definedName>
    <definedName name="ORG_VD_SYSTEM">'Общая информация по ВД'!$E$11:$E$13</definedName>
    <definedName name="ORG_VD_TKO_ADD_HL_ACTIVITY_COLUMN_MARKER">'Виды объектов'!$E$9</definedName>
    <definedName name="ORG_VD_TKO_ADD_HL_TYPE_OBJECT_COLUMN_MARKER">'Виды объектов'!$H$9</definedName>
    <definedName name="ORG_VD_TKO_DEL_HL_ACTIVITY_COLUMN_MARKER">'Виды объектов'!$C$9</definedName>
    <definedName name="ORG_VD_TKO_DEL_HL_TYPE_OBJECT_COLUMN_MARKER">'Виды объектов'!$F$9</definedName>
    <definedName name="ORG_VD_TKO_VD">'Виды объектов'!$E$13:$E$16</definedName>
    <definedName name="ORG_VD_TKO_VD_ID">'Виды объектов'!$O$13:$O$16</definedName>
    <definedName name="ORG_VD_VD">'Общая информация по ВД'!$F$11:$F$13</definedName>
    <definedName name="ORG_VD_VD_ID">'Общая информация по ВД'!$AM$11:$AM$13</definedName>
    <definedName name="OTKO_FIN_SRC_LIST">TEHSHEET!$BN$4:$BN$18</definedName>
    <definedName name="OTKO_FIN_SRC_VLD_LIST">TEHSHEET!$BN$39:$BN$48</definedName>
    <definedName name="OTKO_IP_EVENT_CI_STAGE_LIST">TEHSHEET!$BN$97:$BN$104</definedName>
    <definedName name="OTKO_IP_EVENT_GROUP_LIST">TEHSHEET!$BN$69:$BN$74</definedName>
    <definedName name="OTKO_IP_EVENT_TYPE_LIST">TEHSHEET!$BN$108</definedName>
    <definedName name="otv_lico_name">Титульный!$F$67:$F$70</definedName>
    <definedName name="P_T_TERMS_LINK">Договоры!$F$12:$F$22</definedName>
    <definedName name="pCng_P_T_TERMS_1">Договоры!$E$14:$E$15</definedName>
    <definedName name="pCng_P_T_TERMS_2">Договоры!$E$17:$E$18</definedName>
    <definedName name="pCng_P_T_TERMS_3">Договоры!$E$21:$E$22</definedName>
    <definedName name="pCng_P_T_TERMS_4">Договоры!$E$25:$E$26</definedName>
    <definedName name="pDel_CHANGE_INFO">'Сведения об изменении'!$C$12:$C$13</definedName>
    <definedName name="pDel_Comm">Комментарии!$C$11:$C$13</definedName>
    <definedName name="pDel_DIFFERENTIATION_AREA">Дифференциация!$G$12:$G$16</definedName>
    <definedName name="pDel_DIFFERENTIATION_SYSTEM">Дифференциация!$K$12:$K$16</definedName>
    <definedName name="pDel_DIFFERENTIATION_VD">Дифференциация!$C$12:$C$16</definedName>
    <definedName name="pDel_ED">ЭД!$C$12:$C$13</definedName>
    <definedName name="pDel_IP_DETAILED_EVENT">'ИП. Детализация'!$G$13</definedName>
    <definedName name="pDel_IP_DETAILED_IST_FIN">'ИП. Детализация'!$Z$13</definedName>
    <definedName name="pDel_IP_DETAILED_OBJECT">'ИП. Детализация'!$N$13</definedName>
    <definedName name="pDel_IP_MAIN">ИП!$E$11:$E$13</definedName>
    <definedName name="pDel_IP_MAIN_PROPERTY">ИП!$Z$11:$Z$13</definedName>
    <definedName name="pDel_IP_QRE_CLAIM">'ИП. КНЭ'!$E$18:$E$20</definedName>
    <definedName name="pDel_List07">'Сведения об изменении'!$C$11:$C$13</definedName>
    <definedName name="pDel_LT_AREA">'Список территорий'!$C$12:$C$15</definedName>
    <definedName name="pDel_LT_MO">'Список территорий'!$D$11:$D$15</definedName>
    <definedName name="pDel_ORG_INFO">'Общая информация об организации'!$C$40:$C$50</definedName>
    <definedName name="pDel_ORG_TERRITORY">'Сведения по территориям'!$D$11:$D$13</definedName>
    <definedName name="pDel_ORG_VD">'Общая информация по ВД'!$C$11:$C$13</definedName>
    <definedName name="pDel_P_PROCEDURE_TC">'Порядок ТП'!$C$26:$C$40</definedName>
    <definedName name="pDel_P_T_TERMS">Договоры!$C$14:$C$26</definedName>
    <definedName name="pDel_Q_LIMIT">Ограничения!$C$31</definedName>
    <definedName name="pDel_Q_TP">ТП!$C$14</definedName>
    <definedName name="pDel_R_B_Purch">'Сведения о закупках'!$C$13:$C$14</definedName>
    <definedName name="periodEnd">Титульный!$F$12</definedName>
    <definedName name="PeriodIsEmpty">TEHSHEET!$I$45</definedName>
    <definedName name="PeriodIsEmptyList">TEHSHEET!$I$46:$I$53</definedName>
    <definedName name="periodStart">Титульный!$F$11</definedName>
    <definedName name="pHeader_B_FHD">'Показатели ФХД'!$29:$29</definedName>
    <definedName name="pHeader_B_FHD_TKO">'ТКО. Показатели ФХД'!$14:$14</definedName>
    <definedName name="pHeader_B_FHD_TKO_TRANS">'ТКО. Транс. Показатели ФХД'!$14:$14</definedName>
    <definedName name="pHeader_B_KNE">'Показатели КНЭ'!$11:$11</definedName>
    <definedName name="pHeader_Q_LIMIT">Ограничения!$30:$30</definedName>
    <definedName name="pHeader_Q_PH">'Потребительские характеристики'!$13:$13</definedName>
    <definedName name="pHeader_Q_TP">ТП!$13:$13</definedName>
    <definedName name="pHeader_ver_B_FHD">'Показатели ФХД'!$C:$C</definedName>
    <definedName name="pHeader_ver_B_FHD_TKO">'ТКО. Показатели ФХД'!$C:$C</definedName>
    <definedName name="pHeader_ver_B_FHD_TKO_TRANS">'ТКО. Транс. Показатели ФХД'!$C:$C</definedName>
    <definedName name="pHeader_ver_B_KNE">'Показатели КНЭ'!$B:$B</definedName>
    <definedName name="pHeader_ver_P_PROCEDURE_TC">'Порядок ТП'!$A$21:$A$40</definedName>
    <definedName name="pHeader_ver_Q_LIMIT">Ограничения!$E:$E</definedName>
    <definedName name="pIns_B_FHD_1">'Показатели ФХД'!$F$40</definedName>
    <definedName name="pIns_B_FHD_2">'Показатели ФХД'!$F$71</definedName>
    <definedName name="pIns_B_FHD_3">'Показатели ФХД'!$F$101</definedName>
    <definedName name="pIns_B_FHD_4">'Показатели ФХД'!$F$119</definedName>
    <definedName name="pIns_B_FHD_5">'Показатели ФХД'!$F$122</definedName>
    <definedName name="pIns_B_FHD_6">'Показатели ФХД'!$F$125</definedName>
    <definedName name="pIns_B_FHD_DIFFERENTIATION">'Показатели ФХД'!$J$24</definedName>
    <definedName name="pIns_B_FHD_TKO_2">'ТКО. Показатели ФХД'!$F$34</definedName>
    <definedName name="pIns_B_FHD_TKO_DIFFERENTIATION">'ТКО. Показатели ФХД'!$J$9</definedName>
    <definedName name="pIns_B_FHD_TKO_TRANS_2">'ТКО. Транс. Показатели ФХД'!$F$29</definedName>
    <definedName name="pIns_B_FHD_TKO_TRANS_DIFFERENTIATION">'ТКО. Транс. Показатели ФХД'!$J$9</definedName>
    <definedName name="pIns_B_FHD20_DIFFERENTIATION">'Показатели ФХД &gt;20%'!$D$23</definedName>
    <definedName name="pIns_B_KNE_DIFFERENTIATION">'Показатели КНЭ'!$K$6</definedName>
    <definedName name="pIns_CHANGE_INFO">'Сведения об изменении'!$E$13</definedName>
    <definedName name="pIns_Comm">Комментарии!$E$13</definedName>
    <definedName name="pIns_ED">ЭД!$E$13</definedName>
    <definedName name="pIns_IP_DETAILED">'ИП. Детализация'!$F$14</definedName>
    <definedName name="pIns_IP_FIN_PLAN">'ИП. Финансовый план'!$K$8</definedName>
    <definedName name="pIns_IP_MAIN">ИП!$G$13</definedName>
    <definedName name="pIns_IP_QRE">'ИП. КНЭ'!$F$21</definedName>
    <definedName name="pIns_List07">'Сведения об изменении'!$E$13</definedName>
    <definedName name="pIns_LT_AREA">'Список территорий'!$G$15</definedName>
    <definedName name="pIns_ORG_INFO_1">'Общая информация об организации'!$E$42</definedName>
    <definedName name="pIns_ORG_INFO_2">'Общая информация об организации'!$E$50</definedName>
    <definedName name="pIns_ORG_INFO_3">'Общая информация об организации'!$E$24</definedName>
    <definedName name="pIns_ORG_TERRITORY">'Сведения по территориям'!$G$13</definedName>
    <definedName name="pIns_ORG_VD_1">'Общая информация по ВД'!$E$13</definedName>
    <definedName name="pIns_ORG_VD_2">'Общая информация по ВД'!$F$13</definedName>
    <definedName name="pIns_ORG_VD_TKO_1">'Виды объектов'!$E$16</definedName>
    <definedName name="pIns_P_PROCEDURE_TC_1">'Порядок ТП'!$E$27</definedName>
    <definedName name="pIns_P_PROCEDURE_TC_2">'Порядок ТП'!$E$30</definedName>
    <definedName name="pIns_P_PROCEDURE_TC_3">'Порядок ТП'!$E$34</definedName>
    <definedName name="pIns_P_PROCEDURE_TC_4">'Порядок ТП'!$E$37</definedName>
    <definedName name="pIns_P_PROCEDURE_TC_5">'Порядок ТП'!$E$40</definedName>
    <definedName name="pIns_P_T_TERMS_1">Договоры!$E$15</definedName>
    <definedName name="pIns_P_T_TERMS_2">Договоры!$E$18</definedName>
    <definedName name="pIns_P_T_TERMS_3">Договоры!$E$22</definedName>
    <definedName name="pIns_P_T_TERMS_4">Договоры!$E$26</definedName>
    <definedName name="pIns_PT_VTAR_A">'ТС. Т-ТЭ | &gt;=25МВт'!$T$57</definedName>
    <definedName name="pIns_PT_VTAR_A_COLDVSNA">'ХВС. Т-пит'!$T$53</definedName>
    <definedName name="pIns_PT_VTAR_A_COLDVSNA_OFFER_1">Предложение!$G$50</definedName>
    <definedName name="pIns_PT_VTAR_A_COLDVSNA_OFFER_2">Предложение!$G$110</definedName>
    <definedName name="pIns_PT_VTAR_A_COLDVSNA_OFFER_3">Предложение!$G$168</definedName>
    <definedName name="pIns_PT_VTAR_A_COLDVSNA_OFFER_4">Предложение!$G$226</definedName>
    <definedName name="pIns_PT_VTAR_A_COLDVSNA_OFFER_5">Предложение!$G$284</definedName>
    <definedName name="pIns_PT_VTAR_A_COLDVSNA_OFFER5">Предложение!$G$284</definedName>
    <definedName name="pIns_PT_VTAR_A_HOTVSNA">'ГВС. Т-гор.вода'!$T$66</definedName>
    <definedName name="pIns_PT_VTAR_A_HOTVSNA_OFFER_1">Предложение!$G$65</definedName>
    <definedName name="pIns_PT_VTAR_A_HOTVSNA_OFFER_2">Предложение!$G$125</definedName>
    <definedName name="pIns_PT_VTAR_A_HOTVSNA_OFFER_3">Предложение!$G$183</definedName>
    <definedName name="pIns_PT_VTAR_A_HOTVSNA_OFFER_4">Предложение!$G$241</definedName>
    <definedName name="pIns_PT_VTAR_A_HOTVSNA_OFFER_5">Предложение!$G$299</definedName>
    <definedName name="pIns_PT_VTAR_A_OFFER_1">Предложение!$G$26</definedName>
    <definedName name="pIns_PT_VTAR_A_OFFER_2">Предложение!$G$86</definedName>
    <definedName name="pIns_PT_VTAR_A_OFFER_3">Предложение!$G$144</definedName>
    <definedName name="pIns_PT_VTAR_A_OFFER_4">Предложение!$G$202</definedName>
    <definedName name="pIns_PT_VTAR_A_OFFER_5">Предложение!$G$260</definedName>
    <definedName name="pIns_PT_VTAR_A_VOTV">'ВО. Т-во'!$T$53</definedName>
    <definedName name="pIns_PT_VTAR_A_VOTV_OFFER_1">Предложение!$G$74</definedName>
    <definedName name="pIns_PT_VTAR_A_VOTV_OFFER_2">Предложение!$G$134</definedName>
    <definedName name="pIns_PT_VTAR_A_VOTV_OFFER_3">Предложение!$G$192</definedName>
    <definedName name="pIns_PT_VTAR_A_VOTV_OFFER_4">Предложение!$G$250</definedName>
    <definedName name="pIns_PT_VTAR_A_VOTV_OFFER_5">Предложение!$G$308</definedName>
    <definedName name="pIns_PT_VTAR_B">'ТС. Т-ТЭ | ТСО'!$T$57</definedName>
    <definedName name="pIns_PT_VTAR_B_COLDVSNA">'ХВС. Т-тех'!$T$53</definedName>
    <definedName name="pIns_PT_VTAR_B_COLDVSNA_OFFER_1">Предложение!$G$53</definedName>
    <definedName name="pIns_PT_VTAR_B_COLDVSNA_OFFER_2">Предложение!$G$113</definedName>
    <definedName name="pIns_PT_VTAR_B_COLDVSNA_OFFER_3">Предложение!$G$171</definedName>
    <definedName name="pIns_PT_VTAR_B_COLDVSNA_OFFER_4">Предложение!$G$229</definedName>
    <definedName name="pIns_PT_VTAR_B_COLDVSNA_OFFER_5">Предложение!$G$287</definedName>
    <definedName name="pIns_PT_VTAR_B_HOTVSNA">'ГВС. Т-транс'!$T$54</definedName>
    <definedName name="pIns_PT_VTAR_B_HOTVSNA_OFFER_1">Предложение!$G$68</definedName>
    <definedName name="pIns_PT_VTAR_B_HOTVSNA_OFFER_2">Предложение!$G$128</definedName>
    <definedName name="pIns_PT_VTAR_B_HOTVSNA_OFFER_3">Предложение!$G$186</definedName>
    <definedName name="pIns_PT_VTAR_B_HOTVSNA_OFFER_4">Предложение!$G$244</definedName>
    <definedName name="pIns_PT_VTAR_B_HOTVSNA_OFFER_5">Предложение!$G$302</definedName>
    <definedName name="pIns_PT_VTAR_B_OFFER_1">Предложение!$G$29</definedName>
    <definedName name="pIns_PT_VTAR_B_OFFER_2">Предложение!$G$89</definedName>
    <definedName name="pIns_PT_VTAR_B_OFFER_3">Предложение!$G$147</definedName>
    <definedName name="pIns_PT_VTAR_B_OFFER_4">Предложение!$G$205</definedName>
    <definedName name="pIns_PT_VTAR_B_OFFER_5">Предложение!$G$263</definedName>
    <definedName name="pIns_PT_VTAR_B_VOTV">'ВО. Т-транс'!$T$53</definedName>
    <definedName name="pIns_PT_VTAR_B_VOTV_OFFER_1">Предложение!$G$77</definedName>
    <definedName name="pIns_PT_VTAR_B_VOTV_OFFER_2">Предложение!$G$137</definedName>
    <definedName name="pIns_PT_VTAR_B_VOTV_OFFER_3">Предложение!$G$195</definedName>
    <definedName name="pIns_PT_VTAR_B_VOTV_OFFER_4">Предложение!$G$253</definedName>
    <definedName name="pIns_PT_VTAR_B_VOTV_OFFER_5">Предложение!$G$311</definedName>
    <definedName name="pIns_PT_VTAR_C">'ТС. Т-ТН'!$T$57</definedName>
    <definedName name="pIns_PT_VTAR_C_COLDVSNA">'ХВС. Т-транс'!$T$53</definedName>
    <definedName name="pIns_PT_VTAR_C_COLDVSNA_OFFER_1">Предложение!$G$56</definedName>
    <definedName name="pIns_PT_VTAR_C_COLDVSNA_OFFER_2">Предложение!$G$116</definedName>
    <definedName name="pIns_PT_VTAR_C_COLDVSNA_OFFER_3">Предложение!$G$174</definedName>
    <definedName name="pIns_PT_VTAR_C_COLDVSNA_OFFER_4">Предложение!$G$232</definedName>
    <definedName name="pIns_PT_VTAR_C_COLDVSNA_OFFER_5">Предложение!$G$290</definedName>
    <definedName name="pIns_PT_VTAR_C_HOTVSNA">'ГВС. Т-подкл'!$T$63</definedName>
    <definedName name="pIns_PT_VTAR_C_HOTVSNA_OFFER_1">Предложение!$G$71</definedName>
    <definedName name="pIns_PT_VTAR_C_HOTVSNA_OFFER_2">Предложение!$G$131</definedName>
    <definedName name="pIns_PT_VTAR_C_HOTVSNA_OFFER_3">Предложение!$G$189</definedName>
    <definedName name="pIns_PT_VTAR_C_HOTVSNA_OFFER_4">Предложение!$G$247</definedName>
    <definedName name="pIns_PT_VTAR_C_HOTVSNA_OFFER_5">Предложение!$G$305</definedName>
    <definedName name="pIns_PT_VTAR_C_OFFER_1">Предложение!$G$32</definedName>
    <definedName name="pIns_PT_VTAR_C_OFFER_2">Предложение!$G$92</definedName>
    <definedName name="pIns_PT_VTAR_C_OFFER_3">Предложение!$G$150</definedName>
    <definedName name="pIns_PT_VTAR_C_OFFER_4">Предложение!$G$208</definedName>
    <definedName name="pIns_PT_VTAR_C_OFFER_5">Предложение!$G$266</definedName>
    <definedName name="pIns_PT_VTAR_C_VOTV">'ВО. Т-подкл'!$T$63</definedName>
    <definedName name="pIns_PT_VTAR_C_VOTV_OFFER_1">Предложение!$G$80</definedName>
    <definedName name="pIns_PT_VTAR_C_VOTV_OFFER_2">Предложение!$G$140</definedName>
    <definedName name="pIns_PT_VTAR_C_VOTV_OFFER_3">Предложение!$G$198</definedName>
    <definedName name="pIns_PT_VTAR_C_VOTV_OFFER_4">Предложение!$G$256</definedName>
    <definedName name="pIns_PT_VTAR_C_VOTV_OFFER_5">Предложение!$G$314</definedName>
    <definedName name="pIns_PT_VTAR_D">'ТС. Т-гор.вода'!$V$65</definedName>
    <definedName name="pIns_PT_VTAR_D_COLDVSNA">'ХВС. Т-подвоз'!$T$53</definedName>
    <definedName name="pIns_PT_VTAR_D_COLDVSNA_OFFER_1">Предложение!$G$59</definedName>
    <definedName name="pIns_PT_VTAR_D_COLDVSNA_OFFER_2">Предложение!$G$119</definedName>
    <definedName name="pIns_PT_VTAR_D_COLDVSNA_OFFER_3">Предложение!$G$177</definedName>
    <definedName name="pIns_PT_VTAR_D_COLDVSNA_OFFER_4">Предложение!$G$235</definedName>
    <definedName name="pIns_PT_VTAR_D_COLDVSNA_OFFER_5">Предложение!$G$293</definedName>
    <definedName name="pIns_PT_VTAR_D_OFFER_1">Предложение!$G$35</definedName>
    <definedName name="pIns_PT_VTAR_D_OFFER_2">Предложение!$G$95</definedName>
    <definedName name="pIns_PT_VTAR_D_OFFER_3">Предложение!$G$153</definedName>
    <definedName name="pIns_PT_VTAR_D_OFFER_4">Предложение!$G$211</definedName>
    <definedName name="pIns_PT_VTAR_D_OFFER_5">Предложение!$G$269</definedName>
    <definedName name="pIns_PT_VTAR_E_COLDVSNA">'ХВС. Т-подкл'!$T$63</definedName>
    <definedName name="pIns_PT_VTAR_E_COLDVSNA_OFFER_1">Предложение!$G$62</definedName>
    <definedName name="pIns_PT_VTAR_E_COLDVSNA_OFFER_2">Предложение!$G$122</definedName>
    <definedName name="pIns_PT_VTAR_E_COLDVSNA_OFFER_3">Предложение!$G$180</definedName>
    <definedName name="pIns_PT_VTAR_E_COLDVSNA_OFFER_4">Предложение!$G$238</definedName>
    <definedName name="pIns_PT_VTAR_E_COLDVSNA_OFFER_5">Предложение!$G$296</definedName>
    <definedName name="pIns_PT_VTAR_E1">'ТС. Т-передача ТЭ'!$T$57</definedName>
    <definedName name="pIns_PT_VTAR_E1_OFFER_1">Предложение!$G$38</definedName>
    <definedName name="pIns_PT_VTAR_E1_OFFER_2">Предложение!$G$98</definedName>
    <definedName name="pIns_PT_VTAR_E1_OFFER_3">Предложение!$G$156</definedName>
    <definedName name="pIns_PT_VTAR_E1_OFFER_4">Предложение!$G$214</definedName>
    <definedName name="pIns_PT_VTAR_E1_OFFER_5">Предложение!$G$272</definedName>
    <definedName name="pIns_PT_VTAR_E2">'ТС. Т-передача ТН'!$T$57</definedName>
    <definedName name="pIns_PT_VTAR_E2_OFFER_1">Предложение!$G$41</definedName>
    <definedName name="pIns_PT_VTAR_E2_OFFER_2">Предложение!$G$101</definedName>
    <definedName name="pIns_PT_VTAR_E2_OFFER_3">Предложение!$G$159</definedName>
    <definedName name="pIns_PT_VTAR_E2_OFFER_4">Предложение!$G$217</definedName>
    <definedName name="pIns_PT_VTAR_E2_OFFER_5">Предложение!$G$275</definedName>
    <definedName name="pIns_PT_VTAR_F">'ТС. Резерв мощности'!$T$57</definedName>
    <definedName name="pIns_PT_VTAR_F_OFFER_1">Предложение!$G$44</definedName>
    <definedName name="pIns_PT_VTAR_F_OFFER_2">Предложение!$G$104</definedName>
    <definedName name="pIns_PT_VTAR_F_OFFER_3">Предложение!$G$162</definedName>
    <definedName name="pIns_PT_VTAR_F_OFFER_4">Предложение!$G$220</definedName>
    <definedName name="pIns_PT_VTAR_F_OFFER_5">Предложение!$G$278</definedName>
    <definedName name="pIns_PT_VTAR_G">'ТС. Т-подкл'!$T$62</definedName>
    <definedName name="pIns_PT_VTAR_G_OFFER_1">Предложение!$G$47</definedName>
    <definedName name="pIns_PT_VTAR_G_OFFER_2">Предложение!$G$107</definedName>
    <definedName name="pIns_PT_VTAR_G_OFFER_3">Предложение!$G$165</definedName>
    <definedName name="pIns_PT_VTAR_G_OFFER_4">Предложение!$G$223</definedName>
    <definedName name="pIns_PT_VTAR_G_OFFER_5">Предложение!$G$281</definedName>
    <definedName name="pIns_PT_VTAR_H">'ТС. Т-подкл(инд)'!$T$59</definedName>
    <definedName name="pIns_PT_VTAR_I">'ТС. Т-ТЭ | предел'!$T$57</definedName>
    <definedName name="pIns_PT_VTAR_I_1">'ТС. Т-ТЭ | индикат'!$T$57</definedName>
    <definedName name="pIns_Q_LIMIT_1">Ограничения!$E$33</definedName>
    <definedName name="pIns_Q_LIMIT_2">Ограничения!$E$35</definedName>
    <definedName name="pIns_Q_LIMIT_3">Ограничения!$E$37</definedName>
    <definedName name="pIns_Q_LIMIT_4">Ограничения!$E$39</definedName>
    <definedName name="pIns_Q_LIMIT_DIFFERENTIATION">Ограничения!$K$25</definedName>
    <definedName name="pIns_Q_PH_DIFFERENTIATION">'Потребительские характеристики'!$K$8</definedName>
    <definedName name="pIns_Q_TP_1">ТП!$E$22</definedName>
    <definedName name="pIns_Q_TP_DIFFERENTIATION">ТП!$I$8</definedName>
    <definedName name="pIns_R_B_Purch_1">'Сведения о закупках'!$E$14</definedName>
    <definedName name="pIns_ROIV_CASE_case">'Дела об установлении тарифов'!$F$11</definedName>
    <definedName name="pIns_ROIV_CASE_PUC_case">'Дела об утверждении ПУЦ'!$F$11</definedName>
    <definedName name="pIns_ROIV_INFO_phone">'Орган регулирования'!$E$21</definedName>
    <definedName name="pIns_ROIV_ORG_org">'Перечень организаций'!$F$10</definedName>
    <definedName name="pIns_ROIV_OTV_org">'Привлечение к ответственности'!$F$15</definedName>
    <definedName name="pIns_ver_COLDVSNA_TARIFF_A_COLDVSNA">'ХВС. Т-пит'!$AJ$37</definedName>
    <definedName name="pIns_ver_COLDVSNA_TARIFF_B_COLDVSNA">'ХВС. Т-тех'!$AJ$37</definedName>
    <definedName name="pIns_ver_COLDVSNA_TARIFF_C_COLDVSNA">'ХВС. Т-транс'!$AJ$37</definedName>
    <definedName name="pIns_ver_COLDVSNA_TARIFF_D_COLDVSNA">'ХВС. Т-подвоз'!$AJ$37</definedName>
    <definedName name="pIns_ver_COLDVSNA_TARIFF_E_COLDVSNA">'ХВС. Т-подкл'!$BB$41</definedName>
    <definedName name="pIns_ver_HEAT_TARIFF_A">'ТС. Т-ТЭ | &gt;=25МВт'!$AL$39</definedName>
    <definedName name="pIns_ver_HEAT_TARIFF_B">'ТС. Т-ТЭ | ТСО'!$AL$39</definedName>
    <definedName name="pIns_ver_HEAT_TARIFF_C">'ТС. Т-ТН'!$AL$39</definedName>
    <definedName name="pIns_ver_HEAT_TARIFF_D">'ТС. Т-гор.вода'!$AP$43</definedName>
    <definedName name="pIns_ver_HEAT_TARIFF_E1">'ТС. Т-передача ТЭ'!$AL$39</definedName>
    <definedName name="pIns_ver_HEAT_TARIFF_E2">'ТС. Т-передача ТН'!$AL$39</definedName>
    <definedName name="pIns_ver_HEAT_TARIFF_F">'ТС. Резерв мощности'!$AL$39</definedName>
    <definedName name="pIns_ver_HEAT_TARIFF_G">'ТС. Т-подкл'!$AT$40</definedName>
    <definedName name="pIns_ver_HEAT_TARIFF_H">'ТС. Т-подкл(инд)'!$AJ$40</definedName>
    <definedName name="pIns_ver_HEAT_TARIFF_I">'ТС. Т-ТЭ | предел'!$AL$39</definedName>
    <definedName name="pIns_ver_HEAT_TARIFF_I_1">'ТС. Т-ТЭ | индикат'!$AL$39</definedName>
    <definedName name="pIns_ver_HOTVSNA_TARIFF_A_HOTVSNA">'ГВС. Т-гор.вода'!$AR$37</definedName>
    <definedName name="pIns_ver_HOTVSNA_TARIFF_B_HOTVSNA">'ГВС. Т-транс'!$AR$37</definedName>
    <definedName name="pIns_ver_HOTVSNA_TARIFF_C_HOTVSNA">'ГВС. Т-подкл'!$BB$41</definedName>
    <definedName name="pIns_ver_VOTV_TARIFF_A_VOTV">'ВО. Т-во'!$AJ$37</definedName>
    <definedName name="pIns_ver_VOTV_TARIFF_B_VOTV">'ВО. Т-транс'!$AJ$37</definedName>
    <definedName name="pIns_ver_VOTV_TARIFF_C_VOTV">'ВО. Т-подкл'!$BB$41</definedName>
    <definedName name="pNote_LIMIT">Ограничения!$K$26</definedName>
    <definedName name="pNote_Q_PH">'Потребительские характеристики'!$K$9</definedName>
    <definedName name="pNum_Q_LIMIT">Ограничения!$D$31</definedName>
    <definedName name="PROCEDURE_TC_NAME_FORM">DATA_FORMS!$C$30</definedName>
    <definedName name="PT_ADD_HL_CS_COLUMN_MARKER">'Перечень тарифов'!$R$8</definedName>
    <definedName name="PT_ADD_HL_IST_TE_COLUMN_MARKER">'Перечень тарифов'!$V$8</definedName>
    <definedName name="PT_ADD_HL_NTAR_COLUMN_MARKER">'Перечень тарифов'!$J$8</definedName>
    <definedName name="PT_ADD_HL_TER_COLUMN_MARKER">'Перечень тарифов'!$N$8</definedName>
    <definedName name="PT_ADD_HL_VTAR_COLUMN_MARKER">'Перечень тарифов'!$E$8</definedName>
    <definedName name="pt_cs_1">'ТС. Т-ТЭ | &gt;=25МВт'!$45:$54</definedName>
    <definedName name="pt_cs_10">'ХВС. Т-тех'!$43:$50</definedName>
    <definedName name="pt_cs_11">'ХВС. Т-транс'!$43:$50</definedName>
    <definedName name="pt_cs_12">'ХВС. Т-подвоз'!$43:$50</definedName>
    <definedName name="pt_cs_13">'ХВС. Т-подкл'!$48:$60</definedName>
    <definedName name="pt_cs_14">'ГВС. Т-гор.вода'!$44:$63</definedName>
    <definedName name="pt_cs_15">'ГВС. Т-транс'!$44:$51</definedName>
    <definedName name="pt_cs_16">'ГВС. Т-подкл'!$48:$60</definedName>
    <definedName name="pt_cs_17">'ВО. Т-во'!$43:$50</definedName>
    <definedName name="pt_cs_18">'ВО. Т-транс'!$43:$50</definedName>
    <definedName name="pt_cs_19">'ВО. Т-подкл'!$48:$60</definedName>
    <definedName name="pt_cs_2">'ТС. Т-ТЭ | ТСО'!$45:$54</definedName>
    <definedName name="pt_cs_20">'ТС. Т-подкл(инд)'!$47:$58</definedName>
    <definedName name="pt_cs_21">'ТС. Т-ТЭ | предел'!$45:$54</definedName>
    <definedName name="pt_cs_21_1">'ТС. Т-ТЭ | индикат'!$45:$54</definedName>
    <definedName name="pt_cs_3">'ТС. Т-ТН'!$45:$54</definedName>
    <definedName name="pt_cs_4">'ТС. Т-гор.вода'!$51:$62</definedName>
    <definedName name="pt_cs_4i">#REF!</definedName>
    <definedName name="pt_cs_4p">#REF!</definedName>
    <definedName name="pt_cs_5">'ТС. Т-передача ТЭ'!$45:$54</definedName>
    <definedName name="pt_cs_6">'ТС. Т-передача ТН'!$45:$54</definedName>
    <definedName name="pt_cs_7">'ТС. Резерв мощности'!$45:$54</definedName>
    <definedName name="pt_cs_8">'ТС. Т-подкл'!$47:$58</definedName>
    <definedName name="pt_cs_9">'ХВС. Т-пит'!$43:$50</definedName>
    <definedName name="PT_DEL_HL_CS_COLUMN_MARKER">'Перечень тарифов'!$P$8</definedName>
    <definedName name="PT_DEL_HL_IST_TE_COLUMN_MARKER">'Перечень тарифов'!$T$8</definedName>
    <definedName name="PT_DEL_HL_NTAR_COLUMN_MARKER">'Перечень тарифов'!$H$8</definedName>
    <definedName name="PT_DEL_HL_TER_COLUMN_MARKER">'Перечень тарифов'!$L$8</definedName>
    <definedName name="PT_DEL_HL_VTAR_COLUMN_MARKER">'Перечень тарифов'!$C$8</definedName>
    <definedName name="PT_DIAMETERS_2_LIST">TEHSHEET!$AZ$76:$AZ$82</definedName>
    <definedName name="PT_DIAMETERS_LIST">TEHSHEET!$AZ$60:$AZ$64</definedName>
    <definedName name="PT_DIFFERENTIATION_CS">'Перечень тарифов'!$AL$12:$AL$132</definedName>
    <definedName name="PT_DIFFERENTIATION_CS_ID">'Перечень тарифов'!$AF$12:$AF$132</definedName>
    <definedName name="PT_DIFFERENTIATION_IST_TE">'Перечень тарифов'!$AM$12:$AM$132</definedName>
    <definedName name="PT_DIFFERENTIATION_IST_TE_ID">'Перечень тарифов'!$AG$12:$AG$132</definedName>
    <definedName name="PT_DIFFERENTIATION_NTAR">'Перечень тарифов'!$AJ$12:$AJ$132</definedName>
    <definedName name="PT_DIFFERENTIATION_NTAR_ID">'Перечень тарифов'!$AD$12:$AD$132</definedName>
    <definedName name="PT_DIFFERENTIATION_NUM_CS">'Перечень тарифов'!$AP$12:$AP$132</definedName>
    <definedName name="PT_DIFFERENTIATION_NUM_IST_TE">'Перечень тарифов'!$AQ$12:$AQ$132</definedName>
    <definedName name="PT_DIFFERENTIATION_NUM_NTAR">'Перечень тарифов'!$AN$12:$AN$132</definedName>
    <definedName name="PT_DIFFERENTIATION_NUM_TER">'Перечень тарифов'!$AO$12:$AO$132</definedName>
    <definedName name="PT_DIFFERENTIATION_TER">'Перечень тарифов'!$AK$12:$AK$132</definedName>
    <definedName name="PT_DIFFERENTIATION_TER_ID">'Перечень тарифов'!$AE$12:$AE$132</definedName>
    <definedName name="PT_DIFFERENTIATION_VDET">'Перечень тарифов'!$AI$12:$AI$132</definedName>
    <definedName name="PT_DIFFERENTIATION_VTAR">'Перечень тарифов'!$AH$12:$AH$132</definedName>
    <definedName name="PT_DIFFERENTIATION_VTAR_ID">'Перечень тарифов'!$AC$12:$AC$132</definedName>
    <definedName name="PT_FLAG_CS_COLUMN_MARKER">'Перечень тарифов'!$O$8</definedName>
    <definedName name="PT_FLAG_IST_TE_COLUMN_MARKER">'Перечень тарифов'!$S$8</definedName>
    <definedName name="PT_FLAG_TER_COLUMN_MARKER">'Перечень тарифов'!$K$8</definedName>
    <definedName name="PT_FLAG_VTAR_COLUMN_MARKER">'Перечень тарифов'!$F$8</definedName>
    <definedName name="PT_GROUP_CONSUMER_LIST">TEHSHEET!$AZ$29:$AZ$33</definedName>
    <definedName name="pt_ist_te_1">'ТС. Т-ТЭ | &gt;=25МВт'!$46:$53</definedName>
    <definedName name="pt_ist_te_2">'ТС. Т-ТЭ | ТСО'!$46:$53</definedName>
    <definedName name="pt_ist_te_20">'ТС. Т-подкл(инд)'!$48:$57</definedName>
    <definedName name="pt_ist_te_21">'ТС. Т-ТЭ | предел'!$46:$53</definedName>
    <definedName name="pt_ist_te_21_1">'ТС. Т-ТЭ | индикат'!$46:$53</definedName>
    <definedName name="pt_ist_te_3">'ТС. Т-ТН'!$46:$53</definedName>
    <definedName name="pt_ist_te_4">'ТС. Т-гор.вода'!$52:$61</definedName>
    <definedName name="pt_ist_te_4i">#REF!</definedName>
    <definedName name="pt_ist_te_4p">#REF!</definedName>
    <definedName name="pt_ist_te_5">'ТС. Т-передача ТЭ'!$46:$53</definedName>
    <definedName name="pt_ist_te_6">'ТС. Т-передача ТН'!$46:$53</definedName>
    <definedName name="pt_ist_te_7">'ТС. Резерв мощности'!$46:$53</definedName>
    <definedName name="pt_ist_te_8">'ТС. Т-подкл'!$48:$57</definedName>
    <definedName name="PT_LOAD_LIST">TEHSHEET!$AZ$67:$AZ$72</definedName>
    <definedName name="PT_NETS_LIST">TEHSHEET!$AZ$55:$AZ$57</definedName>
    <definedName name="pt_ntar_1">'ТС. Т-ТЭ | &gt;=25МВт'!$43:$56</definedName>
    <definedName name="pt_ntar_10">'ХВС. Т-тех'!$41:$52</definedName>
    <definedName name="pt_ntar_11">'ХВС. Т-транс'!$41:$52</definedName>
    <definedName name="pt_ntar_12">'ХВС. Т-подвоз'!$41:$52</definedName>
    <definedName name="pt_ntar_13">'ХВС. Т-подкл'!$46:$62</definedName>
    <definedName name="pt_ntar_14">'ГВС. Т-гор.вода'!$42:$65</definedName>
    <definedName name="pt_ntar_15">'ГВС. Т-транс'!$42:$53</definedName>
    <definedName name="pt_ntar_16">'ГВС. Т-подкл'!$46:$62</definedName>
    <definedName name="pt_ntar_17">'ВО. Т-во'!$41:$52</definedName>
    <definedName name="pt_ntar_18">'ВО. Т-транс'!$41:$52</definedName>
    <definedName name="pt_ntar_19">'ВО. Т-подкл'!$46:$62</definedName>
    <definedName name="pt_ntar_2">'ТС. Т-ТЭ | ТСО'!$43:$56</definedName>
    <definedName name="pt_ntar_20">'ТС. Т-подкл(инд)'!$45:$61</definedName>
    <definedName name="pt_ntar_21">'ТС. Т-ТЭ | предел'!$43:$56</definedName>
    <definedName name="pt_ntar_21_1">'ТС. Т-ТЭ | индикат'!$43:$56</definedName>
    <definedName name="pt_ntar_3">'ТС. Т-ТН'!$43:$56</definedName>
    <definedName name="pt_ntar_4">'ТС. Т-гор.вода'!$49:$64</definedName>
    <definedName name="pt_ntar_4i">#REF!</definedName>
    <definedName name="pt_ntar_4p">#REF!</definedName>
    <definedName name="pt_ntar_5">'ТС. Т-передача ТЭ'!$43:$56</definedName>
    <definedName name="pt_ntar_6">'ТС. Т-передача ТН'!$43:$56</definedName>
    <definedName name="pt_ntar_7">'ТС. Резерв мощности'!$43:$56</definedName>
    <definedName name="pt_ntar_8">'ТС. Т-подкл'!$45:$61</definedName>
    <definedName name="pt_ntar_9">'ХВС. Т-пит'!$41:$52</definedName>
    <definedName name="PT_P_FORM_COLDVSNA_4_NAME_FORM">DATA_FORMS!$C$17</definedName>
    <definedName name="PT_P_FORM_COLDVSNA_5_NAME_FORM">DATA_FORMS!$C$18</definedName>
    <definedName name="PT_P_FORM_HEAT_21_NAME_FORM">DATA_FORMS!$C$13</definedName>
    <definedName name="PT_P_FORM_HEAT_22_NAME_FORM">DATA_FORMS!$C$14</definedName>
    <definedName name="PT_P_FORM_HEAT_4_NAME_FORM">DATA_FORMS!$C$9</definedName>
    <definedName name="PT_P_FORM_HEAT_5_NAME_FORM">DATA_FORMS!$C$10</definedName>
    <definedName name="PT_P_FORM_HEAT_6_NAME_FORM">DATA_FORMS!$C$11</definedName>
    <definedName name="PT_P_FORM_HEAT_7_NAME_FORM">DATA_FORMS!$C$12</definedName>
    <definedName name="PT_P_FORM_HOTVSNA_4_NAME_FORM">DATA_FORMS!$C$21</definedName>
    <definedName name="PT_P_FORM_HOTVSNA_5_NAME_FORM">DATA_FORMS!$C$22</definedName>
    <definedName name="PT_P_FORM_VOTV_4_NAME_FORM">DATA_FORMS!$C$25</definedName>
    <definedName name="PT_P_FORM_VOTV_5_NAME_FORM">DATA_FORMS!$C$26</definedName>
    <definedName name="PT_R_FORM_COLDVSNA_16_NAME_FORM">DATA_FORMS!$C$19</definedName>
    <definedName name="PT_R_FORM_COLDVSNA_17_NAME_FORM">DATA_FORMS!$C$20</definedName>
    <definedName name="PT_R_FORM_HEAT_21_NAME_FORM">DATA_FORMS!$C$13</definedName>
    <definedName name="PT_R_FORM_HEAT_22_NAME_FORM">DATA_FORMS!$C$14</definedName>
    <definedName name="PT_R_FORM_HEAT_23_NAME_FORM">DATA_FORMS!$C$15</definedName>
    <definedName name="PT_R_FORM_HEAT_24_NAME_FORM">DATA_FORMS!$C$16</definedName>
    <definedName name="PT_R_FORM_HOTVSNA_16_NAME_FORM">DATA_FORMS!$C$23</definedName>
    <definedName name="PT_R_FORM_HOTVSNA_17_NAME_FORM">DATA_FORMS!$C$24</definedName>
    <definedName name="PT_R_FORM_VOTV_16_NAME_FORM">DATA_FORMS!$C$27</definedName>
    <definedName name="PT_R_FORM_VOTV_17_NAME_FORM">DATA_FORMS!$C$28</definedName>
    <definedName name="PT_SCHEME_LIST">TEHSHEET!$AZ$36:$AZ$39</definedName>
    <definedName name="pt_ter_1">'ТС. Т-ТЭ | &gt;=25МВт'!$44:$55</definedName>
    <definedName name="pt_ter_10">'ХВС. Т-тех'!$42:$51</definedName>
    <definedName name="pt_ter_11">'ХВС. Т-транс'!$42:$51</definedName>
    <definedName name="pt_ter_12">'ХВС. Т-подвоз'!$42:$51</definedName>
    <definedName name="pt_ter_13">'ХВС. Т-подкл'!$47:$61</definedName>
    <definedName name="pt_ter_14">'ГВС. Т-гор.вода'!$43:$64</definedName>
    <definedName name="pt_ter_15">'ГВС. Т-транс'!$43:$52</definedName>
    <definedName name="pt_ter_16">'ГВС. Т-подкл'!$47:$61</definedName>
    <definedName name="pt_ter_17">'ВО. Т-во'!$42:$51</definedName>
    <definedName name="pt_ter_18">'ВО. Т-транс'!$42:$51</definedName>
    <definedName name="pt_ter_19">'ВО. Т-подкл'!$47:$61</definedName>
    <definedName name="pt_ter_2">'ТС. Т-ТЭ | ТСО'!$44:$55</definedName>
    <definedName name="pt_ter_20">'ТС. Т-подкл(инд)'!$46:$59</definedName>
    <definedName name="pt_ter_21">'ТС. Т-ТЭ | предел'!$44:$55</definedName>
    <definedName name="pt_ter_21_1">'ТС. Т-ТЭ | индикат'!$44:$55</definedName>
    <definedName name="pt_ter_3">'ТС. Т-ТН'!$44:$55</definedName>
    <definedName name="pt_ter_4">'ТС. Т-гор.вода'!$50:$63</definedName>
    <definedName name="pt_ter_4i">#REF!</definedName>
    <definedName name="pt_ter_4p">#REF!</definedName>
    <definedName name="pt_ter_5">'ТС. Т-передача ТЭ'!$44:$55</definedName>
    <definedName name="pt_ter_6">'ТС. Т-передача ТН'!$44:$55</definedName>
    <definedName name="pt_ter_7">'ТС. Резерв мощности'!$44:$55</definedName>
    <definedName name="pt_ter_8">'ТС. Т-подкл'!$46:$59</definedName>
    <definedName name="pt_ter_9">'ХВС. Т-пит'!$42:$51</definedName>
    <definedName name="PT_TN_LIST">TEHSHEET!$AZ$42:$AZ$52</definedName>
    <definedName name="PT_VDET_COLUMN_MARKER">'Перечень тарифов'!$G$8</definedName>
    <definedName name="PURCH_NAME_FORM">DATA_FORMS!$C$29</definedName>
    <definedName name="Q_LIMIT_CheckC">Ограничения!$E$32:$K$39</definedName>
    <definedName name="Q_LIMIT_diff_1">Ограничения!$I$26:$J$28</definedName>
    <definedName name="Q_LIMIT_p3">Ограничения!$F$36:$K$37</definedName>
    <definedName name="Q_LIMIT_p4">Ограничения!$F$38:$K$39</definedName>
    <definedName name="Q_PH_diff_1">'Потребительские характеристики'!$I$9:$J$11</definedName>
    <definedName name="Q_TP_COUNT_REFUSAL">ТП!$H$17:$H$17</definedName>
    <definedName name="Q_TP_diff_1">ТП!$H$9:$H$11</definedName>
    <definedName name="QRE_METHOD_LIST">TEHSHEET!$AZ$8:$AZ$10</definedName>
    <definedName name="QUARTER">TEHSHEET!$F$2:$F$5</definedName>
    <definedName name="R_OFFER_ADD_PERIOD_HL_COLUMN_MARKER">Предложение!$I$12</definedName>
    <definedName name="R_OFFER_CHANGE_HL_COLUMN_MARKER">Предложение!$K$12</definedName>
    <definedName name="R_OFFER_DEL_HL_COLUMN_MARKER">Предложение!$H$12</definedName>
    <definedName name="R_OFFER_FLAG_HL_COLUMN_MARKER">Предложение!$C$12</definedName>
    <definedName name="REESTR_LINK_RANGE">REESTR_LINK!$A$2:$C$3</definedName>
    <definedName name="REESTR_VT_RANGE">REESTR_VT!$A$2:$B$11</definedName>
    <definedName name="REGION">TEHSHEET!$A$2:$A$91</definedName>
    <definedName name="region_name">Титульный!$F$7</definedName>
    <definedName name="RegulatoryPeriod">Титульный!$F$11:$F$12</definedName>
    <definedName name="ReportPeriod">Титульный!$F$11:$F$15</definedName>
    <definedName name="ROIV_CASE_ADD_HL_CASE_COLUMN_MARKER">'Дела об установлении тарифов'!$F$1</definedName>
    <definedName name="ROIV_CASE_DATE">'Дела об установлении тарифов'!$G$10:$G$11</definedName>
    <definedName name="ROIV_CASE_DEL_HL_CASE_COLUMN_MARKER">'Дела об установлении тарифов'!$D$1</definedName>
    <definedName name="ROIV_CASE_NUM_CASE_COLUMN_MARKER">'Дела об установлении тарифов'!$E$1</definedName>
    <definedName name="ROIV_CASE_PROTOKOL">'Дела об установлении тарифов'!$K$10:$K$11</definedName>
    <definedName name="ROIV_CASE_PROTOKOL_ET">'Дела об установлении тарифов'!$K$2</definedName>
    <definedName name="ROIV_CASE_PUC_ADD_HL_CASE_COLUMN_MARKER">'Дела об утверждении ПУЦ'!$F$1</definedName>
    <definedName name="ROIV_CASE_PUC_DATE">'Дела об утверждении ПУЦ'!$G$10:$G$11</definedName>
    <definedName name="ROIV_CASE_PUC_DEL_HL_CASE_COLUMN_MARKER">'Дела об утверждении ПУЦ'!$D$1</definedName>
    <definedName name="ROIV_CASE_PUC_NUM_CASE_COLUMN_MARKER">'Дела об утверждении ПУЦ'!$E$1</definedName>
    <definedName name="ROIV_CASE_PUC_PROTOKOL">'Дела об утверждении ПУЦ'!$K$10:$K$11</definedName>
    <definedName name="ROIV_CASE_PUC_PROTOKOL_ET">'Дела об утверждении ПУЦ'!$K$2</definedName>
    <definedName name="ROIV_CASE_PUC_RESH">'Дела об утверждении ПУЦ'!$J$10:$J$11</definedName>
    <definedName name="ROIV_CASE_PUC_RESH_ET">'Дела об утверждении ПУЦ'!$J$2</definedName>
    <definedName name="ROIV_CASE_RESH">'Дела об установлении тарифов'!$J$10:$J$11</definedName>
    <definedName name="ROIV_CASE_RESH_ET">'Дела об установлении тарифов'!$J$2</definedName>
    <definedName name="ROIV_INFO_COMMENT">TEHSHEET!$BA$97:$BA$103</definedName>
    <definedName name="ROIV_INFO_COMMENT_HEAT">TEHSHEET!$BA$97:$BA$103</definedName>
    <definedName name="ROIV_INFO_COMMENT_NO_HEAT">TEHSHEET!$BA$111:$BA$116</definedName>
    <definedName name="ROIV_INFO_DEL_HL_PHONE_COLUMN_MARKER">'Орган регулирования'!$C$1</definedName>
    <definedName name="ROIV_INFO_DOKLAD">'Орган регулирования'!$F$24</definedName>
    <definedName name="ROIV_INFO_LIST">TEHSHEET!$AZ$97:$AZ$103</definedName>
    <definedName name="ROIV_INFO_LIST_HEAT">TEHSHEET!$AZ$97:$AZ$103</definedName>
    <definedName name="ROIV_INFO_LIST_NO_HEAT">TEHSHEET!$AZ$111:$AZ$116</definedName>
    <definedName name="ROIV_INFO_NAME">'Орган регулирования'!$F$12</definedName>
    <definedName name="ROIV_INFO_NUM_PHONE_COLUMN_MARKER">'Орган регулирования'!$D$1</definedName>
    <definedName name="ROIV_ORG_DEL_HL_ORG_COLUMN_MARKER">'Перечень организаций'!$D$1</definedName>
    <definedName name="ROIV_ORG_INN_COLUMN_MARKER">'Перечень организаций'!$G$1</definedName>
    <definedName name="ROIV_ORG_KPP_COLUMN_MARKER">'Перечень организаций'!$H$1</definedName>
    <definedName name="ROIV_ORG_NAME_ORG_COLUMN_MARKER">'Перечень организаций'!$F$1</definedName>
    <definedName name="ROIV_ORG_NUM_ORG_COLUMN_MARKER">'Перечень организаций'!$E$1</definedName>
    <definedName name="ROIV_ORG_TECH_ORG_ID_COLUMN_MARKER">'Перечень организаций'!$A$1</definedName>
    <definedName name="ROIV_OTV_ADD_HL_DL_COLUMN_MARKER">'Привлечение к ответственности'!$K$1</definedName>
    <definedName name="ROIV_OTV_DEL_HL_DL_COLUMN_MARKER">'Привлечение к ответственности'!$I$1</definedName>
    <definedName name="ROIV_OTV_DEL_HL_ORG_COLUMN_MARKER">'Привлечение к ответственности'!$D$1</definedName>
    <definedName name="ROIV_OTV_INN_COLUMN_MARKER">'Привлечение к ответственности'!$H$1</definedName>
    <definedName name="ROIV_OTV_NAME_ORG_COLUMN_MARKER">'Привлечение к ответственности'!$G$1</definedName>
    <definedName name="ROIV_OTV_NUM_DL_COLUMN_MARKER">'Привлечение к ответственности'!$J$1</definedName>
    <definedName name="ROIV_OTV_NUM_ORG_COLUMN_MARKER">'Привлечение к ответственности'!$E$1</definedName>
    <definedName name="ROIV_OTV_TECH_ORG_ID_COLUMN_MARKER">'Привлечение к ответственности'!$A$1</definedName>
    <definedName name="SKI_number">TEHSHEET!$I$2:$I$21</definedName>
    <definedName name="StartDateList">TEHSHEET!$G$46:$G$53</definedName>
    <definedName name="TECH_ORG_ID">Титульный!$F$1</definedName>
    <definedName name="TEMPLATE_DATA_POINT">DATA_NPA!$T$11:$X$16</definedName>
    <definedName name="TEMPLATE_DATA_POINT_FHD">DATA_NPA!$T$18:$W$146</definedName>
    <definedName name="TEMPLATE_GROUP">TEHSHEET!$E$45</definedName>
    <definedName name="TEMPLATE_NAME_FORM_LIST">DATA_FORMS!$D$3:$H$35</definedName>
    <definedName name="TEMPLATE_NOTE_POINT">DATA_NPA!$Z$11:$AD$15</definedName>
    <definedName name="TEMPLATE_NOTE_POINT_FHD">DATA_NPA!$Z$18:$AD$146</definedName>
    <definedName name="TEMPLATE_NUMBER_FORM_LIST">DATA_FORMS!$D$2:$H$2</definedName>
    <definedName name="TEMPLATE_NUMBER_POINT_FHD">DATA_NPA!$O$18:$S$146</definedName>
    <definedName name="TEMPLATE_ORG_DATA_POINT">DATA_NPA!$Z$3:$AD$9</definedName>
    <definedName name="TEMPLATE_SPHERE">TEHSHEET!$E$36</definedName>
    <definedName name="TEMPLATE_SPHERE_LIST">DATA_FORMS!$D$1:$H$1</definedName>
    <definedName name="TEMPLATE_SPHERE_LIST_FOR_NOTE">DATA_NPA!$Z$2:$AD$2</definedName>
    <definedName name="TEMPLATE_SPHERE_LIST_FOR_NPA">DATA_NPA!$T$2:$X$2</definedName>
    <definedName name="TEMPLATE_SPHERE_RUS">TEHSHEET!$F$36</definedName>
    <definedName name="TEMPLATE_SPHERE_RUS_2">TEHSHEET!$G$36</definedName>
    <definedName name="TemplateState">TEHSHEET!$E$16</definedName>
    <definedName name="ter_1">'Список территорий'!$G$13:$I$13</definedName>
    <definedName name="TER_ID">TEHSHEET!$E$62</definedName>
    <definedName name="TERMS_LINK">Договоры!$F$12:$F$22</definedName>
    <definedName name="TERMS_NAME_FORM">DATA_FORMS!$C$5</definedName>
    <definedName name="TERMS_NUM_CONTRACT_COLUMN_MARKER">Договоры!$D$8</definedName>
    <definedName name="TERMS_P_1">DATA_NPA!$M$148</definedName>
    <definedName name="TERMS_TKO_TRANS_DATA">Договоры!$E$25:$F$26</definedName>
    <definedName name="TERRITORY_CheckC">'Список территорий'!$E$11:$I$15</definedName>
    <definedName name="TERRITORY_ID">TEHSHEET!$E$56</definedName>
    <definedName name="TERRITORY_LIST_ID">'Список территорий'!$F$11:$F$15</definedName>
    <definedName name="TERRITORY_MO_LIST">'Список территорий'!$H$11:$H$15</definedName>
    <definedName name="TERRITORY_MR_LIST">'Список территорий'!$G$11:$G$15</definedName>
    <definedName name="TERRITORY_NAME_COL">'Список территорий'!$G$1:$I$1</definedName>
    <definedName name="TERRITORY_POINT_NUMBER_1">'Список территорий'!$A:$A</definedName>
    <definedName name="TITLE_BUHG_FLAG">Титульный!$F$53</definedName>
    <definedName name="TITLE_CONNECTION_FLAG">Титульный!$F$49</definedName>
    <definedName name="TITLE_DATA_TYPE">Титульный!$F$17</definedName>
    <definedName name="TITLE_DATE_BUHG">Титульный!$F$54</definedName>
    <definedName name="TITLE_DATE_CHANGE">Титульный!$F$18</definedName>
    <definedName name="TITLE_DATE_CHANGE_PERIOD">Титульный!$F$19</definedName>
    <definedName name="TITLE_DATE_FIL">Титульный!$F$13</definedName>
    <definedName name="TITLE_DATE_PARKING">Титульный!$H$5</definedName>
    <definedName name="TITLE_DATE_PR">Титульный!$F$21</definedName>
    <definedName name="TITLE_DATE_PR_CHANGE">Титульный!$F$26</definedName>
    <definedName name="TITLE_DIFFERENTIATION_TYPE">Титульный!$F$41</definedName>
    <definedName name="TITLE_FIL_YEAR">Титульный!$F$14</definedName>
    <definedName name="TITLE_FLAG_DIFF_SELLER">Титульный!$F$46</definedName>
    <definedName name="TITLE_FLAG_INTERNET">Титульный!$F$39</definedName>
    <definedName name="TITLE_FLAG_IP">Титульный!$F$58</definedName>
    <definedName name="TITLE_FLAG_IP_DETAILED">Титульный!$F$60</definedName>
    <definedName name="TITLE_FLAG_NO_DIFF_COMPONENT">Титульный!$F$47</definedName>
    <definedName name="TITLE_FLAG_NOT_REG_PRICE">Титульный!$F$51</definedName>
    <definedName name="TITLE_FLAG_REG_PRICE_IP">Титульный!$F$59</definedName>
    <definedName name="TITLE_FLAG_TKO_TRANS">Титульный!$F$62</definedName>
    <definedName name="TITLE_FLAG_TOP80_ACTIVITY">Титульный!$F$56</definedName>
    <definedName name="TITLE_HEADER_PR_CHANGE">Титульный!$F$25</definedName>
    <definedName name="TITLE_IP_DETAILED_METHOD_LIST">TEHSHEET!$AZ$15:$AZ$17</definedName>
    <definedName name="TITLE_IST_PUB">Титульный!$F$24</definedName>
    <definedName name="TITLE_IST_PUB_CHANGE">Титульный!$F$29</definedName>
    <definedName name="TITLE_NAME_OR_PR">Титульный!$F$23</definedName>
    <definedName name="TITLE_NAME_OR_PR_CHANGE">Титульный!$F$28</definedName>
    <definedName name="TITLE_NAME_ROIV">Титульный!#REF!</definedName>
    <definedName name="TITLE_NDS">Титульный!#REF!</definedName>
    <definedName name="TITLE_NUMBER_PR">Титульный!$F$22</definedName>
    <definedName name="TITLE_NUMBER_PR_CHANGE">Титульный!$F$27</definedName>
    <definedName name="TITLE_PERIOD_END">Титульный!$F$12</definedName>
    <definedName name="TITLE_PERIOD_START">Титульный!$F$11</definedName>
    <definedName name="TITLE_PRICE_INDICATORS_GRAPH">Титульный!$F$44</definedName>
    <definedName name="TITLE_PRICE_INDICATORS_LEVEL">Титульный!$F$43</definedName>
    <definedName name="TITLE_STRUCTURE_INFO_ROIV">Титульный!$F$9</definedName>
    <definedName name="TITLE_TYPE_ORG">Титульный!$F$36</definedName>
    <definedName name="TKO_PT_VED_ID">TEHSHEET!$CC$19:$CC$24</definedName>
    <definedName name="TKO_PT_VED_NAME">TEHSHEET!$CD$19:$CD$24</definedName>
    <definedName name="TKO_PT_VED_NAME_LIST">TEHSHEET!$CC$19:$CD$24</definedName>
    <definedName name="TP_NAME_FORM">DATA_FORMS!$C$3</definedName>
    <definedName name="TP_NUMBER_FORM">DATA_FORMS!$C$2</definedName>
    <definedName name="TP_P_A">DATA_NPA!$M$11</definedName>
    <definedName name="TP_P_B">DATA_NPA!$M$12</definedName>
    <definedName name="TP_P_G">DATA_NPA!$M$15</definedName>
    <definedName name="TP_P_NOTE_A">DATA_NPA!$N$11</definedName>
    <definedName name="TP_P_NOTE_B">DATA_NPA!$N$12</definedName>
    <definedName name="TP_P_NOTE_G">DATA_NPA!$N$15</definedName>
    <definedName name="TP_P_NOTE_G_1">DATA_NPA!$N$16</definedName>
    <definedName name="TP_P_NOTE_V">DATA_NPA!$N$13</definedName>
    <definedName name="TP_P_NOTE_V_1">DATA_NPA!$N$14</definedName>
    <definedName name="TP_P_V">DATA_NPA!$M$13</definedName>
    <definedName name="TP_P_V_1">DATA_NPA!$M$14</definedName>
    <definedName name="TYPE_TKO_LIST">TEHSHEET!$AZ$85:$AZ$87</definedName>
    <definedName name="UNIT_CONNECT_LIST">TEHSHEET!$AZ$106:$AZ$108</definedName>
    <definedName name="VDET_END_DATE">TEHSHEET!$F$32</definedName>
    <definedName name="VDET_START_DATE">TEHSHEET!$E$32</definedName>
    <definedName name="version">Инструкция!$B$3</definedName>
    <definedName name="VOTV_FIN_SRC_LIST">TEHSHEET!$BL$4:$BL$36</definedName>
    <definedName name="VOTV_FIN_SRC_VLD_LIST">TEHSHEET!$BL$39:$BL$62</definedName>
    <definedName name="VOTV_IP_EVENT_CI_STAGE_LIST">TEHSHEET!$BL$97:$BL$100</definedName>
    <definedName name="VOTV_IP_EVENT_GROUP_LIST">TEHSHEET!$BL$69:$BL$76</definedName>
    <definedName name="VOTV_IP_EVENT_SUBGROUP_1_LIST">TEHSHEET!$BL$80:$BL$83</definedName>
    <definedName name="VOTV_IP_EVENT_SUBGROUP_3_LIST">TEHSHEET!$BL$87:$BL$88</definedName>
    <definedName name="VOTV_IP_EVENT_SUBGROUP_5_LIST">TEHSHEET!$BL$92:$BL$93</definedName>
    <definedName name="VOTV_IP_EVENT_TYPE_LIST">TEHSHEET!$BL$108</definedName>
    <definedName name="VOTV_PT_VED_ID">TEHSHEET!$BZ$19:$BZ$21</definedName>
    <definedName name="VOTV_PT_VED_NAME">TEHSHEET!$CA$19:$CA$21</definedName>
    <definedName name="VOTV_PT_VED_NAME_LIST">TEHSHEET!$BZ$19:$CA$21</definedName>
    <definedName name="VOTV_TARIFF_A_VOTV_ADD_HL_COLUMN_MARKER">'ВО. Т-во'!$T$34</definedName>
    <definedName name="VOTV_TARIFF_A_VOTV_DEL_HL_DATA_DIFF_COLUMN_MARKER">'ВО. Т-во'!$R$34</definedName>
    <definedName name="VOTV_TARIFF_A_VOTV_DEL_HL_FLAG_DIFF_COLUMN_MARKER">'ВО. Т-во'!$P$34</definedName>
    <definedName name="VOTV_TARIFF_A_VOTV_DEL_HL_GC_COLUMN_MARKER">'ВО. Т-во'!$Q$34</definedName>
    <definedName name="VOTV_TARIFF_A_VOTV_DELETE_PERIOD_ROW_MARKER">'ВО. Т-во'!$O$35</definedName>
    <definedName name="VOTV_TARIFF_A_VOTV_FLAG_BLOCK_COLUMN_MARKER">'ВО. Т-во'!$L$36</definedName>
    <definedName name="VOTV_TARIFF_A_VOTV_FLAG_BLOCK_ROW_MARKER">'ВО. Т-во'!$O$20</definedName>
    <definedName name="VOTV_TARIFF_A_VOTV_NUM_CS_COLUMN_MARKER">'ВО. Т-во'!$G$36</definedName>
    <definedName name="VOTV_TARIFF_A_VOTV_NUM_DATA_DIFF_COLUMN_MARKER">'ВО. Т-во'!$K$36</definedName>
    <definedName name="VOTV_TARIFF_A_VOTV_NUM_FLAG_DIFF_COLUMN_MARKER">'ВО. Т-во'!$I$36</definedName>
    <definedName name="VOTV_TARIFF_A_VOTV_NUM_GC_COLUMN_MARKER">'ВО. Т-во'!$J$36</definedName>
    <definedName name="VOTV_TARIFF_A_VOTV_NUM_NTAR_COLUMN_MARKER">'ВО. Т-во'!$E$36</definedName>
    <definedName name="VOTV_TARIFF_A_VOTV_NUM_TER_COLUMN_MARKER">'ВО. Т-во'!$F$36</definedName>
    <definedName name="VOTV_TARIFF_B_VOTV_ADD_HL_COLUMN_MARKER">'ВО. Т-транс'!$T$34</definedName>
    <definedName name="VOTV_TARIFF_B_VOTV_DEL_HL_DATA_DIFF_COLUMN_MARKER">'ВО. Т-транс'!$R$34</definedName>
    <definedName name="VOTV_TARIFF_B_VOTV_DEL_HL_FLAG_DIFF_COLUMN_MARKER">'ВО. Т-транс'!$P$34</definedName>
    <definedName name="VOTV_TARIFF_B_VOTV_DEL_HL_GC_COLUMN_MARKER">'ВО. Т-транс'!$Q$34</definedName>
    <definedName name="VOTV_TARIFF_B_VOTV_DELETE_PERIOD_ROW_MARKER">'ВО. Т-транс'!$O$35</definedName>
    <definedName name="VOTV_TARIFF_B_VOTV_FLAG_BLOCK_COLUMN_MARKER">'ВО. Т-транс'!$L$36</definedName>
    <definedName name="VOTV_TARIFF_B_VOTV_FLAG_BLOCK_ROW_MARKER">'ВО. Т-транс'!$O$20</definedName>
    <definedName name="VOTV_TARIFF_B_VOTV_NUM_CS_COLUMN_MARKER">'ВО. Т-транс'!$G$36</definedName>
    <definedName name="VOTV_TARIFF_B_VOTV_NUM_DATA_DIFF_COLUMN_MARKER">'ВО. Т-транс'!$K$36</definedName>
    <definedName name="VOTV_TARIFF_B_VOTV_NUM_FLAG_DIFF_COLUMN_MARKER">'ВО. Т-транс'!$I$36</definedName>
    <definedName name="VOTV_TARIFF_B_VOTV_NUM_GC_COLUMN_MARKER">'ВО. Т-транс'!$J$36</definedName>
    <definedName name="VOTV_TARIFF_B_VOTV_NUM_NTAR_COLUMN_MARKER">'ВО. Т-транс'!$E$36</definedName>
    <definedName name="VOTV_TARIFF_B_VOTV_NUM_TER_COLUMN_MARKER">'ВО. Т-транс'!$F$36</definedName>
    <definedName name="VOTV_TARIFF_C_VOTV_ADD_HL_COLUMN_MARKER">'ВО. Т-подкл'!$T$38</definedName>
    <definedName name="VOTV_TARIFF_C_VOTV_ADD_HL_DIAMETERS_COLUMN_MARKER">'ВО. Т-подкл'!$AK$38</definedName>
    <definedName name="VOTV_TARIFF_C_VOTV_ADD_HL_LEN_COLUMN_MARKER">'ВО. Т-подкл'!$AO$38</definedName>
    <definedName name="VOTV_TARIFF_C_VOTV_ADD_HL_LOAD_COLUMN_MARKER">'ВО. Т-подкл'!$AG$38</definedName>
    <definedName name="VOTV_TARIFF_C_VOTV_ADD_HL_NETS_COLUMN_MARKER">'ВО. Т-подкл'!$AS$38</definedName>
    <definedName name="VOTV_TARIFF_C_VOTV_DEL_HL_DATA_DIFF_COLUMN_MARKER">'ВО. Т-подкл'!$R$38</definedName>
    <definedName name="VOTV_TARIFF_C_VOTV_DEL_HL_DIAMETERS_COLUMN_MARKER">'ВО. Т-подкл'!$AI$38</definedName>
    <definedName name="VOTV_TARIFF_C_VOTV_DEL_HL_FLAG_DIFF_COLUMN_MARKER">'ВО. Т-подкл'!$P$38</definedName>
    <definedName name="VOTV_TARIFF_C_VOTV_DEL_HL_GC_COLUMN_MARKER">'ВО. Т-подкл'!$Q$38</definedName>
    <definedName name="VOTV_TARIFF_C_VOTV_DEL_HL_LEN_COLUMN_MARKER">'ВО. Т-подкл'!$AM$38</definedName>
    <definedName name="VOTV_TARIFF_C_VOTV_DEL_HL_LOAD_COLUMN_MARKER">'ВО. Т-подкл'!$AE$38</definedName>
    <definedName name="VOTV_TARIFF_C_VOTV_DEL_HL_NETS_COLUMN_MARKER">'ВО. Т-подкл'!$AQ$38</definedName>
    <definedName name="VOTV_TARIFF_C_VOTV_DELETE_PERIOD_ROW_MARKER">'ВО. Т-подкл'!$O$39</definedName>
    <definedName name="VOTV_TARIFF_C_VOTV_FLAG_BLOCK_COLUMN_MARKER">'ВО. Т-подкл'!$L$44</definedName>
    <definedName name="VOTV_TARIFF_C_VOTV_FLAG_BLOCK_ROW_MARKER">'ВО. Т-подкл'!$O$24</definedName>
    <definedName name="VOTV_TARIFF_C_VOTV_NUM_CS_COLUMN_MARKER">'ВО. Т-подкл'!$G$44</definedName>
    <definedName name="VOTV_TARIFF_C_VOTV_NUM_DATA_DIFF_COLUMN_MARKER">'ВО. Т-подкл'!$K$44</definedName>
    <definedName name="VOTV_TARIFF_C_VOTV_NUM_DIAMETERS_COLUMN_MARKER">'ВО. Т-подкл'!$AJ$38</definedName>
    <definedName name="VOTV_TARIFF_C_VOTV_NUM_FLAG_DIFF_COLUMN_MARKER">'ВО. Т-подкл'!$I$44</definedName>
    <definedName name="VOTV_TARIFF_C_VOTV_NUM_GC_COLUMN_MARKER">'ВО. Т-подкл'!$J$44</definedName>
    <definedName name="VOTV_TARIFF_C_VOTV_NUM_LEN_COLUMN_MARKER">'ВО. Т-подкл'!$AN$38</definedName>
    <definedName name="VOTV_TARIFF_C_VOTV_NUM_LOAD_COLUMN_MARKER">'ВО. Т-подкл'!$AF$38</definedName>
    <definedName name="VOTV_TARIFF_C_VOTV_NUM_NETS_COLUMN_MARKER">'ВО. Т-подкл'!$AR$38</definedName>
    <definedName name="VOTV_TARIFF_C_VOTV_NUM_NTAR_COLUMN_MARKER">'ВО. Т-подкл'!$E$44</definedName>
    <definedName name="VOTV_TARIFF_C_VOTV_NUM_TER_COLUMN_MARKER">'ВО. Т-подкл'!$F$44</definedName>
    <definedName name="VSNA_FIN_SRC_LIST">TEHSHEET!$BJ$4:$BJ$34</definedName>
    <definedName name="VSNA_FIN_SRC_VLD_LIST">TEHSHEET!$BJ$39:$BJ$60</definedName>
    <definedName name="VSNA_IP_EVENT_CI_STAGE_LIST">TEHSHEET!$BJ$97:$BJ$100</definedName>
    <definedName name="VSNA_IP_EVENT_GROUP_LIST">TEHSHEET!$BJ$69:$BJ$76</definedName>
    <definedName name="VSNA_IP_EVENT_SUBGROUP_1_LIST">TEHSHEET!$BJ$80:$BJ$83</definedName>
    <definedName name="VSNA_IP_EVENT_SUBGROUP_3_LIST">TEHSHEET!$BJ$87:$BJ$88</definedName>
    <definedName name="VSNA_IP_EVENT_SUBGROUP_5_LIST">TEHSHEET!$BJ$92:$BJ$93</definedName>
    <definedName name="VSNA_IP_EVENT_TYPE_LIST">TEHSHEET!$BJ$108</definedName>
    <definedName name="VTAR_ID">TEHSHEET!$E$59</definedName>
    <definedName name="Y_N_DIFFERENTIATION_AREA">Дифференциация!$F$12:$F$16</definedName>
    <definedName name="Y_N_DIFFERENTIATION_SYSTEM">Дифференциация!$J$12:$J$16</definedName>
    <definedName name="YEAR_IP_LIST">TEHSHEET!$BE$2:$BE$72</definedName>
    <definedName name="year_list">TEHSHEET!$C$2:$C$6</definedName>
    <definedName name="year_list1">TEHSHEET!$B$2:$B$27</definedName>
    <definedName name="VD_LIST">REESTR_VED!$A$2:$B$4</definedName>
    <definedName name="VD_ID_LIST">REESTR_VED!$A$2:$A$4</definedName>
    <definedName name="VD_NAME_LIST">REESTR_VED!$B$2:$B$4</definedName>
    <definedName name="et_B_FHD20_1">et_union_hor!$115:$123</definedName>
    <definedName name="_xlnm._FilterDatabase" localSheetId="57">Проверка!$B$4:$E$5</definedName>
  </definedNames>
  <calcPr calcId="0" iterate="0" iterateCount="100" iterateDelta="0.001"/>
</workbook>
</file>

<file path=xl/comments1.xml><?xml version="1.0" encoding="utf-8"?>
<comments xmlns="http://schemas.openxmlformats.org/spreadsheetml/2006/main">
  <authors>
    <author>Author</author>
  </authors>
  <commentList>
    <comment ref="E37" authorId="0">
      <text>
        <r>
          <rPr>
            <sz val="9"/>
            <color indexed="81"/>
            <rFont val="Arial"/>
            <family val="2"/>
          </rPr>
          <t>ОСН - Общая система налогообложения
УСН - Упрощённая система налогообложения
ЕСХН - Единый сельскохозяйственный налог
ПСН - Патентная система налогообложения
НПД - Налог на профессиональный доход</t>
        </r>
      </text>
    </comment>
  </commentList>
</comments>
</file>

<file path=xl/comments2.xml><?xml version="1.0" encoding="utf-8"?>
<comments xmlns="http://schemas.openxmlformats.org/spreadsheetml/2006/main">
  <authors>
    <author>Author</author>
  </authors>
  <commentList>
    <comment ref="AZ1" authorId="0">
      <text>
        <r>
          <rPr>
            <sz val="9"/>
            <color indexed="81"/>
            <rFont val="Tahoma"/>
            <family val="2"/>
          </rPr>
          <t>Тип организации</t>
        </r>
      </text>
    </comment>
    <comment ref="L6" authorId="0">
      <text>
        <r>
          <rPr>
            <sz val="9"/>
            <color indexed="81"/>
            <rFont val="Tahoma"/>
            <family val="2"/>
          </rPr>
          <t>тут будет больше 0, если выбран хотя бы один метод, отличный от экономически обоснованных</t>
        </r>
      </text>
    </comment>
  </commentList>
</comments>
</file>

<file path=xl/comments3.xml><?xml version="1.0" encoding="utf-8"?>
<comments xmlns="http://schemas.openxmlformats.org/spreadsheetml/2006/main">
  <authors>
    <author>Author</author>
  </authors>
  <commentList>
    <comment ref="P2" authorId="0">
      <text>
        <r>
          <rPr>
            <sz val="9"/>
            <color indexed="81"/>
            <rFont val="Arial"/>
            <family val="2"/>
          </rPr>
          <t>сюда же для некоторых формул может входить:
- VOTV
- HOTVSNA</t>
        </r>
      </text>
    </comment>
    <comment ref="U2" authorId="0">
      <text>
        <r>
          <rPr>
            <sz val="9"/>
            <color indexed="81"/>
            <rFont val="Arial"/>
            <family val="2"/>
          </rPr>
          <t>сюда же для некоторых формул может входить:
- VOTV
- HOTVSNA</t>
        </r>
      </text>
    </comment>
  </commentList>
</comments>
</file>

<file path=xl/sharedStrings.xml><?xml version="1.0" encoding="utf-8"?>
<sst xmlns="http://schemas.openxmlformats.org/spreadsheetml/2006/main" count="19653" uniqueCount="5014">
  <si>
    <t xml:space="preserve"> (требуется обновление)</t>
  </si>
  <si>
    <t>Код отчёта: PP108.OPEN.INFO.PRICE.HOTVSNA.EIAS</t>
  </si>
  <si>
    <t>Версия отчёта: 1.0.7</t>
  </si>
  <si>
    <t>Условные обозначения</t>
  </si>
  <si>
    <t>A</t>
  </si>
  <si>
    <t xml:space="preserve"> - предназначенные для заполнения</t>
  </si>
  <si>
    <t xml:space="preserve"> - ссылки и автозаполняемые поля</t>
  </si>
  <si>
    <t xml:space="preserve"> - с формулами и константами</t>
  </si>
  <si>
    <t xml:space="preserve"> - обязательные для заполнения</t>
  </si>
  <si>
    <t>Работа с реестрами</t>
  </si>
  <si>
    <t>Если в предложенном Вам списке необходимая организация, территория или объект отсутствуют, обновите списки с помощью элементов управления на листах. Если после обновления Вам не удалось найти необходимую позицию в списке, обратитесь к ответственному за поддержание реестра Вашего региона либо в Отдел сопровождения пользователей ЕИАС.</t>
  </si>
  <si>
    <t>Проверка отчёта</t>
  </si>
  <si>
    <t>• При сохранении отчётной формы осуществляется проверка корректности данных_x000D_
• Для каждого сообщения возможны 2 статуса: ошибка и предупреждение_x000D_
• При наличии сообщений со статусом «Ошибка» файл будет отклонён системой и не будет загружен в хранилище данных, сообщения со статусом «Предупреждение» носят информационный характер, и такой файл будет принят к обработке системой</t>
  </si>
  <si>
    <t>Субъект РФ</t>
  </si>
  <si>
    <t>Ростовская область</t>
  </si>
  <si>
    <t>Состав раскрываемой информации</t>
  </si>
  <si>
    <t>PRICE, REQUEST</t>
  </si>
  <si>
    <t>Начало_x000D_
периода регулирования</t>
  </si>
  <si>
    <t>Как заполнить?</t>
  </si>
  <si>
    <t>Начало периода регулирования</t>
  </si>
  <si>
    <t>Окончание_x000D_
периода регулирования</t>
  </si>
  <si>
    <t>Окончание периода регулирования</t>
  </si>
  <si>
    <t>ORG</t>
  </si>
  <si>
    <t>Дата_x000D_
предоставления информации</t>
  </si>
  <si>
    <t/>
  </si>
  <si>
    <t>Дата предоставления информации</t>
  </si>
  <si>
    <t>BALANCE, QUARTER, TERMS</t>
  </si>
  <si>
    <t>Год</t>
  </si>
  <si>
    <t>Отчётный период (год)</t>
  </si>
  <si>
    <t>QUARTER</t>
  </si>
  <si>
    <t>Квартал</t>
  </si>
  <si>
    <t>Отчётный период (квартал)</t>
  </si>
  <si>
    <t>Тип отчёта</t>
  </si>
  <si>
    <t>первичное раскрытие информации</t>
  </si>
  <si>
    <t>Дата внесения изменений в информацию, подлежащую раскрытию</t>
  </si>
  <si>
    <t>Отображается, если тип отчёта - изменение</t>
  </si>
  <si>
    <t>Данный блок предлагается заполнять из отчётной формы BALANCE.CALC.TARIFF.ххх.хххх</t>
  </si>
  <si>
    <t>877</t>
  </si>
  <si>
    <t>Наименование органа регулирования, принявшего решение об утверждении тарифов</t>
  </si>
  <si>
    <t>Региональная служба по тарифам Ростовской области</t>
  </si>
  <si>
    <t>Источник официального опубликования решения</t>
  </si>
  <si>
    <t>Официальный портал правовой информации Ростовской области</t>
  </si>
  <si>
    <t>Открывается, если Тип отчёта "изменения в раскрытой ранее информации"</t>
  </si>
  <si>
    <t>Наименование органа регулирования, принявшего решение об изменении тарифов</t>
  </si>
  <si>
    <t>АО "Теплокоммунэнерго"</t>
  </si>
  <si>
    <t>Наименование (описание) обособленного подразделения</t>
  </si>
  <si>
    <t>ИНН</t>
  </si>
  <si>
    <t>6165199445</t>
  </si>
  <si>
    <t>КПП</t>
  </si>
  <si>
    <t>615250001</t>
  </si>
  <si>
    <t>Тип теплоснабжающей организации</t>
  </si>
  <si>
    <t>Система налогообложения</t>
  </si>
  <si>
    <t>ОСН</t>
  </si>
  <si>
    <t>Отсутствует Интернет в границах территории МО, где организация осуществляет регулируемые виды деятельности</t>
  </si>
  <si>
    <t>нет</t>
  </si>
  <si>
    <t>Опубликовать индикативный предельный уровень цен на тепловую энергию (мощность)</t>
  </si>
  <si>
    <t>График поэтапного равномерного доведения предельного уровня цены на тепловую энергию (мощность)</t>
  </si>
  <si>
    <r>
      <t xml:space="preserve">Тариф на горячую воду предлагается </t>
    </r>
    <r>
      <rPr>
        <b/>
        <charset val="204"/>
        <family val="2"/>
        <rFont val="Tahoma"/>
        <sz val="9"/>
      </rPr>
      <t>с (!)</t>
    </r>
    <r>
      <rPr>
        <charset val="204"/>
        <family val="2"/>
        <rFont val="Tahoma"/>
        <sz val="9"/>
      </rPr>
      <t xml:space="preserve"> разбивкой по поставщикам</t>
    </r>
  </si>
  <si>
    <r>
      <t xml:space="preserve">Тариф на горячую воду предлагается </t>
    </r>
    <r>
      <rPr>
        <b/>
        <charset val="204"/>
        <family val="2"/>
        <rFont val="Tahoma"/>
        <sz val="9"/>
      </rPr>
      <t>без (!)</t>
    </r>
    <r>
      <rPr>
        <charset val="204"/>
        <family val="2"/>
        <rFont val="Tahoma"/>
        <sz val="9"/>
      </rPr>
      <t xml:space="preserve"> разбивки на компоненты</t>
    </r>
  </si>
  <si>
    <t>Организация осуществляет поставку товаров (оказание услуг) только по нерегулируемым ценам</t>
  </si>
  <si>
    <t>Регулируемая организация осуществляет сдачу годового бухгалтерского баланса в налоговые органы</t>
  </si>
  <si>
    <t>Дата направления годового бухгалтерского баланса в налоговые органы</t>
  </si>
  <si>
    <t>Превышает ли выручка от регулируемой деятельности 80% совокупной выручки за отчетный год</t>
  </si>
  <si>
    <t>Организация выполняет инвестиционную программу</t>
  </si>
  <si>
    <t>да</t>
  </si>
  <si>
    <t>Детализация инвестиционных программ осуществляется</t>
  </si>
  <si>
    <t>Оператор по обращению с твёрдыми коммунальными отходами, осуществляет деятельность по транспортированию твёрдых коммунальных отходов</t>
  </si>
  <si>
    <t>Почтовый адрес регулируемой организации</t>
  </si>
  <si>
    <t>344064 г. Ростов-на-Дону, пер. Неклиновский, 4/1 "б"</t>
  </si>
  <si>
    <t>Фамилия, имя, отчество руководителя</t>
  </si>
  <si>
    <t>Родионов Денис Александрович</t>
  </si>
  <si>
    <t>Ответственный за заполнение формы</t>
  </si>
  <si>
    <t>Фамилия, имя, отчество</t>
  </si>
  <si>
    <t>Барсова Екатерина Юрьевна</t>
  </si>
  <si>
    <t>Должность</t>
  </si>
  <si>
    <t>Ведущий экономист ПЭО</t>
  </si>
  <si>
    <t>Контактный телефон</t>
  </si>
  <si>
    <t>8 (863) 285-06-66 доб. (1603)</t>
  </si>
  <si>
    <t>E-mail</t>
  </si>
  <si>
    <t xml:space="preserve">peo@rostovteplo.ru </t>
  </si>
  <si>
    <t>МР</t>
  </si>
  <si>
    <t>МО</t>
  </si>
  <si>
    <t>ОКТМО</t>
  </si>
  <si>
    <t>Муниципальный район</t>
  </si>
  <si>
    <t>Муниципальное образование</t>
  </si>
  <si>
    <t>№ п/п</t>
  </si>
  <si>
    <t>Наименование</t>
  </si>
  <si>
    <t>3</t>
  </si>
  <si>
    <t>4</t>
  </si>
  <si>
    <t>6</t>
  </si>
  <si>
    <t>7</t>
  </si>
  <si>
    <t>размерженный МР</t>
  </si>
  <si>
    <t>флаг используемости территории на листе Перечень тарифов</t>
  </si>
  <si>
    <t>копия территорий</t>
  </si>
  <si>
    <t>МР (ОКТМО)</t>
  </si>
  <si>
    <t>ter_1</t>
  </si>
  <si>
    <t>92</t>
  </si>
  <si>
    <t>Город Ростов-на-Дону</t>
  </si>
  <si>
    <t>60701000</t>
  </si>
  <si>
    <t>Добавить МО</t>
  </si>
  <si>
    <t>Добавить территорию оказания услуг</t>
  </si>
  <si>
    <t>Добавить территорию действия тарифа</t>
  </si>
  <si>
    <t>Вид деятельности</t>
  </si>
  <si>
    <t>Дифференциация по территориям</t>
  </si>
  <si>
    <t>Дифференциация по централизованным системам</t>
  </si>
  <si>
    <t>да/нет</t>
  </si>
  <si>
    <t>1</t>
  </si>
  <si>
    <t>2</t>
  </si>
  <si>
    <t>5</t>
  </si>
  <si>
    <t>8</t>
  </si>
  <si>
    <t>ID_DIFF</t>
  </si>
  <si>
    <t>VD</t>
  </si>
  <si>
    <t>AREA</t>
  </si>
  <si>
    <t>SYSTEM</t>
  </si>
  <si>
    <t>diff_1</t>
  </si>
  <si>
    <t>a</t>
  </si>
  <si>
    <t>Добавить централизованную систему</t>
  </si>
  <si>
    <t>Добавить описание территории</t>
  </si>
  <si>
    <t>Добавить вид деятельности</t>
  </si>
  <si>
    <t>Вид тарифа</t>
  </si>
  <si>
    <t>Наименование тарифа</t>
  </si>
  <si>
    <t>Дифференциация по_x000D_
 МО (территориям)</t>
  </si>
  <si>
    <t>Дифференциация по _x000D_
централизованным системам</t>
  </si>
  <si>
    <t>Дифференциация по источникам тепловой энергии</t>
  </si>
  <si>
    <t>Примечание</t>
  </si>
  <si>
    <t>Установлен для организации</t>
  </si>
  <si>
    <t>Описание</t>
  </si>
  <si>
    <t>TER_ID</t>
  </si>
  <si>
    <t>VTAR_ID</t>
  </si>
  <si>
    <t>VD_ID</t>
  </si>
  <si>
    <t>ID_VTAR</t>
  </si>
  <si>
    <t>ID_NTAR</t>
  </si>
  <si>
    <t>ID_TER</t>
  </si>
  <si>
    <t>ID_CS</t>
  </si>
  <si>
    <t>ID_IST_TE</t>
  </si>
  <si>
    <t>ВидТарифа</t>
  </si>
  <si>
    <t>ВидДеятельности</t>
  </si>
  <si>
    <t>НаименованиеТарифа</t>
  </si>
  <si>
    <t>Территория</t>
  </si>
  <si>
    <t>ЦентрализованнаяСистема</t>
  </si>
  <si>
    <t>ИсточникТепловойЭнергии</t>
  </si>
  <si>
    <t>№ п.п НаименованиеТарифа</t>
  </si>
  <si>
    <t>№ п.п Территория</t>
  </si>
  <si>
    <t>№ п.п ЦентрализованнаяСистема</t>
  </si>
  <si>
    <t>№ п.п ИсточникТепловойЭнергии</t>
  </si>
  <si>
    <t>9</t>
  </si>
  <si>
    <t>10</t>
  </si>
  <si>
    <t>11</t>
  </si>
  <si>
    <t>12</t>
  </si>
  <si>
    <t>13</t>
  </si>
  <si>
    <t>14</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</si>
  <si>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t>
  </si>
  <si>
    <t>pIns_PT_VTAR_A</t>
  </si>
  <si>
    <t>pt_ntar_1</t>
  </si>
  <si>
    <t>pt_ter_1</t>
  </si>
  <si>
    <t>pt_cs_1</t>
  </si>
  <si>
    <t>pt_ist_te_1</t>
  </si>
  <si>
    <t>Тарифы на тепловую энергию (мощность), поставляемую теплоснабжающими организациями потребителям, другим теплоснабжающим организациям</t>
  </si>
  <si>
    <t>pIns_PT_VTAR_B</t>
  </si>
  <si>
    <t>pt_ntar_2</t>
  </si>
  <si>
    <t>pt_ter_2</t>
  </si>
  <si>
    <t>pt_cs_2</t>
  </si>
  <si>
    <t>pt_ist_te_2</t>
  </si>
  <si>
    <t>Тарифы на теплоноситель, поставляемый теплоснабжающими организациями потребителям, другим теплоснабжающим организациям</t>
  </si>
  <si>
    <t>pIns_PT_VTAR_C</t>
  </si>
  <si>
    <t>pt_ntar_3</t>
  </si>
  <si>
    <t>pt_ter_3</t>
  </si>
  <si>
    <t>pt_cs_3</t>
  </si>
  <si>
    <t>pt_ist_te_3</t>
  </si>
  <si>
    <t>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t>
  </si>
  <si>
    <t>pIns_PT_VTAR_D</t>
  </si>
  <si>
    <t>pt_ntar_4</t>
  </si>
  <si>
    <t>pt_ter_4</t>
  </si>
  <si>
    <t>pt_cs_4</t>
  </si>
  <si>
    <t>pt_ist_te_4</t>
  </si>
  <si>
    <t>Тарифы на услуги по передаче тепловой энергии</t>
  </si>
  <si>
    <t>pIns_PT_VTAR_E1</t>
  </si>
  <si>
    <t>pt_ntar_5</t>
  </si>
  <si>
    <t>pt_ter_5</t>
  </si>
  <si>
    <t>pt_cs_5</t>
  </si>
  <si>
    <t>pt_ist_te_5</t>
  </si>
  <si>
    <t>Тарифы на услуги по передаче теплоносителя</t>
  </si>
  <si>
    <t>pIns_PT_VTAR_E2</t>
  </si>
  <si>
    <t>pt_ntar_6</t>
  </si>
  <si>
    <t>pt_ter_6</t>
  </si>
  <si>
    <t>pt_cs_6</t>
  </si>
  <si>
    <t>pt_ist_te_6</t>
  </si>
  <si>
    <t>Плата за услуги по поддержанию резервной тепловой мощности при отсутствии потребления тепловой энергии</t>
  </si>
  <si>
    <t>pIns_PT_VTAR_F</t>
  </si>
  <si>
    <t>pt_ntar_7</t>
  </si>
  <si>
    <t>pt_ter_7</t>
  </si>
  <si>
    <t>pt_cs_7</t>
  </si>
  <si>
    <t>pt_ist_te_7</t>
  </si>
  <si>
    <t>Плата за подключение (технологическое присоединение) к системе теплоснабжения</t>
  </si>
  <si>
    <t>pIns_PT_VTAR_G</t>
  </si>
  <si>
    <t>pt_ntar_8</t>
  </si>
  <si>
    <t>pt_ter_8</t>
  </si>
  <si>
    <t>pt_cs_8</t>
  </si>
  <si>
    <t>pt_ist_te_8</t>
  </si>
  <si>
    <t>Плата за подключение к системе теплоснабжения (индивидуальная)</t>
  </si>
  <si>
    <t>pIns_PT_VTAR_H</t>
  </si>
  <si>
    <t>pt_ntar_20</t>
  </si>
  <si>
    <t>pt_ter_20</t>
  </si>
  <si>
    <t>pt_cs_20</t>
  </si>
  <si>
    <t>pt_ist_te_20</t>
  </si>
  <si>
    <t>Предельный уровень цены на тепловую энергию (мощность), поставляемую теплоснабжающими организациями потребителям</t>
  </si>
  <si>
    <t>pIns_PT_VTAR_I</t>
  </si>
  <si>
    <t>pt_ntar_21</t>
  </si>
  <si>
    <t>pt_ter_21</t>
  </si>
  <si>
    <t>pt_cs_21</t>
  </si>
  <si>
    <t>pt_ist_te_21</t>
  </si>
  <si>
    <t>Информация о регулируемых ценах (тарифах) на товары (услуги) единой теплоснабжающей организации в ценовых зонах теплоснабжения включает сведения:</t>
  </si>
  <si>
    <t>- о предельном уровне цены на тепловую энергию (мощность), поставляемую потребителям, об индикативном предельном уровне цены на тепловую энергию (мощность) и о графике поэтапного равномерного доведения предельного уровня цены на тепловую энергию (мощность) (при наличии), определяемых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ПП РФ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t>
  </si>
  <si>
    <t>-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</si>
  <si>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</si>
  <si>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 о плате за подключение (технологическое присоединение) к системе теплоснабжения, применяемой в случае, установленном частью 9 статьи 23.4 ФЗ "О теплоснабжении".</t>
  </si>
  <si>
    <t>Информация о регулируемых ценах (тарифах) на товары (услуги) теплоснабжающей организации и теплосетевой организации в ценовых зонах теплоснабжения включает сведения:</t>
  </si>
  <si>
    <t>- о тарифах на теплоноситель в виде воды, поставляемый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</si>
  <si>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товары (услуги) в сфере теплоснабжения в случаях, указанных в частях 12.1 - 12.4 статьи 10 ФЗ "О теплоснабжении"</t>
  </si>
  <si>
    <t>Тариф на питьевую воду (питьевое водоснабжение)</t>
  </si>
  <si>
    <t>pIns_PT_VTAR_A_COLDVSNA</t>
  </si>
  <si>
    <t>pt_ntar_9</t>
  </si>
  <si>
    <t>pt_ter_9</t>
  </si>
  <si>
    <t>pt_cs_9</t>
  </si>
  <si>
    <t>Тариф на техническую воду</t>
  </si>
  <si>
    <t>pIns_PT_VTAR_B_COLDVSNA</t>
  </si>
  <si>
    <t>pt_ntar_10</t>
  </si>
  <si>
    <t>pt_ter_10</t>
  </si>
  <si>
    <t>pt_cs_10</t>
  </si>
  <si>
    <t>Тариф на транспортировку воды</t>
  </si>
  <si>
    <t>pIns_PT_VTAR_C_COLDVSNA</t>
  </si>
  <si>
    <t>pt_ntar_11</t>
  </si>
  <si>
    <t>pt_ter_11</t>
  </si>
  <si>
    <t>pt_cs_11</t>
  </si>
  <si>
    <t>Тариф на подвоз воды</t>
  </si>
  <si>
    <t>pIns_PT_VTAR_D_COLDVSNA</t>
  </si>
  <si>
    <t>pt_ntar_12</t>
  </si>
  <si>
    <t>pt_ter_12</t>
  </si>
  <si>
    <t>pt_cs_12</t>
  </si>
  <si>
    <t>Тариф на подключение (технологическое присоединение) к централизованной системе холодного водоснабжения</t>
  </si>
  <si>
    <t>pIns_PT_VTAR_E_COLDVSNA</t>
  </si>
  <si>
    <t>pt_ntar_13</t>
  </si>
  <si>
    <t>pt_ter_13</t>
  </si>
  <si>
    <t>pt_cs_13</t>
  </si>
  <si>
    <t>Тариф на горячую воду (горячее водоснабжение)</t>
  </si>
  <si>
    <t>Тариф на горячую воду, поставляемую с использованием закрытой системы горячего водоснабжения АО "Теплокоммунэнерго" (ИНН 6165199445)</t>
  </si>
  <si>
    <t>4189706</t>
  </si>
  <si>
    <t>pIns_PT_VTAR_A_HOTVSNA</t>
  </si>
  <si>
    <t>pt_ntar_14</t>
  </si>
  <si>
    <t>pt_ter_14</t>
  </si>
  <si>
    <t>pt_cs_14</t>
  </si>
  <si>
    <t>Добавить централизованную систему для дифференциации</t>
  </si>
  <si>
    <t>Добавить территорию для дифференциации</t>
  </si>
  <si>
    <t>Добавить наименование тарифа</t>
  </si>
  <si>
    <t>Тариф на транспортировку горячей воды</t>
  </si>
  <si>
    <t>pIns_PT_VTAR_B_HOTVSNA</t>
  </si>
  <si>
    <t>pt_ntar_15</t>
  </si>
  <si>
    <t>pt_ter_15</t>
  </si>
  <si>
    <t>pt_cs_15</t>
  </si>
  <si>
    <t>Тариф на подключение (технологическое присоединение) к централизованной системе горячего водоснабжения</t>
  </si>
  <si>
    <t>pIns_PT_VTAR_C_HOTVSNA</t>
  </si>
  <si>
    <t>pt_ntar_16</t>
  </si>
  <si>
    <t>pt_ter_16</t>
  </si>
  <si>
    <t>pt_cs_16</t>
  </si>
  <si>
    <t>Тариф на водоотведение</t>
  </si>
  <si>
    <t>pIns_PT_VTAR_A_VOTV</t>
  </si>
  <si>
    <t>pt_ntar_17</t>
  </si>
  <si>
    <t>pt_ter_17</t>
  </si>
  <si>
    <t>pt_cs_17</t>
  </si>
  <si>
    <t>Тариф на транспортировку сточных вод</t>
  </si>
  <si>
    <t>pIns_PT_VTAR_B_VOTV</t>
  </si>
  <si>
    <t>pt_ntar_18</t>
  </si>
  <si>
    <t>pt_ter_18</t>
  </si>
  <si>
    <t>pt_cs_18</t>
  </si>
  <si>
    <t>Тариф на подключение (технологическое присоединение) к централизованной системе водоотведения</t>
  </si>
  <si>
    <t>pIns_PT_VTAR_C_VOTV</t>
  </si>
  <si>
    <t>pt_ntar_19</t>
  </si>
  <si>
    <t>pt_ter_19</t>
  </si>
  <si>
    <t>pt_cs_19</t>
  </si>
  <si>
    <t>fdif</t>
  </si>
  <si>
    <t>fdif_e</t>
  </si>
  <si>
    <t>fdif_1</t>
  </si>
  <si>
    <t>Дифференциация тарифов в области обращения с твердыми коммунальными отходами</t>
  </si>
  <si>
    <t>Дифференциация по технологическим особенностям</t>
  </si>
  <si>
    <t>Дифференциация по территории оказания услуг</t>
  </si>
  <si>
    <t>Дифференциация по виду твердых коммунальных отходов</t>
  </si>
  <si>
    <t>Дифференциация по классу опасности твердых коммунальных отходов</t>
  </si>
  <si>
    <t>Комментарий</t>
  </si>
  <si>
    <t>Дифференциация, да/нет</t>
  </si>
  <si>
    <t>Значение</t>
  </si>
  <si>
    <t>Тарифы</t>
  </si>
  <si>
    <t>Прочие показатели</t>
  </si>
  <si>
    <t>AREA_ID</t>
  </si>
  <si>
    <t>Оказание услуги по обращению с твердыми коммунальными отходами региональным оператором</t>
  </si>
  <si>
    <t>Единый тариф на услугу регионального оператора по обращению с твердыми коммунальными отходами</t>
  </si>
  <si>
    <t>Тариф на обработку твердых коммунальных отходов</t>
  </si>
  <si>
    <t>Тариф на обезвреживание твердых коммунальных отходов</t>
  </si>
  <si>
    <t>Тариф на захоронение твердых коммунальных отходов</t>
  </si>
  <si>
    <t>Тариф на энергетическую утилизацию</t>
  </si>
  <si>
    <t>Фирменное наименование юридического лица (согласно уставу регулируемой организации)</t>
  </si>
  <si>
    <t>Параметры формы</t>
  </si>
  <si>
    <t>Описание параметров формы</t>
  </si>
  <si>
    <t>Наименование параметра</t>
  </si>
  <si>
    <t>Информация</t>
  </si>
  <si>
    <t>Субъект Российской Федерации</t>
  </si>
  <si>
    <t>Указывается наименование субъекта Российской Федерации</t>
  </si>
  <si>
    <t>x</t>
  </si>
  <si>
    <t>2.2</t>
  </si>
  <si>
    <t>идентификационный номер налогоплательщика (ИНН)</t>
  </si>
  <si>
    <t>Указывается идентификационный номер налогоплательщика.</t>
  </si>
  <si>
    <t>2.3</t>
  </si>
  <si>
    <t>код причины постановки на учет (КПП)</t>
  </si>
  <si>
    <t>Указывается код причины постановки на учет (при наличии).</t>
  </si>
  <si>
    <t>5.1</t>
  </si>
  <si>
    <t>Сведения о присвоении статуса единой теплоснабжающей организации:</t>
  </si>
  <si>
    <t>Информация в строках 5.x.1 - 5.x.4 указывается только едиными теплоснабжающими организациями.</t>
  </si>
  <si>
    <t>наименование органа, принявшего решение о присвоении статуса единой теплоснабжающей организации</t>
  </si>
  <si>
    <t>дата решения</t>
  </si>
  <si>
    <t>Дата принятия решения о присвоении статуса единой теплоснабжающей организации указывается в виде «ДД.ММ.ГГГГ».</t>
  </si>
  <si>
    <t>номер решения</t>
  </si>
  <si>
    <t>границы зоны (зон) деятельности</t>
  </si>
  <si>
    <t>Указывается описание зоны (зон) деятельности единой теплоснабжающей организации.</t>
  </si>
  <si>
    <t>Добавить сведения</t>
  </si>
  <si>
    <t>Данные должностного лица, ответственного за размещение данных</t>
  </si>
  <si>
    <t>3.1</t>
  </si>
  <si>
    <t>фамилия, имя и отчество должностного лица</t>
  </si>
  <si>
    <t>3.1.1</t>
  </si>
  <si>
    <t>фамилия должностного лица</t>
  </si>
  <si>
    <t>3.1.2</t>
  </si>
  <si>
    <t>имя должностного лица</t>
  </si>
  <si>
    <t>3.1.3</t>
  </si>
  <si>
    <t>отчество должностного лица</t>
  </si>
  <si>
    <t>3.2</t>
  </si>
  <si>
    <t>должность</t>
  </si>
  <si>
    <t>3.3</t>
  </si>
  <si>
    <t>контактный телефон</t>
  </si>
  <si>
    <t>3.4</t>
  </si>
  <si>
    <t>адрес электронной почты</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</si>
  <si>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ФГИС ЕИАС.</t>
  </si>
  <si>
    <t>Добавить контактный телефон</t>
  </si>
  <si>
    <t>Указывается при наличии</t>
  </si>
  <si>
    <t>Режим работы</t>
  </si>
  <si>
    <t>Указывается режим работы регулируемой организации. В случае наличия нескольких режимов работы регулируемой организации, информация по каждому из них указывается в отдельной строке.</t>
  </si>
  <si>
    <t>режим работы абонентских отделов</t>
  </si>
  <si>
    <t>Указывается режим работы абонентских отделов регулируемой организации. В случае наличия нескольких абонентских отделов и (или) режимов работы абонентских отделов, информация по каждому из них указывается в отдельной строке.</t>
  </si>
  <si>
    <t>режим работы сбытовых подразделений</t>
  </si>
  <si>
    <t>Указывается режим работы сбытовых подразделений регулируемой организации. В случае наличия нескольких сбытовых подразделений и (или) режимов работы сбытовых подразделений, информация по каждому из них указывается в отдельной строке.</t>
  </si>
  <si>
    <t>режим работы диспетчерских служб</t>
  </si>
  <si>
    <t>Указывается режим работы диспетчерских служб регулируемой организации. В случае наличия нескольких диспетчерских служб и (или) режимов работы диспетчерских служб, информация по каждому из них указывается в отдельной строке.</t>
  </si>
  <si>
    <t>Добавить режим работы</t>
  </si>
  <si>
    <t>В случае наличия дополнительных режимов работы регулируемой организации (подразделений регулируемой организации) информация по каждому из них указывается в отдельной строке.</t>
  </si>
  <si>
    <t>Наличие или отсутствие утвержденной в установленном порядке инвестиционной программы</t>
  </si>
  <si>
    <t>BLOCK_MAIN_INFO_OBJECT_HEAT</t>
  </si>
  <si>
    <t>BLOCK_MAIN_INFO_OBJECT_VOTV</t>
  </si>
  <si>
    <t>BLOCK_MAIN_INFO_OBJECT_COLDVSNA</t>
  </si>
  <si>
    <t>BLOCK_MAIN_INFO_OBJECT_HOTVSNA</t>
  </si>
  <si>
    <t>D:T</t>
  </si>
  <si>
    <t>Протяженность магистральных сетей (в однотрубном исчислении), км.</t>
  </si>
  <si>
    <t>Протяженность разводящих сетей (в однотрубном исчислении), км.</t>
  </si>
  <si>
    <t>Теплоэлектростанции</t>
  </si>
  <si>
    <t>Тепловые станции</t>
  </si>
  <si>
    <t>Котельные</t>
  </si>
  <si>
    <t>Количество центральных тепловых пунктов, шт.</t>
  </si>
  <si>
    <t>Протяженность канализационных сетей (в однотрубном исчислении), км.</t>
  </si>
  <si>
    <t>Количество насосных станций, шт.</t>
  </si>
  <si>
    <t>Количество очистных сооружений, шт.</t>
  </si>
  <si>
    <t>Протяженность водопроводных сетей (в однотрубном исчислении), км</t>
  </si>
  <si>
    <t>Количество скважин, шт.</t>
  </si>
  <si>
    <t>Количество подкачивающих насосных станций, шт.</t>
  </si>
  <si>
    <t>Протяженность сетей горячего водоснабжения (в однотрубном исчислении), км</t>
  </si>
  <si>
    <t>Количество теплоэлектростанций, шт.</t>
  </si>
  <si>
    <t>Установленная электрическая мощность</t>
  </si>
  <si>
    <t>Единицы изменения</t>
  </si>
  <si>
    <t>Установленная тепловая мощность, Гкал/ч</t>
  </si>
  <si>
    <t>Количество тепловых станций, шт.</t>
  </si>
  <si>
    <t>Количество котельных, шт.</t>
  </si>
  <si>
    <t>0</t>
  </si>
  <si>
    <t>Значения протяженности сетей, показателей в блоках "Теплоэлектростанции", "Тепловые станции", "Котельные" (за исключением колонки "Единицы измерения"), количества центральных тепловых пунктов указываются в виде целых и неотрицательных чисел._x000D_
В случае отсутствия тепловых сетей, теплоэлектростанций, тепловых станций, котельных, центральных тепловых пунктов в соответствующей колонке указывается значение 0._x000D_
В колонке "Единицы измерения" в блоке "Теплоэлектростанции" выбирается одно из значений: кВт*ч или МВт._x000D_
В случае оказания услуг в нескольких системах теплоснабжения информация по каждой из них указывается в отдельной строке.</t>
  </si>
  <si>
    <t>Значения протяженности сетей, количества насосных станций, количества очистных сооружений указываются в виде целых и  неотрицательных чисел._x000D_
В случае отсутствия канализационных сетей, насосных станций, очистных сооружений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водоотведения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водоотведения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</si>
  <si>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скважин, количества подкачивающих насосных станций указываются в виде целых и неотрицательных чисел._x000D_
В случае отсутствия водопроводных сетей, скважин, подкачивающих станций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холодного водоснабжения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холодного водоснабжения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</si>
  <si>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центральных тепловых пунктов указываются в виде целых и неотрицательных чисел._x000D_
В случае отсутствия водопроводных сетей, центральных тепловых пунктов в соответствующей колонке указывается значение 0._x000D_
В случае осуществления регулируемых видов деятельности в нескольких централизованных системах горячего водоснабжения информация по каждой из них указывается в отдельной строке.</t>
  </si>
  <si>
    <t>n</t>
  </si>
  <si>
    <t>64235586; 64235587</t>
  </si>
  <si>
    <t>Добавить вид объекта</t>
  </si>
  <si>
    <t>Форма 2. Вид деятельности и виды объектов, используемых для оказания услуг в области обращения с твердыми коммунальными отходами, и их количество</t>
  </si>
  <si>
    <t>Вид объекта, используемых для оказания услуг в области обращения с твердыми коммунальными отходами</t>
  </si>
  <si>
    <t>Количество объектов, используемых для оказания услуг в области обращения с твердыми коммунальными отходами, шт.</t>
  </si>
  <si>
    <t>Значение количества объектов, используемых для оказания услуг в области обращения с твердыми коммунальными отходами, указывается в виде целых и неотрицательных чисел._x000D_
В случае отсутствия объектов того или иного вида, используемых для оказания услуг в области обращения с твердыми коммунальными отходами, указывается значение «0»._x000D_
В случае оказания услуг по нескольким видам деятельности информация по каждому из них указывается отдельно._x000D_
В случае наличия нескольких видов объектов, используемых для оказания услуг в области обращения с твердыми коммунальными отходами, информация по каждому из них указывается отдельно.</t>
  </si>
  <si>
    <t>Информация об отсутствии сети "Интернет" &lt;1&gt;</t>
  </si>
  <si>
    <t>Отсутствует доступ к сети "Интернет"</t>
  </si>
  <si>
    <t>Ссылка на документ</t>
  </si>
  <si>
    <t>В случае отсутствия доступа к сети "Интернет" на территории выбранного муниципального образования в колонке "Отсутствует доступ к сети "Интернет" указывается "Да"._x000D_
В колонке "Ссылка на документ" указывается материал в виде ссылки на документ, подтверждающий отсутствие сети "Интернет" на территории выбранного муниципального образования, предварительно загруженный в хранилище данных ФГИС ЕИАС._x000D_
В случае отсутствия доступа к сети "Интернет" на территории нескольких муниципальных районов (муниципальных образований) информация по каждому из них указывается в отдельной строке.</t>
  </si>
  <si>
    <t>Омский муниципальный район</t>
  </si>
  <si>
    <t>Ачаирское сельское поселение</t>
  </si>
  <si>
    <t>52644404</t>
  </si>
  <si>
    <t>Ачаирское сельское поселение (52644404)</t>
  </si>
  <si>
    <t>Указывается наименование тарифа в случае утверждения нескольких тарифов._x000D_
В случае наличия нескольких тарифов информация по ним указывается в отдельных строках.</t>
  </si>
  <si>
    <t>Территория действия тарифа</t>
  </si>
  <si>
    <t>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</si>
  <si>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 xml:space="preserve">Наименование системы теплоснабжения </t>
  </si>
  <si>
    <t>Указывается наименование системы теплоснабжения при наличии дифференциации тарифа по системам теплоснабжения._x000D_
В случае дифференциации тарифов по системам теплоснабжения информация по ним указывается в отдельных строках.</t>
  </si>
  <si>
    <t xml:space="preserve">Источник тепловой энергии  </t>
  </si>
  <si>
    <t>Указывается наименование источника тепловой энергии_x000D_
В случае дифференциации тарифов по источникам тепловой энергии информация по ним указывается в отдельных строках.</t>
  </si>
  <si>
    <t>SCHEME</t>
  </si>
  <si>
    <t>Схема подключения теплопотребляющей установки к коллектору источника тепловой энергии</t>
  </si>
  <si>
    <t>Указывается схема подключения теплопотребляющей установки к коллектору источника тепловой энергии только для тарифов на тепловую энергию и за услуги по поддержанию резервной мощности_x000D_
Значение выбирается из перечня:_x000D_
   - без дифференциации_x000D_
   - к коллектору источника тепловой энергии_x000D_
   - к тепловой сети без дополнительного преобразования на тепловых пунктах, эксплуатируемых теплоснабжающей организацией_x000D_
   - к тепловой сети после тепловых пунктов (на тепловых пунктах), эксплуатируемых теплоснабжающей организацией_x000D_
В случае дифференциации тарифов по схемам подключения теплопотребляющей установки к коллектору источника тепловой энергии информация по ним указывается в отдельных строках.</t>
  </si>
  <si>
    <t>GROUP_CONSUMER</t>
  </si>
  <si>
    <t>Группа потребителей</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</si>
  <si>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группам потребителей информация по ним указывается в отдельных строках.</t>
  </si>
  <si>
    <t>TN</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</si>
  <si>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 Информация в колонке «Ставка за содержание тепловой мощности, тыс. руб./Гкал/ч/мес» указывается только для тарифа по поддержанию резервной мощности._x000D_
В случае дифференциации тарифов по периодам действия тарифа информация по ним указывается в отдельных колонках._x000D_
В случае дифференциации тарифов по видам теплоносителя информация по ним указывается в отдельных строках.</t>
  </si>
  <si>
    <t>Добавить вид теплоносителя (параметры теплоносителя)</t>
  </si>
  <si>
    <t>Добавить группу потребителей</t>
  </si>
  <si>
    <t>Добавить схему подключения</t>
  </si>
  <si>
    <t>Добавить источник для дифференциации</t>
  </si>
  <si>
    <t>PERIOD_FROM_FIRST_ROW</t>
  </si>
  <si>
    <t>FLAG_BLOCK_COLUMN</t>
  </si>
  <si>
    <t>SPR</t>
  </si>
  <si>
    <t>FLAG_START_DATE</t>
  </si>
  <si>
    <t>FLAG_ETC_PERIOD</t>
  </si>
  <si>
    <t>FLAG_END_DATE</t>
  </si>
  <si>
    <t>Дата документа об утверждении тарифов</t>
  </si>
  <si>
    <t>Номер документа об утверждении тарифов</t>
  </si>
  <si>
    <t>Дата подачи заявления об утверждении тарифов</t>
  </si>
  <si>
    <t>Номер подачи заявления об утверждении тарифов</t>
  </si>
  <si>
    <t>dp</t>
  </si>
  <si>
    <t>Параметр дифференциации тарифа</t>
  </si>
  <si>
    <t>Величина и срок действия тарифа</t>
  </si>
  <si>
    <t>Наличие других периодов действия тарифа</t>
  </si>
  <si>
    <t>Наличие других сроков действия тарифа</t>
  </si>
  <si>
    <t>Добавить срок действия</t>
  </si>
  <si>
    <t>Одноставочный тариф,_x000D_
руб./Гкал</t>
  </si>
  <si>
    <t>Ставка за содержание тепловой мощности,_x000D_
тыс. руб./Гкал/ч/мес.</t>
  </si>
  <si>
    <t>Двухставочный тариф</t>
  </si>
  <si>
    <t>Срок действия</t>
  </si>
  <si>
    <t>NUM_NTAR</t>
  </si>
  <si>
    <t>NUM_TER</t>
  </si>
  <si>
    <t>NUM_CS</t>
  </si>
  <si>
    <t>NUM_IST_TE</t>
  </si>
  <si>
    <t>NUM_SCHEME</t>
  </si>
  <si>
    <t>NUM_GC</t>
  </si>
  <si>
    <t>NUM_TN</t>
  </si>
  <si>
    <t>ставка за тепловую энергию,_x000D_
руб./Гкал</t>
  </si>
  <si>
    <t>ставка за содержание тепловой мощности,_x000D_
тыс. руб./Гкал/ч/мес</t>
  </si>
  <si>
    <t>дата начала</t>
  </si>
  <si>
    <t>дата окончания</t>
  </si>
  <si>
    <t>Период действия</t>
  </si>
  <si>
    <t>Одноставочный тариф,_x000D_
руб./куб.м</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</si>
  <si>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тариф колонка "Одноставочный тариф" не заполняется._x000D_
При подаче утверждении одноставочного тарифа колонки в блоке "Двухставочный тариф" не заполняются.Информация в колонке "Двухставочный тариф" не указывается для тарифа на теплоноситель._x000D_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"Нет".В случае дифференциации тарифов по видам теплоносителя информация по ним указывается в отдельных строках.</t>
  </si>
  <si>
    <t>Указывается вид теплоносителя. 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В случае дифференциации тарифов по видам теплоносителя информация по ним указывается в отдельных строках.</t>
  </si>
  <si>
    <t>В колонке "Параметр дифференциации тарифов" указывается наименование поставщика в случае наличия дифференциации компонента двухставочного тарифа на горячую воду по поставщикам._x000D_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заполняются._x000D_
В случае отсутствия разбивки тарифа на компоненты колонки "Компонент на теплоноситель, руб./куб. м" и "Одноставочный компонент на тепловую энергию, руб/Гкал" не заполняются._x000D_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"Нет"._x000D_
В случае дифференциации тарифов по поставщикам информация по ним указывается в отдельных строках.</t>
  </si>
  <si>
    <t>Добавить наименование поставщика</t>
  </si>
  <si>
    <t>Одноставочный тариф на горячую воду,_x000D_
руб./куб. м</t>
  </si>
  <si>
    <t>Двухкомпонентный тариф на горячую воду</t>
  </si>
  <si>
    <t>Компонент на теплоноситель,_x000D_
руб./куб. м</t>
  </si>
  <si>
    <t>Компонента на тепловую энергию</t>
  </si>
  <si>
    <t>Одноставочный компонент тарифа на тепловую энергию,_x000D_
руб/Гкал</t>
  </si>
  <si>
    <t>Двухставочный компонент тарифа на тепловую энергию</t>
  </si>
  <si>
    <t>NUM_CONS</t>
  </si>
  <si>
    <t>ставка за потребление горячей воды,_x000D_
руб./куб. м</t>
  </si>
  <si>
    <t>ставка за содержание тепловой мощности в компоненте на тепловую энергию,_x000D_
тыс. руб./Гкал/ч в мес.</t>
  </si>
  <si>
    <t>В колонке "Параметр дифференциации тарифа/Заявитель"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</si>
  <si>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диапазон диаметров тепловых сетей</t>
  </si>
  <si>
    <t>Добавить тип прокладки тепловых сетей</t>
  </si>
  <si>
    <t>Добавить подключаемую тепловую нагрузку</t>
  </si>
  <si>
    <t>Добавить строку</t>
  </si>
  <si>
    <t>FLAG</t>
  </si>
  <si>
    <t>LOAD</t>
  </si>
  <si>
    <t>NETS</t>
  </si>
  <si>
    <t>DIAMETERS</t>
  </si>
  <si>
    <t>Параметр дифференциации тарифа/ заявитель/ наименование объекта/адрес</t>
  </si>
  <si>
    <t>Подключаемая тепловая нагрузка,_x000D_
Гкал/ч</t>
  </si>
  <si>
    <t>Тип прокладки тепловых сетей</t>
  </si>
  <si>
    <t>Диаметр тепловых сетей,_x000D_
мм</t>
  </si>
  <si>
    <t>Плата за подключение (технологическое присоединение),_x000D_
тыс. руб./Гкал/ч (руб.)</t>
  </si>
  <si>
    <t>Плата за подключение (технологическое присоединение)</t>
  </si>
  <si>
    <t>с НДС</t>
  </si>
  <si>
    <t>без НДС</t>
  </si>
  <si>
    <t>В колонке "Параметр дифференциации тарифа/заявитель/наименование объекта/адрес"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</si>
  <si>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Наименование централизованной системы холодного водоснабжения</t>
  </si>
  <si>
    <t>Указывается наименование централизованной системы холодного водоснабжения при наличии дифференциации тарифа по централизованным системам холодного водоснабжения._x000D_
В случае дифференциации тарифов по централизованным системам холодного водоснабжения информация по ним указывается в отдельных строках.</t>
  </si>
  <si>
    <t>Наименование признака дифференциации</t>
  </si>
  <si>
    <t>Указывается наименование дополнительного признака дифференциации (при наличии)._x000D_
Дифференциация тарифа осуществляется в соответствии с законодательством в сфере водоснабжения и водоотведения._x000D_
В случае дифференциации тарифов по дополнительным признакам информация по ним указывается в отдельных строках.</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</si>
  <si>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по группам потребителей информация по ним указывается в отдельных строках.</t>
  </si>
  <si>
    <t>Добавить значение признака дифференциации</t>
  </si>
  <si>
    <t>В случае наличия нескольких значений признака дифференциации тарифов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</si>
  <si>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наименование признака дифференциации</t>
  </si>
  <si>
    <t>Одноставочный тариф</t>
  </si>
  <si>
    <t>NUM_FLAG_DIFF</t>
  </si>
  <si>
    <t>NUM_DATA_DIFF</t>
  </si>
  <si>
    <t>Одноставочный тариф,_x000D_
руб./куб. м</t>
  </si>
  <si>
    <t>ставка платы за объем поданной воды,_x000D_
руб./куб. м</t>
  </si>
  <si>
    <t>ставка платы за содержание мощности,_x000D_
руб./куб. м в час</t>
  </si>
  <si>
    <t>pt_ist_te_9</t>
  </si>
  <si>
    <t>pt_ist_te_10</t>
  </si>
  <si>
    <t>pt_ist_te_11</t>
  </si>
  <si>
    <t>pt_ist_te_12</t>
  </si>
  <si>
    <t>Заявитель</t>
  </si>
  <si>
    <t>Наименование объекта, адрес</t>
  </si>
  <si>
    <t>В колонке "Параметр дифференциации тарифа/Заявитель" указывается наименование категории потребителей/заявителя,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дифференциации по категориям потребителей/заявителям, подключаемой нагрузке, диапазону диаметров, протяженности, условиям прокладки водопроводной сети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</si>
  <si>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условия прокладки сетей</t>
  </si>
  <si>
    <t>Добавить протяженность водопроводной сети</t>
  </si>
  <si>
    <t>Добавить диапазон диаметров водопроводной сети</t>
  </si>
  <si>
    <t>Добавить подключаемую нагрузку</t>
  </si>
  <si>
    <t>DIAMETERS_2</t>
  </si>
  <si>
    <t>Параметр дифференциации тарифа/Заявитель/Наименование объекта/Адрес</t>
  </si>
  <si>
    <t>Подключаемая нагрузка водопроводной сети,_x000D_
куб. м/сут</t>
  </si>
  <si>
    <t>Диапазон диаметров водопроводной сети,_x000D_
мм</t>
  </si>
  <si>
    <t>Протяженность водопроводной сети,_x000D_
км</t>
  </si>
  <si>
    <t>Условия прокладки сетей</t>
  </si>
  <si>
    <t>Ставка тарифа за подключаемую нагрузку водопроводной сети,_x000D_
тыс. руб./куб. м в сутки</t>
  </si>
  <si>
    <t>Ставка тарифа за протяженность водопроводной сети диаметром d,_x000D_
тыс. руб./км</t>
  </si>
  <si>
    <t>Срок действия тарифов</t>
  </si>
  <si>
    <t>pt_ist_te_13</t>
  </si>
  <si>
    <t>Наименование централизованной системы водоотведения</t>
  </si>
  <si>
    <t>Указывается наименование централизованной системы водоотведения при наличии дифференциации тарифа по централизованным системам водоотведения._x000D_
В случае дифференциации тарифов по централизованным системам водоотведения информация по ним указывается в отдельных строках.</t>
  </si>
  <si>
    <t>одноставочный тариф,_x000D_
руб./куб. м</t>
  </si>
  <si>
    <t>ставка платы за объем _x000D_
принятых сточных вод,_x000D_
руб./куб. м</t>
  </si>
  <si>
    <t>pt_ist_te_17</t>
  </si>
  <si>
    <t>pt_ist_te_18</t>
  </si>
  <si>
    <t>Добавить протяженность сети</t>
  </si>
  <si>
    <t>Добавить диапазон диаметров</t>
  </si>
  <si>
    <t>Подключаемая нагрузка канализационной сети,_x000D_
куб. м/сут</t>
  </si>
  <si>
    <t>Диапазон диаметров канализационной сети,_x000D_
мм</t>
  </si>
  <si>
    <t>Протяженность канализационной  сети,_x000D_
км</t>
  </si>
  <si>
    <t>Ставка тарифа за подключаемую нагрузку канализационной сети,_x000D_
тыс. руб./куб. м в сутки</t>
  </si>
  <si>
    <t>Ставка тарифа за протяженность канализационной сети диаметром d,_x000D_
тыс. руб./км</t>
  </si>
  <si>
    <t>pt_ist_te_19</t>
  </si>
  <si>
    <t>Наименование централизованной системы горячего водоснабжения</t>
  </si>
  <si>
    <t>Указывается наименование централизованной системы горячего водоснабжения при наличии дифференциации тарифа по централизованным системам горячего водоснабжения._x000D_
В случае дифференциации тарифов по централизованным системам горячего водоснабжения информация по ним указывается в отдельных строках.</t>
  </si>
  <si>
    <t>Одноставочный тариф, руб./куб. м</t>
  </si>
  <si>
    <t>Компонент на холодную воду</t>
  </si>
  <si>
    <t>Компонент на тепловую энергию</t>
  </si>
  <si>
    <t>Одноставочный, руб./куб.м</t>
  </si>
  <si>
    <t>Двухставочный тариф</t>
  </si>
  <si>
    <t>Одноставочный, руб./Гкал</t>
  </si>
  <si>
    <t>Ставка за содержание системы, руб./куб. м в час</t>
  </si>
  <si>
    <t>Ставка за объём поданной воды, руб./куб.м</t>
  </si>
  <si>
    <t>Ставка за тепловую энергию, руб./Гкал</t>
  </si>
  <si>
    <t>Ставка за содержание тепловой мощности, руб./Гкал в час в месяц</t>
  </si>
  <si>
    <t>pt_ist_te_14</t>
  </si>
  <si>
    <t>население</t>
  </si>
  <si>
    <t>×</t>
  </si>
  <si>
    <t>без дифференциации</t>
  </si>
  <si>
    <t>pt_ist_te_15</t>
  </si>
  <si>
    <t>pt_ist_te_16</t>
  </si>
  <si>
    <t>vt</t>
  </si>
  <si>
    <t>х</t>
  </si>
  <si>
    <t>В колонке «Наименование параметра» указывается вид приобретаемого топлива._x000D_
Если приобретается несколько видов топлива, то информация по каждому из них указывается отдельно.</t>
  </si>
  <si>
    <t>общая стоимость</t>
  </si>
  <si>
    <t>объём</t>
  </si>
  <si>
    <t>В колонке «Единица измерения» указываются единицы измерения объема приобретаемого топлива._x000D_
В колонке «Информация» указывается величина объема приобретаемого топлива.</t>
  </si>
  <si>
    <t>стоимость за единицу объёма</t>
  </si>
  <si>
    <t>тыс. руб.</t>
  </si>
  <si>
    <t>стоимость доставки</t>
  </si>
  <si>
    <t>способ приобретения</t>
  </si>
  <si>
    <t>Указываются прочие расходы, которые подлежат отнесению на регулируемые виды деятельности в соответствии с законодательством.</t>
  </si>
  <si>
    <t>Гкал/ч</t>
  </si>
  <si>
    <t>Указывается установленная тепловая мощность для источника тепловой энергии.</t>
  </si>
  <si>
    <t>%</t>
  </si>
  <si>
    <t>Указывается показатель использования по производственному объекту как процент объем перекачки по отношению к пиковому дню отчетного года.</t>
  </si>
  <si>
    <t>кг у. т./Гкал</t>
  </si>
  <si>
    <t>Указывается норматив удельного расхода условного топлива при производстве тепловой энергии источниками тепловой энергии для отдельного источника тепловой энергии.</t>
  </si>
  <si>
    <t>кг усл. топл./Гкал</t>
  </si>
  <si>
    <t>Указывается фактический удельный расход условного топлива при производстве тепловой энергии источниками тепловой энергии для отдельного источника тепловой энергии.</t>
  </si>
  <si>
    <t>Территория оказания услуг</t>
  </si>
  <si>
    <t>Централизованная система</t>
  </si>
  <si>
    <t>Единица измерения</t>
  </si>
  <si>
    <t>p</t>
  </si>
  <si>
    <t>HEAT_P1</t>
  </si>
  <si>
    <t>Добавить вид топлива</t>
  </si>
  <si>
    <t>HOTVSNA_P1</t>
  </si>
  <si>
    <t>руб.</t>
  </si>
  <si>
    <t>тыс. кВт·ч</t>
  </si>
  <si>
    <t>HEAT_P6</t>
  </si>
  <si>
    <t>NOT_HOTVSNA</t>
  </si>
  <si>
    <t>отсутствует</t>
  </si>
  <si>
    <t>NOT_HEAT_P1</t>
  </si>
  <si>
    <t>Добавить прочие расходы</t>
  </si>
  <si>
    <t>HEAT_P2</t>
  </si>
  <si>
    <t>NOT_HEAT_P2</t>
  </si>
  <si>
    <t>COLDVSNA_P1</t>
  </si>
  <si>
    <t>тыс. куб. м</t>
  </si>
  <si>
    <t>HOTVSNA_P2</t>
  </si>
  <si>
    <t>тыс. Гкал</t>
  </si>
  <si>
    <t>VOTV_P1</t>
  </si>
  <si>
    <t>HEAT_P3</t>
  </si>
  <si>
    <t>Добавить источник тепловой энергии</t>
  </si>
  <si>
    <t>В случае наличия нескольких источников тепловой энергии установленная тепловая мощность по каждому из них указывается в отдельных строках.</t>
  </si>
  <si>
    <t>hyp</t>
  </si>
  <si>
    <t>тыс. Гкал/год</t>
  </si>
  <si>
    <t>человек</t>
  </si>
  <si>
    <t>HEAT_P4</t>
  </si>
  <si>
    <t>VSNA</t>
  </si>
  <si>
    <t>тыс. кВт·ч на тыс. куб. м</t>
  </si>
  <si>
    <t>COLDVSNA_P2</t>
  </si>
  <si>
    <t>Добавить производственный объект</t>
  </si>
  <si>
    <t>В случае наличия нескольких производственных объектов информация по каждому из них указывается в отдельной строке.</t>
  </si>
  <si>
    <t>HEAT_P5</t>
  </si>
  <si>
    <t>В случае наличия нескольких источников тепловой энергии норматив удельного расхода условного топлива по каждому из них указывается в отдельных строках.</t>
  </si>
  <si>
    <t>В случае наличия нескольких источников тепловой энергии фактический удельный расход условного топлива по каждому из них указывается в отдельных строках.</t>
  </si>
  <si>
    <t>тыс. кВт.ч/Гкал</t>
  </si>
  <si>
    <t>куб.м/Гкал</t>
  </si>
  <si>
    <t>Способ приобретения</t>
  </si>
  <si>
    <t>Реквизиты договора</t>
  </si>
  <si>
    <t>Наименование товара/услуги</t>
  </si>
  <si>
    <t>Объем приобретенных товаров, услуг</t>
  </si>
  <si>
    <t>Единица измерения объема</t>
  </si>
  <si>
    <t>Стоимость, тыс. руб.</t>
  </si>
  <si>
    <t>Доля расходов, % (от суммы расходов по указанной статье)</t>
  </si>
  <si>
    <t>NOTSHOW</t>
  </si>
  <si>
    <t>Информация об объемах товаров и услуг, их стоимости и способах приобретения у организаций, в том числе:</t>
  </si>
  <si>
    <t>Указывается сумма стоимости приобретения товаров и услуг у организаций, сумма оплаты услуг которых превышает 20% суммы расходов на капитальный и текущий ремонт основных производственных средства</t>
  </si>
  <si>
    <t>i</t>
  </si>
  <si>
    <t>Расходы на услуги производственного характера, выполняемые по договорам с организациями на проведение регламентных работ в рамках технологического процесса. Из них товары и услуги, приобретенные у организаций, сумма оплаты услуг которых превышает 20% суммы расходов по статье:</t>
  </si>
  <si>
    <t>Указывается сумма стоимости приобретения товаров и услуг у организаций, сумма оплаты услуг которых превышает 20% суммы расходов на услуги производственного характера</t>
  </si>
  <si>
    <t>Указываются прочие расходы,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</si>
  <si>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Форма 5. Информация об основных показателях финансово-хозяйственной деятельности организации в части регулируемых видов деятельности за отчётный год</t>
  </si>
  <si>
    <t>Выручка от регулируемого вида деятельности</t>
  </si>
  <si>
    <t xml:space="preserve">Указывается выручка от регулируемого вида деятельности </t>
  </si>
  <si>
    <t>p3</t>
  </si>
  <si>
    <t>Себестоимость оказываемых услуг по обращению с твёрдыми коммунальными отходами по регулируемому виду деятельности, включая:</t>
  </si>
  <si>
    <t xml:space="preserve">Указывается суммарная себестоимость </t>
  </si>
  <si>
    <t>2.1</t>
  </si>
  <si>
    <t>производственные расходы, в том числе:</t>
  </si>
  <si>
    <t>Указывается общая сумма производственных расходов.</t>
  </si>
  <si>
    <t>2.1.1</t>
  </si>
  <si>
    <t>расходы на оплату труда основного производственного персонала</t>
  </si>
  <si>
    <t>Указывается общая сумма расходов на оплату труда и страховых взносов производственного персонала.</t>
  </si>
  <si>
    <t>2.1.2</t>
  </si>
  <si>
    <t>страховые взносы на обязательное социальное страхование, выплачиваемые из фонда оплаты труда основного производственного персонала</t>
  </si>
  <si>
    <t>ремонтные расходы, включая:</t>
  </si>
  <si>
    <t>Указывается общая сумма ремонтных расходов</t>
  </si>
  <si>
    <t>2.2.1</t>
  </si>
  <si>
    <t>расходы на текущий ремонт</t>
  </si>
  <si>
    <t>2.2.2</t>
  </si>
  <si>
    <t>расходы на капитальный ремонт</t>
  </si>
  <si>
    <t>административные расходы, в том числе:</t>
  </si>
  <si>
    <t>Указывается общая сумма расходов на оплату труда и страховых взносов административно-управленческого персонала</t>
  </si>
  <si>
    <t>2.3.1</t>
  </si>
  <si>
    <t>расходы на оплату труда</t>
  </si>
  <si>
    <t>2.3.2</t>
  </si>
  <si>
    <t xml:space="preserve">страховые взносы на обязательное социальное страхование, выплачиваемые из фонда оплаты труда административно-управленческого персонала </t>
  </si>
  <si>
    <t>2.4</t>
  </si>
  <si>
    <t>расходы на амортизацию основных средств и нематериальных активов:</t>
  </si>
  <si>
    <t>Указывается общая сумма расходов на амортизацию основных средства и нематериальных активов</t>
  </si>
  <si>
    <t>2.4.1</t>
  </si>
  <si>
    <t>расходы на амортизацию основных средств</t>
  </si>
  <si>
    <t>2.4.2</t>
  </si>
  <si>
    <t>расходы на амортизацию нематериальных активов</t>
  </si>
  <si>
    <t>2.5</t>
  </si>
  <si>
    <t>расходы на арендную плату</t>
  </si>
  <si>
    <t>2.6</t>
  </si>
  <si>
    <t>расходы на лизинговые платежи</t>
  </si>
  <si>
    <t>2.7</t>
  </si>
  <si>
    <t xml:space="preserve"> расходы на концессионную плату</t>
  </si>
  <si>
    <t>2.8</t>
  </si>
  <si>
    <t>прочие расходы, которые подлежат отнесению на регулируемые виды деятельности, в том числе:</t>
  </si>
  <si>
    <t>Указывается общая сумма прочих расходов,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</si>
  <si>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В случае наличия нескольких видов прочих расходов информация указывается в отдельных строках.</t>
  </si>
  <si>
    <t>2.9</t>
  </si>
  <si>
    <t>расходы на транспортирование твёрдых коммунальных отходов</t>
  </si>
  <si>
    <t>Указывается сумма расходов на оплату выполняемых сторонними организациями услуг, связанных с осуществлением деятельности по транспортированию твёрдых коммунальных отходов в соответствии с договорами, заключенными региональным оператором с операторами, осуществляющими транспортирование твёрдых коммунальных отходов, при самостоятельном транспортировании твёрдых коммунальных отходов региональным оператором (при их наличии).</t>
  </si>
  <si>
    <t>Чистая прибыль с разбивкой по регулируемым видам деятельности, в том числе:</t>
  </si>
  <si>
    <t>Указывается общая сумма чистой прибыли, полученной от регулируемого вида деятельности.</t>
  </si>
  <si>
    <t>размер расходования чистой прибыли на финансирование мероприятий, предусмотренных инвестиционной программой</t>
  </si>
  <si>
    <t>Изменение стоимости основных фондов, в том числе:</t>
  </si>
  <si>
    <t>Указывается общее изменение стоимости основных фондов.</t>
  </si>
  <si>
    <t>4.1</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</si>
  <si>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</si>
  <si>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(вывода из эксплуатации).</t>
  </si>
  <si>
    <t>4.1.1</t>
  </si>
  <si>
    <t>изменение стоимости основных фондов за счет их ввода в эксплуатацию</t>
  </si>
  <si>
    <t>Указываются изменение стоимости основных фондов за счет их ввода в эксплуатацию.</t>
  </si>
  <si>
    <t>4.1.2</t>
  </si>
  <si>
    <t>изменение стоимости основных фондов за счет их вывода в эксплуатацию</t>
  </si>
  <si>
    <t>Указываются изменение стоимости основных фондов за счет их вывода из эксплуатации.</t>
  </si>
  <si>
    <t>4.1.3</t>
  </si>
  <si>
    <t>изменение стоимости основных фондов за счет их переоценки</t>
  </si>
  <si>
    <t>Указываются изменение стоимости основных фондов за счет их переоценки.</t>
  </si>
  <si>
    <t>Годовая бухгалтерская (финансовая) отчетность, включая бухгалтерский баланс и приложения к нему</t>
  </si>
  <si>
    <t>-</t>
  </si>
  <si>
    <t>Указывается ссылка на документ, предварительно загруженный в хранилище файлов ФГИС ЕИАС._x000D_
Раскрывается организацией, выручка от регулируемых видов деятельности которой превышает 80 процентов совокупной выручки за отчетный год.</t>
  </si>
  <si>
    <t>Объём принятых твёрдых коммунальных отходов</t>
  </si>
  <si>
    <t>тыс. куб. м_x000D_
в год</t>
  </si>
  <si>
    <t>Указание объема принятых твёрдых коммунальных отходов необязательно при указании массы принятых твёрдых коммунальных отходов.</t>
  </si>
  <si>
    <t>Масса принятых твёрдых коммунальных отходов</t>
  </si>
  <si>
    <t>тонн в год</t>
  </si>
  <si>
    <t>Указание массы принятых твёрдых коммунальных отходов необязательно при указании объёма принятых твёрдых коммунальных отходов.</t>
  </si>
  <si>
    <t>Среднесписочная численность основного персонала</t>
  </si>
  <si>
    <t>Форма 6. Информация об основных показателях финансово-хозяйственной деятельности организации в отношении деятельности по транспортированию твердых коммунальных отходов за отчетный год</t>
  </si>
  <si>
    <t>Выручка от деятельности</t>
  </si>
  <si>
    <t>Указывается выручка от деятельности</t>
  </si>
  <si>
    <t>Себестоимость оказываемых услуг по регулируемому виду деятельности, включая:</t>
  </si>
  <si>
    <t>Указывается суммарная себестоимость</t>
  </si>
  <si>
    <t>расходы на оплату труда и страховые взносы на обязательное социальное страхование, выплачиваемые из фонда оплаты труда</t>
  </si>
  <si>
    <t>Указывается общая сумма расходов на оплату труда и страховых взносов</t>
  </si>
  <si>
    <t xml:space="preserve">расходы на оплату труда </t>
  </si>
  <si>
    <t xml:space="preserve">страховые взносы на обязательное социальное страхование, выплачиваемые из фонда оплаты труда </t>
  </si>
  <si>
    <t>расходы на топливо и горюче-смазочные материалы для транспортных средств, используемых для транспортирования твёрдых коммунальных отходов</t>
  </si>
  <si>
    <t>расходы на сырье и материалы для текущего технического обслуживания транспортных средств, используемых для транспортирования твёрдых коммунальных отходов</t>
  </si>
  <si>
    <t>ремонтные расходы и расходы на техническое обслуживание в отношении транспортных средств, используемых для транспортирования твёрдых коммунальных отходов (за исключением расходов, указанных в пункте 2.3 данной формы)</t>
  </si>
  <si>
    <t>расходы на амортизацию транспортных средств, используемых для транспортирования твёрдых коммунальных отходов</t>
  </si>
  <si>
    <t>расходы на арендную плату и лизинговые платежи в отношении транспортных средств, используемых для транспортирования твёрдых коммунальных отходов</t>
  </si>
  <si>
    <t>административные расходы (за исключением расходов, предусмотренных пунктами 2.1 и 2.8 данной формы)</t>
  </si>
  <si>
    <t>расходы, связанные с оплатой налогов, сборов и других обязательных платежей (в том числе с обязательным страхованием гражданской ответственности владельцев транспортных средств, оснащением и обеспечением функционирования аппаратуры спутниковой навигации ГЛОНАСС или ГЛОНАСС/GPS)</t>
  </si>
  <si>
    <t>прочие расходы</t>
  </si>
  <si>
    <t>Чистая прибыль в отношении деятельности по транспортированию твёрдых коммунальных отходов</t>
  </si>
  <si>
    <t>Изменение стоимости основных фондов (транспортных средств, используемых для транспортирования твёрдых коммунальных отходов), в том числе:</t>
  </si>
  <si>
    <t>Указывается общее изменение стоимости основных фондов за счет их ввода в эксплуатацию (вывода из эксплуатации), переоценки.</t>
  </si>
  <si>
    <t>Указывается изменение стоимости основных фондов за счет их ввода в эксплуатацию.</t>
  </si>
  <si>
    <t>4.2</t>
  </si>
  <si>
    <t>изменение стоимости основных фондов за счет их вывода из эксплуатации</t>
  </si>
  <si>
    <t>Указывается изменение стоимости основных фондов за счет их вывода из эксплуатации.</t>
  </si>
  <si>
    <t>4.3</t>
  </si>
  <si>
    <t>Указывается изменение стоимости основных фондов за счет их переоценки.</t>
  </si>
  <si>
    <t>Указывается ссылка на документ, предварительно загруженный в хранилище файлов ФГИС ЕИАС._x000D_
Раскрывается организацией, выручка от деятельности по транспортированию твёрдых коммунальных отходов которой превышает 80 процентов совокупной выручки за отчетный год.</t>
  </si>
  <si>
    <t>Объём принятых для транспортирования твёрдых коммунальных отходов</t>
  </si>
  <si>
    <t>Масса принятых для транспортирования твёрдых коммунальных отходов</t>
  </si>
  <si>
    <t>&lt;1&gt;</t>
  </si>
  <si>
    <t>В 2023 году операторы по обращению с твёрдыми коммунальными отходами, осуществляющие деятельность по транспортированию твёрдых коммунальных отходов, раскрывают в данной форме информацию, сформированную на дату раскрытия информации.</t>
  </si>
  <si>
    <t>В случае, если оператор по обращению с твёрдыми коммунальными отходами, осуществляющий деятельность по транспортированию твёрдых коммунальных отходов, обеспечивает транспортирование твёрдых коммунальных отходов в разных зонах деятельности регионального оператора, на разных территориях в пределах одной зоны деятельности регионального оператора, то информация раскрывается по каждой зоне деятельности регионального оператора, по каждой территории в пределах зоны деятельности регионального оператора.</t>
  </si>
  <si>
    <t>Информация, подлежащая раскрытию</t>
  </si>
  <si>
    <t>HEAT</t>
  </si>
  <si>
    <t>Количество аварий на тепловых сетях</t>
  </si>
  <si>
    <t>ед. на км</t>
  </si>
  <si>
    <t>Указывается количество любых нарушений на тепловых сетях в расчете на один километр трубопровода.</t>
  </si>
  <si>
    <t>Количество аварий на источниках тепловой энергии</t>
  </si>
  <si>
    <t>ед. на источник</t>
  </si>
  <si>
    <t>Указывается количество любых нарушений на источниках тепловой энергии</t>
  </si>
  <si>
    <t>Сведения о несоблюдении значений параметров качества теплоснабжения и (или) параметров, отражающих допустимые перерывы в теплоснабжении</t>
  </si>
  <si>
    <t>Информация в данной строке раскрывается только единой теплоснабжающей организацией в ценовых зонах теплоснабжения (обобщенная информация о количестве составленных актов, подтверждающих факт превышения разрешенных отклонений значений параметров, о средней продолжительности устранения превышения разрешенных отклонений значений параметров, о совокупной величине снижения размера платы за тепловую энергию (мощность) потребителям в связи с превышением разрешенных отклонений значений параметров)</t>
  </si>
  <si>
    <t>количество составленных актов, подтверждающих факт превышения разрешенных отклонений значений параметров</t>
  </si>
  <si>
    <t>шт.</t>
  </si>
  <si>
    <t>средняя продолжительность устранения превышения разрешенных отклонений значений параметров</t>
  </si>
  <si>
    <t>дн.</t>
  </si>
  <si>
    <t>совокупная величина снижения размера платы за тепловую энергию (мощность) потребителям в связи с превышением разрешенных отклонений значений параметров</t>
  </si>
  <si>
    <t>Показатели надежности и энергетической эффективности,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</si>
  <si>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предварительно загруженный в хранилище данных ФГИС ЕИАС._x000D_
В случае, если показатели не утверждены в колонке «Информация» указывается «Не утверждены»._x000D_
Информация в данной строке не раскрывается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t>
  </si>
  <si>
    <t>Плановые показатели надежности объектов теплоснабжения</t>
  </si>
  <si>
    <t>количество прекращений подачи тепловой энергии, теплоносителя в результате технологических нарушений на тепловых сетях на 1 км тепловых сетей</t>
  </si>
  <si>
    <t>ед.в год/км</t>
  </si>
  <si>
    <t>количество прекращений подачи тепловой энергии, теплоносителя в результате технологических нарушений на источниках тепловой энергии на 1 Гкал/час установленной мощности</t>
  </si>
  <si>
    <t xml:space="preserve"> ед.в год/Гкал/час</t>
  </si>
  <si>
    <t xml:space="preserve">Плановые показатели энергетической эффективности объектов теплоснабжения </t>
  </si>
  <si>
    <t>4.2.1</t>
  </si>
  <si>
    <t>удельный расход топлива на производство единицы тепловой энергии, отпускаемой с коллекторов источников тепловой энергии</t>
  </si>
  <si>
    <t>т.у.т./Гкал</t>
  </si>
  <si>
    <t>4.2.2</t>
  </si>
  <si>
    <t>отношение величины технологических потерь к материальной характеристике тепловой сети</t>
  </si>
  <si>
    <t>4.2.1.1</t>
  </si>
  <si>
    <t>при передаче тепловой энергии</t>
  </si>
  <si>
    <t>Гкал/кв.м</t>
  </si>
  <si>
    <t>4.2.1.2</t>
  </si>
  <si>
    <t>при передаче теплоносителя</t>
  </si>
  <si>
    <t>тонн/кв.м</t>
  </si>
  <si>
    <t>4.2.3</t>
  </si>
  <si>
    <t>величина технологических потерь</t>
  </si>
  <si>
    <t>4.2.3.1</t>
  </si>
  <si>
    <t>Гкал/год</t>
  </si>
  <si>
    <t>4.2.3.2</t>
  </si>
  <si>
    <t>при передаче теплоносителя по тепловым сетям</t>
  </si>
  <si>
    <t>тонн/год</t>
  </si>
  <si>
    <t>Доля исполненных в срок договоров о подключении (технологическом присоединении) к системе теплоснабжения</t>
  </si>
  <si>
    <t>Указывается процент от общего количества заключенных договоров о подключении (технологическом присоединении) к системе теплоснабжения._x000D_
_x000D_
Единой теплоснабжающей организацией указывается доля числа исполненных в срок договоров о подключении (технологическом присоединении) к системе теплоснабжения в зоне ее деятельности в ценовых зонах теплоснабжения (процентов общего количества заключенных договоров о подключении (технологическом присоединении) к системе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</si>
  <si>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Средняя продолжительность рассмотрения заявок на заключение договоров о подключении (технологическом присоединении) к системе теплоснабжения</t>
  </si>
  <si>
    <t>Единой теплоснабжающей организацией информация раскрывается в зоне ее деятельности в ценовых зонах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</si>
  <si>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 xml:space="preserve">Едиными теплоснабжающими организациями, теплоснабжающими и теплосетевыми организациями в ценовых зонах теплоснабжения указывается информация об основных потребительских </t>
  </si>
  <si>
    <t>характеристиках товаров и услуг, поставляемых и оказываемых этими организациями в ценовых зонах теплоснабжения.</t>
  </si>
  <si>
    <t>COLDVSNA</t>
  </si>
  <si>
    <t>Количество аварий на системах холодного водоснабжения</t>
  </si>
  <si>
    <t>Указывается количество любых нарушений функционирования системы холодного водоснабжения в расчете на один километр трубопровода.</t>
  </si>
  <si>
    <t>Количество случаев временного ограничения холодного водоснабжения по графику</t>
  </si>
  <si>
    <t>количество случаев ограничения холодного водоснабжения по графику для ограничений сроком менее 24 часов в сутки</t>
  </si>
  <si>
    <t>ед.</t>
  </si>
  <si>
    <t>Указывается суммарное количество ограничения холодного водоснабжения по графику в течение отчетного периода. В расчет принимаются ограничения сроком менее 24 часов каждое.</t>
  </si>
  <si>
    <t>срок действия ограничений холодного водоснабжения по графику для ограничений сроком менее 24 часов в сутки</t>
  </si>
  <si>
    <t>ч</t>
  </si>
  <si>
    <t>Указывается сумма времени ограничения холодного водоснабжения по графику в течение отчетного периода. В расчет принимаются ограничения сроком менее 24 часов каждое.</t>
  </si>
  <si>
    <t>Доля потребителей, в отношении которых ограничено холодное водоснабжение:</t>
  </si>
  <si>
    <t>доля потребителей, в отношении которых ограничено холодное водоснабжение сроком менее 24 часов в сутки</t>
  </si>
  <si>
    <t>Указывается отношение количества потребителей, затронутых как минимум одним ограничением подачи холодной воды по графику длительностью менее 24 часа в течение отчетного периода, и суммарного количества обслуживаемых потребителей.</t>
  </si>
  <si>
    <t>доля потребителей, в отношении которых ограничено холодное водоснабжение сроком 24 часа в сутки и более</t>
  </si>
  <si>
    <t>Указывается отношение количества потребителей, затронутых как минимум одним ограничением подачи холодной воды по графику длительностью 24 часа и более в течение отчетного периода, и суммарного количества обслуживаемых потребителей.</t>
  </si>
  <si>
    <t>Общее количество отобранных проб питьевой воды по следующим показателям</t>
  </si>
  <si>
    <t>мутность</t>
  </si>
  <si>
    <t>цветность</t>
  </si>
  <si>
    <t>хлор остаточный общий, в том числе:</t>
  </si>
  <si>
    <t>4.3.1</t>
  </si>
  <si>
    <t>хлор остаточный связанный</t>
  </si>
  <si>
    <t>4.3.2</t>
  </si>
  <si>
    <t>хлор остаточный свободный</t>
  </si>
  <si>
    <t>4.4</t>
  </si>
  <si>
    <t>общие колиформные бактерии</t>
  </si>
  <si>
    <t>4.5</t>
  </si>
  <si>
    <t>термотолерантные колиформные бактерии</t>
  </si>
  <si>
    <t>Количество отобранных проб питьевой воды, показатели которых не соответствуют нормативам качества питьевой воды в соответствии с санитарно-эпидемиологическими требованиями к питьевой воде (предельно допустимой концентрации в воде) по следующим показателям:</t>
  </si>
  <si>
    <t>5.2</t>
  </si>
  <si>
    <t>5.3</t>
  </si>
  <si>
    <t>5.3.1</t>
  </si>
  <si>
    <t>5.3.2</t>
  </si>
  <si>
    <t>5.4</t>
  </si>
  <si>
    <t>5.5</t>
  </si>
  <si>
    <t>Доля исполненных в срок договоров о подключении (технологическом присоединении) к централизованной системе холодного водоснабжения</t>
  </si>
  <si>
    <t>Указывается процент общего количества заключенных договоров о подключении (технологическом присоединении) к централизованной системе холодного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</si>
  <si>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холодного водоснабжения</t>
  </si>
  <si>
    <t>О результатах технического обследования централизованных систем холодного водоснабжения, в том числе:</t>
  </si>
  <si>
    <t>Указывается ссылка на документ, предварительно загруженный в хранилище файлов ФГИС ЕИАС.</t>
  </si>
  <si>
    <t>8.1</t>
  </si>
  <si>
    <t>о фактических значениях показателей технико-экономического состояния централизованных систем холодного водоснабжения, включая значения показателей физического износа и энергетической эффективности объектов централизованных систем холодного водоснабжения.</t>
  </si>
  <si>
    <t>HOTVSNA</t>
  </si>
  <si>
    <t>Количество аварий на системах горячего водоснабжения</t>
  </si>
  <si>
    <t>Указывается количество нарушений функционирования системы горячего водоснабжения в расчете на один километр трубопровода.</t>
  </si>
  <si>
    <t>Количество часов (суммарно за календарный год), превышающих установленную продолжительность временного прекращения или ограничения горячего водоснабжения, и доля потребителей (процентов), в отношении которых было осуществлено временное прекращение или ограничение горячего водоснабжения</t>
  </si>
  <si>
    <t>количество часов (суммарно за календарный год), превышающих установленную продолжительность временного прекращения горячего водоснабжения</t>
  </si>
  <si>
    <t>количество часов (суммарно за календарный год), превышающих установленную продолжительность ограничения горячего водоснабжения</t>
  </si>
  <si>
    <t>доля потребителей, в отношении которых было осуществлено временное прекращение горячего водоснабжения</t>
  </si>
  <si>
    <t>доля потребителей, в отношении которых было осуществлено ограничение горячего водоснабжения</t>
  </si>
  <si>
    <t>Количество часов (суммарно за календарный год) отклонения показателей температуры подачи горячей воды от нормативных значений в точке разбора</t>
  </si>
  <si>
    <t>Доля исполненных в срок договоров о подключении (технологическом присоединении) к централизованной системе горячего водоснабжения (процентов общего количества заключенных договоров о подключении (технологическом присоединении) к централизованной системе горячего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</si>
  <si>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горячего водоснабжения</t>
  </si>
  <si>
    <t>О результатах технического обследования централизованных систем горячего водоснабжения, в том числе:</t>
  </si>
  <si>
    <t>6.1</t>
  </si>
  <si>
    <t>о фактических значениях показателей технико-экономического состояния централизованных систем горячего водоснабжения, включая значения показателей физического износа и энергетической эффективности объектов централизованных систем горячего водоснабжения</t>
  </si>
  <si>
    <t>VOTV</t>
  </si>
  <si>
    <t>Показатели аварийности на канализационных сетях</t>
  </si>
  <si>
    <t>Указывается количество любых нарушений на канализационных сетях.</t>
  </si>
  <si>
    <t>Количество засоров на самотечных сетях</t>
  </si>
  <si>
    <t>Указывается количество засоров на самотечных сетях.</t>
  </si>
  <si>
    <t>Общее количество отобранных проб на сбросе очищенных (частично очищенных) сточных вод:</t>
  </si>
  <si>
    <t>Указывается суммарное количество проведенных проб на сбросе очищенных вод.</t>
  </si>
  <si>
    <t>взвешенные вещества</t>
  </si>
  <si>
    <t>БПК5</t>
  </si>
  <si>
    <t>аммоний-ион</t>
  </si>
  <si>
    <t>нитрит-анион</t>
  </si>
  <si>
    <t>3.5</t>
  </si>
  <si>
    <t>фосфаты (по Р)</t>
  </si>
  <si>
    <t>3.6</t>
  </si>
  <si>
    <t>нефтепродукты</t>
  </si>
  <si>
    <t>3.7</t>
  </si>
  <si>
    <t>микробиология</t>
  </si>
  <si>
    <t>Количество отобранных проб, показатели которых не соответствуют установленным нормативам состава сточных вод (предельно допустимой концентрации веществ и микроорганизмов) на сбросе очищенных (частично очищенных) сточных вод:</t>
  </si>
  <si>
    <t>Указывается суммарное количество отобранных проб, выявивших несоответствие очищенных сточных вод санитарным нормам (предельно допустимой концентрации) на сбросе очищенных (частично очищенных) сточных вод.</t>
  </si>
  <si>
    <t>4.6</t>
  </si>
  <si>
    <t>4.7</t>
  </si>
  <si>
    <t>Доля исполненных в срок договоров о подключении (технологическом присоединении) к централизованной системе водоотведения</t>
  </si>
  <si>
    <t>Указывается процент от общего количества заключенных договоров о подключении (технологическом присоединении) к централизованной системе водоотведения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</si>
  <si>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водоотведения</t>
  </si>
  <si>
    <t>О результатах технического обследования централизованных систем водоотведения, в том числе:</t>
  </si>
  <si>
    <t>7.1</t>
  </si>
  <si>
    <t>о фактических значениях показателей технико-экономического состояния централизованных систем водоотведения, включая значения показателей физического износа и энергетической эффективности объектов централизованных систем водоотведения</t>
  </si>
  <si>
    <t>О  нормативах допустимых сбросов загрязняющих веществ в составе сточных вод в водные объекты,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 (о лимитах на сбросы загрязняющих веществ,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t>
  </si>
  <si>
    <t>О показателях эффективности удаления загрязняющих веществ очистными сооружениями регулируемых организаций</t>
  </si>
  <si>
    <t>Наименование выведенного источника тепловой энергии</t>
  </si>
  <si>
    <t>В случае вывода из эксплуатации нескольких источников тепловой энергии информация по каждому из них указывается в отдельно.</t>
  </si>
  <si>
    <t>Дата вывода</t>
  </si>
  <si>
    <t>Дата вывода указывается в виде «ДД.ММ.ГГГГ».</t>
  </si>
  <si>
    <t>Наименование тепловой сети</t>
  </si>
  <si>
    <t>В случае вывода из эксплуатации нескольких тепловых сетей информация по каждой из них указывается в отдельно.</t>
  </si>
  <si>
    <t>Описание ограничения подачи тепловой энергии потребителям</t>
  </si>
  <si>
    <t>Дата начала ограничения</t>
  </si>
  <si>
    <t>Дата начала ограничения указывается в виде «ДД.ММ.ГГГГ».</t>
  </si>
  <si>
    <t>Дата завершения ограничения</t>
  </si>
  <si>
    <t>Дата завершения ограничения указывается в виде «ДД.ММ.ГГГГ».</t>
  </si>
  <si>
    <t>Описание прекращения режима потребления</t>
  </si>
  <si>
    <t>В колонке «Ссылка на документ» указывается материал в виде ссылки на документ, обосновывающий прекращение подачи тепловой энергии потребителям, предварительно загруженный в хранилище данных ФГИС ЕИАС.</t>
  </si>
  <si>
    <t>Дата прекращения</t>
  </si>
  <si>
    <t>Дата прекращения указывается в виде «ДД.ММ.ГГГГ».</t>
  </si>
  <si>
    <t>1.0</t>
  </si>
  <si>
    <t>Сведения о выводе источников тепловой энергии из эксплуатации</t>
  </si>
  <si>
    <t>2.0</t>
  </si>
  <si>
    <t>Сведения о выводе тепловых сетей из эксплуатации</t>
  </si>
  <si>
    <t>Добавить тепловую сеть</t>
  </si>
  <si>
    <t>3.0</t>
  </si>
  <si>
    <t>Сведения об основаниях ограничения подачи тепловой энергии</t>
  </si>
  <si>
    <t>Осуществлялось</t>
  </si>
  <si>
    <t>В случае, если ограничения подачи тепловой энергии тепловой энергии не происходили, в колонке «Информация» указывается «Не осуществлялось»._x000D_
Указывается информация о случаях ограничения подачи тепловой энергии потребителям в случаях, предусмотренных законодательством в сфере теплоснабжения._x000D_
В неоднократных ограничений подачи потребления тепловой энергии потребителями информация по каждому случаю указывается отдельно.</t>
  </si>
  <si>
    <t>Добавить ограничение подачи ТЭ</t>
  </si>
  <si>
    <t>4.0</t>
  </si>
  <si>
    <t>Сведения об основаниях прекращения подачи тепловой энергии потребителям</t>
  </si>
  <si>
    <t>В случае, если прекращения подачи тепловой энергии потребителям не происходили, в колонке «Информация» указывается «Не осуществлялось»._x000D_
Указывается информация о случаях прекращения подачи тепловой энергии потребителям, предусмотренных законодательством в сфере теплоснабжения._x000D_
В случае нескольких прекращений подачи тепловой энергии потребителям информация по каждому случаю указывается отдельно.</t>
  </si>
  <si>
    <t>Добавить прекращение подачи ТЭ</t>
  </si>
  <si>
    <t>Наименование ИП</t>
  </si>
  <si>
    <t>Инвестиционная программа разбивается по мероприятиям и (или) группам мероприятий</t>
  </si>
  <si>
    <t>Дата утверждения инвестиционной программы</t>
  </si>
  <si>
    <t>Дата изменения инвестиционной программы</t>
  </si>
  <si>
    <t>Цель инвестиционной программы</t>
  </si>
  <si>
    <t>Наименование исполнительного органа субъекта Российской Федерации (органа местного самоуправления), утвердившего инвестиционную программу</t>
  </si>
  <si>
    <t>Наименование органа местного самоуправления, согласовавшего инвестиционную программу</t>
  </si>
  <si>
    <t>Период реализации инвестиционной программы</t>
  </si>
  <si>
    <t>Решение уполномоченного органа об утверждении инвестиционной программы</t>
  </si>
  <si>
    <t>Решение уполномоченного органа о внесении изменений, корректировке инвестиционной программы</t>
  </si>
  <si>
    <t>О наличии в инвестиционной программе мероприятий, включенных в концессионное(-ые) соглашение(-я)</t>
  </si>
  <si>
    <t>Дата начала</t>
  </si>
  <si>
    <t>Дата окончания</t>
  </si>
  <si>
    <t>Период реализации</t>
  </si>
  <si>
    <t>Вид</t>
  </si>
  <si>
    <t>Номер</t>
  </si>
  <si>
    <t>Дата принятия</t>
  </si>
  <si>
    <t>Тип</t>
  </si>
  <si>
    <t>Наличие</t>
  </si>
  <si>
    <t>Реквизиты концессионного(-ых) соглашения(-ий)</t>
  </si>
  <si>
    <t>ip_1</t>
  </si>
  <si>
    <t>Добавить инвестиционную программу</t>
  </si>
  <si>
    <t>Год реализации инвестиционной программы</t>
  </si>
  <si>
    <t>№ п/п_x000D_
мероприятия</t>
  </si>
  <si>
    <t>Группа, к которой относятся мероприятия инвестиционной программы</t>
  </si>
  <si>
    <t>Мероприятие</t>
  </si>
  <si>
    <t>№ источника</t>
  </si>
  <si>
    <t>О плановых и фактических размерах и источниках финансирования предусмотренных в утвержденной инвестиционной программе с распределением по годам</t>
  </si>
  <si>
    <t>Плановый срок реализации мероприятия и (или) группы мероприятий с распределением по годам</t>
  </si>
  <si>
    <t>Плановый срок ввода в эксплуатацию/выполнения мероприятия и (или) группы мероприятий</t>
  </si>
  <si>
    <t>Фактический срок реализации мероприятия и (или) группы мероприятий с распределением по годам</t>
  </si>
  <si>
    <t>Фактический срок ввода в эксплуатацию/выполнения мероприятия и (или) группы мероприятий</t>
  </si>
  <si>
    <t>Наименование мероприятия</t>
  </si>
  <si>
    <t>Входит в концессионное соглашение</t>
  </si>
  <si>
    <t>Объект инфраструктуры</t>
  </si>
  <si>
    <t>Признак</t>
  </si>
  <si>
    <t>Номер концессионного соглашения</t>
  </si>
  <si>
    <t>№ объекта</t>
  </si>
  <si>
    <t>Наименование объекта</t>
  </si>
  <si>
    <t>Тип объекта</t>
  </si>
  <si>
    <t>Адрес объекта</t>
  </si>
  <si>
    <t>План</t>
  </si>
  <si>
    <t>Факт</t>
  </si>
  <si>
    <t>в том числе</t>
  </si>
  <si>
    <t>Населенный пункт</t>
  </si>
  <si>
    <t>улица, проезд, проспект, переулок, и т.п.</t>
  </si>
  <si>
    <t>дом, корпус, строение</t>
  </si>
  <si>
    <t>Источник финансирования</t>
  </si>
  <si>
    <t>Размер финансирования</t>
  </si>
  <si>
    <t>месяц</t>
  </si>
  <si>
    <t>год</t>
  </si>
  <si>
    <r>
      <rPr>
        <charset val="204"/>
        <family val="2"/>
        <rFont val="Tahoma"/>
        <sz val="9"/>
        <vertAlign val="superscript"/>
      </rPr>
      <t>1</t>
    </r>
    <r>
      <rPr>
        <charset val="204"/>
        <family val="2"/>
        <rFont val="Tahoma"/>
        <sz val="9"/>
      </rPr>
      <t xml:space="preserve"> В соответствии с утвержденной инвестиционной программой</t>
    </r>
  </si>
  <si>
    <t>Источники финансирования</t>
  </si>
  <si>
    <t>Объем фактического выполнения за счет источников финансирования (тыс. руб. без НДС)</t>
  </si>
  <si>
    <t>Всего</t>
  </si>
  <si>
    <t>I</t>
  </si>
  <si>
    <t>Расходы на мероприятия инвестиционной программы</t>
  </si>
  <si>
    <t>Собственные средства</t>
  </si>
  <si>
    <t>1.1</t>
  </si>
  <si>
    <t>Амортизационные отчисления за исключением переоценки основных средств и нематериальных активов</t>
  </si>
  <si>
    <t>1.2</t>
  </si>
  <si>
    <t>Амортизационные отчисления в результате переоценки основных средств и нематериальных активов</t>
  </si>
  <si>
    <t>1.3</t>
  </si>
  <si>
    <t>Капитальные вложения (инвестиции), финансируемые за счет нормативной прибыли, учитываемой в необходимой валовой выручке</t>
  </si>
  <si>
    <t>1.4</t>
  </si>
  <si>
    <t>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</si>
  <si>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1.5</t>
  </si>
  <si>
    <t>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</si>
  <si>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1.6</t>
  </si>
  <si>
    <t>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</si>
  <si>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1.7</t>
  </si>
  <si>
    <t>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</si>
  <si>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1.8</t>
  </si>
  <si>
    <t>Экономия средств, достигнутая регулируемой организацией в результате снижения расходов</t>
  </si>
  <si>
    <t>1.9</t>
  </si>
  <si>
    <t>Средства, полученные за счет платы за подключение (технологическое присоединение)</t>
  </si>
  <si>
    <t>1.10</t>
  </si>
  <si>
    <t>Средства, полученные регулируемой организацией в виде платы за сброс загрязняющих веществ сверх установленных нормативов состава сточных вод</t>
  </si>
  <si>
    <t>1.11</t>
  </si>
  <si>
    <t>Средства, полученные регулируемой организацией в виде платы за негативное воздействие на работу централизованной системы водоотведения</t>
  </si>
  <si>
    <t>1.12</t>
  </si>
  <si>
    <t>Прочие собственные средства</t>
  </si>
  <si>
    <t>Привлеченные средства</t>
  </si>
  <si>
    <t>Займы</t>
  </si>
  <si>
    <t>Кредиты</t>
  </si>
  <si>
    <t>Прочие привлеченные средства</t>
  </si>
  <si>
    <t>Бюджетное финансирование</t>
  </si>
  <si>
    <t>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</si>
  <si>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Иные бюджетные средства.</t>
  </si>
  <si>
    <t>Прочие источники финансирования</t>
  </si>
  <si>
    <t>ИТОГО по программе</t>
  </si>
  <si>
    <t>II</t>
  </si>
  <si>
    <t>Средства на возврат займов и кредитов, привлекаемых на реализацию мероприятий инвестиционной программы, а также на проценты по таким займам и кредитам*</t>
  </si>
  <si>
    <t>Cредства на возврат займов и кредитов, привлекаемых на реализацию мероприятий инвестиционной программ</t>
  </si>
  <si>
    <t>1.1.1</t>
  </si>
  <si>
    <t>Финансируемые за счет нормативной прибыли, учитываемой в необходимой валовой выручке</t>
  </si>
  <si>
    <t>1.1.2</t>
  </si>
  <si>
    <t>Амортизационные отчисления</t>
  </si>
  <si>
    <t>1.1.3</t>
  </si>
  <si>
    <t>Иные собственные средства</t>
  </si>
  <si>
    <t>1.1.4</t>
  </si>
  <si>
    <t>Средства, полученные регулируемой организацией в виде платы за негативное воздействие абонентов на работу централизованной системы водоотведения</t>
  </si>
  <si>
    <t>1.2.1</t>
  </si>
  <si>
    <t>1.2.2</t>
  </si>
  <si>
    <t xml:space="preserve">Прочие источники </t>
  </si>
  <si>
    <t>Cредства на проценты по займам и кредитам, привлекаемым на реализацию мероприятий инвестиционной программ</t>
  </si>
  <si>
    <t>2.1.3</t>
  </si>
  <si>
    <t>2.1.4</t>
  </si>
  <si>
    <t>WARM FEATURES</t>
  </si>
  <si>
    <t>OTKO FEATURES</t>
  </si>
  <si>
    <t>Цель(-и) ИП</t>
  </si>
  <si>
    <t>Способ утверждения показателей</t>
  </si>
  <si>
    <t>Описание способа утверждения показателей</t>
  </si>
  <si>
    <t>Показатели качества, надежности и бесперебойности, энергетической эффективности</t>
  </si>
  <si>
    <t>Показатели надежности</t>
  </si>
  <si>
    <t xml:space="preserve">Показатели энергетической эффективности </t>
  </si>
  <si>
    <t>Показатели качества питьевой воды</t>
  </si>
  <si>
    <t>Показатели качества горячей воды</t>
  </si>
  <si>
    <t>Показатели надежности и бесперебойности</t>
  </si>
  <si>
    <t>Показатели энергетической эффективности</t>
  </si>
  <si>
    <t>Показатели очистки сточных вод</t>
  </si>
  <si>
    <t>Показатель надежности и бесперебойности</t>
  </si>
  <si>
    <t>Количество прекращений подачи тепловой энергии, теплоносителя в результате технологических нарушений</t>
  </si>
  <si>
    <t>удельный расход топлива на производство единицы тепловой энергии</t>
  </si>
  <si>
    <t>Отношение величины технологических потерь к материальной характеристике тепловой сети</t>
  </si>
  <si>
    <t>Величина технологических потерь</t>
  </si>
  <si>
    <t>Доля проб питьевой воды, подаваемой с источников водоснабжения, водопроводных станций или иных объектов централизованной системы водоснабжения в распределительную водопроводную сеть,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</si>
  <si>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питьевой воды в распределительной водопроводной сети,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</si>
  <si>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горячей воды в тепловой сети или в сети горячего водоснабжения, не соответствующих установленным требованиям по температуре, в общем объёме проб, отобранных по результатам производственного контроля качества горячей воды</t>
  </si>
  <si>
    <t>Доля проб горячей воды в тепловой сети или в сети горячего водоснабжения, не соответствующих установленным требованиям (за исключением температуры), в общем объёме проб, отобранных по результатам производственного контроля качества горячей воды</t>
  </si>
  <si>
    <t xml:space="preserve"> Количество перерывов в подаче воды, зафиксированных в местах исполнения обязательств организацией, осуществляющей горячее водоснабжение, холодное водоснабжение, по подаче горячей воды, холодной воды, возникших в результате аварий, повреждений и иных технологических нарушений на объектах централизованной системы холодного водоснабжения, горячего водоснабжения, принадлежащих организации, осуществляющей горячее водоснабжение, холодное водоснабжение, в расчете на протяженность водопроводной сети</t>
  </si>
  <si>
    <t>Доля потерь воды в централизованных системах водоснабжения при транспортировке в общем объёме воды, поданной в водопроводную сеть</t>
  </si>
  <si>
    <t>Удельное количество тепловой энергии, расходуемое на подогрев горячей воды</t>
  </si>
  <si>
    <t>Удельный расход электрической энергии, потребляемой в технологическом процессе</t>
  </si>
  <si>
    <t>доля сточных вод, не подвергающихся очистке, в общем объёме сточных вод, сбрасываемых в централизованные общесплавные или бытовые системы водоотведения</t>
  </si>
  <si>
    <t xml:space="preserve"> доля поверхностных сточных вод, не подвергающихся очистке, в общем объёме поверхностных сточных вод, принимаемых в централизованную ливневую систему водоотведения</t>
  </si>
  <si>
    <t>доля проб сточных вод, не соответствующих установленным нормативам допустимых сбросов, лимитам на сбросы, рассчитанная применительно к видам централизованных систем водоотведения раздельно для централизованной общесплавной (бытовой) и централизованной ливневой систем водоотведения</t>
  </si>
  <si>
    <t>Удельное количество аварий и засоров в расчете на протяженность канализационной сети</t>
  </si>
  <si>
    <t>Удельный расход электрической энергии, потребляемой в технологическом процессе для:</t>
  </si>
  <si>
    <t>на тепловых сетях на 1 км тепловых сетей</t>
  </si>
  <si>
    <t>на источниках тепловой энергии на 1 Гкал/час установленной мощности</t>
  </si>
  <si>
    <t xml:space="preserve">подготовки питьевой воды, на единицу объёма воды, отпускаемой в сеть_x000D_
</t>
  </si>
  <si>
    <t xml:space="preserve">транспортировки питьевой воды, на единицу объёма транспортируемой воды_x000D_
</t>
  </si>
  <si>
    <t>очистки сточных вод, на единицу объёма очищаемых сточных вод</t>
  </si>
  <si>
    <t>транспортировки сточных вод, на единицу объёма транспортируемых сточных вод</t>
  </si>
  <si>
    <t>ед. в год/км</t>
  </si>
  <si>
    <t>Гкал/куб. м</t>
  </si>
  <si>
    <t>кВт*ч/куб. м</t>
  </si>
  <si>
    <t>кВт*ч/куб.м</t>
  </si>
  <si>
    <t>план</t>
  </si>
  <si>
    <t>факт</t>
  </si>
  <si>
    <t>ед</t>
  </si>
  <si>
    <t>5.0</t>
  </si>
  <si>
    <t>Добавить систему</t>
  </si>
  <si>
    <t>Добавить описание формы публичного договора</t>
  </si>
  <si>
    <t>Добавить описание договора</t>
  </si>
  <si>
    <t>сведения о договорах, заключенных в соответствии с частями 2.1 и 2.2 статьи 8 Федерального закона "О теплоснабжении"</t>
  </si>
  <si>
    <t>Статья 8 ФЗ 190-ФЗ_x000D_
2.1. Соглашением сторон договора теплоснабжения и (или) договора поставки тепловой энергии (мощности) и (или) теплоносителя, но не выше цен (тарифов) на соответствующие товары в сфере теплоснабжения, установленных органом регулирования в соответствии с основами ценообразования в сфере теплоснабжения и правилами регулирования цен (тарифов) в сфере теплоснабжения, утвержденными Правительством Российской Федерации, определяются следующие виды цен на товары в сфере теплоснабжения, за исключением тепловой энергии (мощности) и (или) теплоносителя, реализация которых необходима для оказания коммунальных услуг по отоплению и горячему водоснабжению населению и приравненным к нему категориям потребителей:_x000D_
1) цены на тепловую энергию (мощность), производимую и (или) поставляемую с использованием теплоносителя в виде пара теплоснабжающими организациями потребителям, другим теплоснабжающим организациям;_x000D_
2) цены на теплоноситель в виде пара, поставляемый теплоснабжающими организациями потребителям, другим теплоснабжающим организациям;_x000D_
3) цены на тепловую энергию (мощность), теплоноситель, поставляемые теплоснабжающей организацией, владеющей на праве собственности или ином законном основании источником тепловой энергии, потребителю, теплопотребляющие установки которого технологически соединены с этим источником тепловой энергии непосредственно или через тепловую сеть, принадлежащую на праве собственности и (или) ином законном основании указанной теплоснабжающей организации или указанному потребителю, если такие теплопотребляющие установки и такая тепловая сеть не имеют иного технологического соединения с системой теплоснабжения и к тепловым сетям указанного потребителя не присоединены теплопотребляющие установки иных потребителей._x000D_
(часть 2.1 введена Федеральным законом от 01.12.2014 № 404-ФЗ)_x000D_
2.2. С 1 января 2018 года цены, указанные в части 2.1 настоящей статьи, не подлежат регулированию и определяются соглашением сторон договора теплоснабжения и (или) договора поставки тепловой энергии (мощности) и (или) теплоносителя, за исключением случаев:_x000D_
1) реализации тепловой энергии (мощности) и (или) теплоносителя, необходимых для оказания коммунальных услуг по отоплению и горячему водоснабжению населению и приравненным к нему категориям потребителей;_x000D_
2) производства тепловой энергии (мощности), теплоносителя с использованием источника тепловой энергии, установленная мощность которого составляет менее десяти гигакалорий в час, и (или) осуществления поставки теплоснабжающей организацией потребителю тепловой энергии в объеме менее пятидесяти тысяч гигакалорий за 2017 год.</t>
  </si>
  <si>
    <t>Прочие договора</t>
  </si>
  <si>
    <t>Сведения об условиях договоров на оказание услуг по транспортированию твердых коммунальных отходов</t>
  </si>
  <si>
    <t xml:space="preserve"> Форма договора на оказание услуг</t>
  </si>
  <si>
    <t>Указывается форма договора, используемая организацией, в виде ссылки на документ, предварительно загруженный в хранилище файлов ФГИС ЕИАС, либо ссылка на официальный сайт в сети "Интернет", на котором размещена информация._x000D_
В случае наличия нескольких форм таких договоров информация по каждой из них указывается в отдельной строке.</t>
  </si>
  <si>
    <t>Добавить описание формы договора</t>
  </si>
  <si>
    <t>наименование НПА</t>
  </si>
  <si>
    <t>контактный телефон службы</t>
  </si>
  <si>
    <t>адрес службы</t>
  </si>
  <si>
    <t>график работы службы</t>
  </si>
  <si>
    <t>c 01:03 до 18:55</t>
  </si>
  <si>
    <t>Информация о размещении данных на сайте регулируемой организации</t>
  </si>
  <si>
    <t>дата размещения информации</t>
  </si>
  <si>
    <t>Дата размещения информации указывается в виде «ДД.ММ.ГГГГ».</t>
  </si>
  <si>
    <t>адрес страницы сайта в сети «Интернет» и ссылка на документ</t>
  </si>
  <si>
    <t>В колонке «Информация» указывается адрес страницы сайта в сети «Интернет», на которой размещена информация._x000D_
В колонке «Ссылка на документ» указывается ссылка на скриншот страницы сайта в сети «Интернет», предварительно загруженный в хранилище файлов ФГИС ЕИАС, на которой размещена информация.</t>
  </si>
  <si>
    <t xml:space="preserve">Указывается ссылка на документ, предварительно загруженный в хранилище файлов ФГИС ЕИАС._x000D_
В случае наличия дополнительных сведений информация по ним указывается в отдельных строках._x000D_
</t>
  </si>
  <si>
    <t>В колонке «Информация» указывается полное наименование и реквизиты НПА._x000D_
В случае наличия нескольких НПА каждое из них указывается в отдельной строке.</t>
  </si>
  <si>
    <t>5.1.1</t>
  </si>
  <si>
    <t>Указывается номер контактного телефона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номеров телефонов, информация по каждому из них указывается в отдельной строке.</t>
  </si>
  <si>
    <t>5.2.1</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</si>
  <si>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 Данные указываются согласно наименованиям адресных объектов в ФИАС._x000D_
В случае наличия нескольких служб и (или) адресов, информация по каждому из них указывается в отдельной строке.</t>
  </si>
  <si>
    <t>Указывается график работы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графиков работы, информация по каждому из них указывается в отдельной строке.</t>
  </si>
  <si>
    <t>p1</t>
  </si>
  <si>
    <t>Добавить период</t>
  </si>
  <si>
    <t>p2</t>
  </si>
  <si>
    <t>Период действия тарифов</t>
  </si>
  <si>
    <t>с</t>
  </si>
  <si>
    <t>по</t>
  </si>
  <si>
    <t>p1_0</t>
  </si>
  <si>
    <t>Долгосрочные параметры регулирования указываются в случае выбора любого метода регулирования за исключением метода экономически обоснованных затрат в виде ссылки на документ, предварительно загруженный в хранилище файлов ФГИС ЕИАС.</t>
  </si>
  <si>
    <t>Необходимая валовая выручка на соответствующий период, в том числе с разбивкой по годам</t>
  </si>
  <si>
    <t>p2_0</t>
  </si>
  <si>
    <t>В колонке «Информация» указывается описательная информация, характеризующая размещаемые данные._x000D_
В колонке «Ссылка на документ» указывается либо ссылка на документ, предварительно загруженный в хранилище файлов ФГИС ЕИАС, либо ссылка на официальный сайт в сети «Интернет», на котором размещена информация.</t>
  </si>
  <si>
    <t>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</si>
  <si>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Показатели надежности и качества,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</si>
  <si>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надежности и качества, предварительно загруженный в хранилище данных ФГИС ЕИАС._x000D_
В случае, если показатели надежности и качества не утверждены в колонке «Информация» указывается «Не утверждены»._x000D_
Информация в данной строке не указывается теплоснабжающими организациями, теплосетевыми организациями в ценовых зонах теплоснабжения.</t>
  </si>
  <si>
    <t>Информация в строках 3.1 – 3.3 указывается в случае, если организация имеет статус единой теплоснабжающей организации в ценовых зонах теплоснабжения.</t>
  </si>
  <si>
    <t>Доля числа исполненных в срок договоров о подключении</t>
  </si>
  <si>
    <t>Указывается процент общего количества заключенных договоров о подключении (технологическом присоединении)._x000D_
Информация в данной строке не указывается теплоснабжающими организациями, теплосетевыми организациями в ценовых зонах теплоснабжения.</t>
  </si>
  <si>
    <t>Средняя продолжительность рассмотрения заявлений о подключении</t>
  </si>
  <si>
    <t>Гкал/час</t>
  </si>
  <si>
    <t>Информация в данной строке не указывается теплоснабжающими организациями, теплосетевыми организациями в ценовых зонах теплоснабжения.</t>
  </si>
  <si>
    <t>REGION</t>
  </si>
  <si>
    <t>year_list1</t>
  </si>
  <si>
    <t>year_list</t>
  </si>
  <si>
    <t>logical</t>
  </si>
  <si>
    <t>Месяц_x000D_
(MONTH)</t>
  </si>
  <si>
    <t>Квартал_x000D_
(QUARTER)</t>
  </si>
  <si>
    <t>Месяц_x000D_
(kind_of_publication)</t>
  </si>
  <si>
    <t>НДС_x000D_
/kind_of_NDS/</t>
  </si>
  <si>
    <t>Номер СЦХВ(СЦВО)_x000D_
/SKI_number/</t>
  </si>
  <si>
    <t>Единица измерения объема оказываемых услуг ГВС_x000D_
/kind_of_unit_GVS/</t>
  </si>
  <si>
    <t>Метод регулирования_x000D_
/kind_of_control_method/</t>
  </si>
  <si>
    <t>Сколько раз встретилось</t>
  </si>
  <si>
    <t>Вид деятельности, на которую установлен тариф /kind_of_activity_WARM/</t>
  </si>
  <si>
    <t>Вид теплоносителя_x000D_
(kind_of_heat_transfer)</t>
  </si>
  <si>
    <t>Тип данных_x000D_
(kind_of_data_type)</t>
  </si>
  <si>
    <t>Схема подключения_x000D_
(kind_of_scheme_in)_x000D_
(kind_of_scheme_in2)</t>
  </si>
  <si>
    <t>Группы потребителей_x000D_
(kind_of_cons)</t>
  </si>
  <si>
    <t>Тип прокладки тепловых сетей_x000D_
(kind_of_nets)</t>
  </si>
  <si>
    <t>Диапазаны диаметров тепловых сетей_x000D_
(kind_of_diameters)</t>
  </si>
  <si>
    <t>Подключаемая тепловая нагрузка_x000D_
(kind_of_load)</t>
  </si>
  <si>
    <t>Форма 2, таблица Х</t>
  </si>
  <si>
    <t>виды тарифа_x000D_
/kind_group_rates/</t>
  </si>
  <si>
    <t>Заголовок таблицы</t>
  </si>
  <si>
    <t>name_rates_4</t>
  </si>
  <si>
    <t>name_rates_8</t>
  </si>
  <si>
    <t>Подключаемая тепловая нагрузка_x000D_
(kind_of_load3)</t>
  </si>
  <si>
    <t>Вид теплоносителя_x000D_
(kind_of_heat_transfer2)</t>
  </si>
  <si>
    <t>Вид теплоносителя_x000D_
(kind_of_heat_transfer3)</t>
  </si>
  <si>
    <t>Вид топлива_x000D_
(kind_of_fuel)</t>
  </si>
  <si>
    <t>Способ закупки товаров_x000D_
(kind_of_zak)</t>
  </si>
  <si>
    <t>виды тарифа_x000D_
/kind_group_rates_load/</t>
  </si>
  <si>
    <t>виды тарифа_x000D_
/kind_group_rates_load_filter/</t>
  </si>
  <si>
    <t>виды признаков дифференциации_x000D_
/kind_of_diff/</t>
  </si>
  <si>
    <t>Диапазаны диаметров водопроводных сетей_x000D_
(kind_of_diameters2)</t>
  </si>
  <si>
    <t>List_H</t>
  </si>
  <si>
    <t>List_M</t>
  </si>
  <si>
    <t>kind_of_org_type</t>
  </si>
  <si>
    <t>Виды топлива_x000D_
/kind_of_fuels/</t>
  </si>
  <si>
    <t>YEAR_IP_LIST</t>
  </si>
  <si>
    <t>MONTH_IP_LIST</t>
  </si>
  <si>
    <t>COLDVSNA/HOTVSNA</t>
  </si>
  <si>
    <t>OTKO</t>
  </si>
  <si>
    <t>Алтайский край</t>
  </si>
  <si>
    <t>январь</t>
  </si>
  <si>
    <t>I квартал</t>
  </si>
  <si>
    <t>На официальном сайте организации</t>
  </si>
  <si>
    <t>тыс.куб.м/сутки</t>
  </si>
  <si>
    <t>метод экономически обоснованных расходов (затрат)</t>
  </si>
  <si>
    <t>Передача+Сбыт</t>
  </si>
  <si>
    <t>вода</t>
  </si>
  <si>
    <t>организации-перепродавцы</t>
  </si>
  <si>
    <t>надземная (наземная)</t>
  </si>
  <si>
    <t>50 - 250 мм</t>
  </si>
  <si>
    <t>не превышает 0,1 Гкал/ч</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</si>
  <si>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в соответствии с установленными федеральным органом исполнительной власти в области государственного регулирования тарифов в сфере теплоснабжения предельными (минимальным и (или) максимальным) уровнями указанных тарифов</t>
  </si>
  <si>
    <t>Форма 4.2.1 Информация о величинах тарифов на тепловую энергию, поддержанию резервной тепловой мощности</t>
  </si>
  <si>
    <t>Тариф на теплоноситель, поставляемый потребителям</t>
  </si>
  <si>
    <t>Плата за услуги по поддержанию резервной тепловой мощности при отсутствии потребления тепловой энергии для отдельных категорий (групп) социально значимых потребителей</t>
  </si>
  <si>
    <t>Вода</t>
  </si>
  <si>
    <t>Газ природный по регулируемой цене</t>
  </si>
  <si>
    <t>Конкурс</t>
  </si>
  <si>
    <t>объемы потребления воды абонентами</t>
  </si>
  <si>
    <t>40 мм и менее</t>
  </si>
  <si>
    <t>00</t>
  </si>
  <si>
    <t>Регулируемая организация</t>
  </si>
  <si>
    <t>газ природный по регулируемой цене</t>
  </si>
  <si>
    <t>тыс м3</t>
  </si>
  <si>
    <t>Январь</t>
  </si>
  <si>
    <t>Амурская область</t>
  </si>
  <si>
    <t>февраль</t>
  </si>
  <si>
    <t>II квартал</t>
  </si>
  <si>
    <t>На сайте регулирующего органа</t>
  </si>
  <si>
    <t>УСН</t>
  </si>
  <si>
    <t>метод индексации установленных тарифов</t>
  </si>
  <si>
    <t>Передача</t>
  </si>
  <si>
    <t>пар</t>
  </si>
  <si>
    <t>изменения в раскрытой ранее информации</t>
  </si>
  <si>
    <t>к коллектору источника тепловой энергии</t>
  </si>
  <si>
    <t>бюджетные организации</t>
  </si>
  <si>
    <t>подземная (канальная)</t>
  </si>
  <si>
    <t>251 - 400 мм</t>
  </si>
  <si>
    <t>более 0,1 Гкал/ч и не превышает 1,5 Гкал/ч</t>
  </si>
  <si>
    <t>Тарифы на тепловую энергию (мощность), поставляемую другим теплоснабжающим организациям теплоснабжающими организациями</t>
  </si>
  <si>
    <t>Тариф на теплоноситель, поставляемый теплоснабжающей организацией, владеющей источником (источниками) тепловой энергии, на котором производится теплоноситель</t>
  </si>
  <si>
    <t>Плата за услуги по поддержанию резервной тепловой мощности, оказываемые регулируемой организацией, мощность источников тепловой энергии которой используется для поддержания резервной мощности в соответствии со схемой теплоснабжения</t>
  </si>
  <si>
    <t>Отборный пар, 1,2-2,5 кг/см2</t>
  </si>
  <si>
    <t>Пар</t>
  </si>
  <si>
    <t>Газ природный по нерегулируемой цене</t>
  </si>
  <si>
    <t>Аукцион</t>
  </si>
  <si>
    <t>Тарифы на тепловую энергию (мощность), поставляемую потребителям теплоснабжающими организациями в соответствии с установленными предельными (минимальными и (или) максимальными) уровнями указанных тарифов</t>
  </si>
  <si>
    <t>соответствие качества питьевой воды и горячей воды требованиям, установленным санитарными нормами и правилами</t>
  </si>
  <si>
    <t>от 41 мм до 70 мм включительно</t>
  </si>
  <si>
    <t>01</t>
  </si>
  <si>
    <t>Единая теплоснабжающая организация в ценовой зоне теплоснабжения</t>
  </si>
  <si>
    <t>газ природный по нерегулируемой цене</t>
  </si>
  <si>
    <t>Февраль</t>
  </si>
  <si>
    <t>HEAT_FIN_SRC_LIST</t>
  </si>
  <si>
    <t>VSNA_FIN_SRC_LIST</t>
  </si>
  <si>
    <t>VOTV_FIN_SRC_LIST</t>
  </si>
  <si>
    <t>OTKO_FIN_SRC_LIST</t>
  </si>
  <si>
    <t>HEAT_PT_TARIFF_NAME_LIST</t>
  </si>
  <si>
    <t>COLDVSNA_PT_TARIFF_NAME_LIST</t>
  </si>
  <si>
    <t>HOTVSNA_PT_TARIFF_NAME_LIST</t>
  </si>
  <si>
    <t>VOTV_PT_TARIFF_NAME_LIST</t>
  </si>
  <si>
    <t>Архангельская область</t>
  </si>
  <si>
    <t>март</t>
  </si>
  <si>
    <t>III квартал</t>
  </si>
  <si>
    <t>ЕСХН</t>
  </si>
  <si>
    <t>куб.м/ч</t>
  </si>
  <si>
    <t>метод обеспечения доходности инвестированного капитала</t>
  </si>
  <si>
    <t>производство комбинированная выработка</t>
  </si>
  <si>
    <t>отборный пар, 1.2-2.5 кг/см2</t>
  </si>
  <si>
    <t>к тепловой сети без дополнительного преобразования на тепловых пунктах, эксплуатируемых теплоснабжающей организацией</t>
  </si>
  <si>
    <t>население и приравненные категории</t>
  </si>
  <si>
    <t>подземная (бесканальная)</t>
  </si>
  <si>
    <t>401 - 550 мм</t>
  </si>
  <si>
    <t>превышает 1,5 Гкал/ч при наличии технической возможности подключения</t>
  </si>
  <si>
    <t>Предельный уровнь цены на тепловую энергию (мощность), поставляемую теплоснабжающими организациями потребителям</t>
  </si>
  <si>
    <t>Плата за услуги по поддержанию резервной тепловой мощности, оказываемые регулируемой организацией, мощность тепловых сетей которой используется для поддержания резервной мощности в соответствии со схемой теплоснабжения</t>
  </si>
  <si>
    <t>Отборный пар, 2,5-7 кг/см2</t>
  </si>
  <si>
    <t>Уголь</t>
  </si>
  <si>
    <t>Аукцион в электронной форме</t>
  </si>
  <si>
    <t>иное</t>
  </si>
  <si>
    <t>от 71 мм до 100 мм включительно</t>
  </si>
  <si>
    <t>02</t>
  </si>
  <si>
    <t>Теплоснабжающая организация в ценовой зоне теплоснабжения</t>
  </si>
  <si>
    <t>газ сжиженный</t>
  </si>
  <si>
    <t>кг</t>
  </si>
  <si>
    <t>Март</t>
  </si>
  <si>
    <t>[ Собственные средства ]</t>
  </si>
  <si>
    <t>HEAT_PT_TARIFF_ID</t>
  </si>
  <si>
    <t>HEAT_PT_TARIFF_NAME</t>
  </si>
  <si>
    <t>COLDVSNA_PT_TARIFF_ID</t>
  </si>
  <si>
    <t>COLDVSNA_PT_TARIFF_NAME</t>
  </si>
  <si>
    <t>HOTVSNA_PT_TARIFF_ID</t>
  </si>
  <si>
    <t>HOTVSNA_PT_TARIFF_NAME</t>
  </si>
  <si>
    <t>VOTV_PT_TARIFF_ID</t>
  </si>
  <si>
    <t>VOTV_PT_TARIFF_NAME</t>
  </si>
  <si>
    <t>Астраханская область</t>
  </si>
  <si>
    <t>апрель</t>
  </si>
  <si>
    <t>IV квартал</t>
  </si>
  <si>
    <t>ПСН</t>
  </si>
  <si>
    <t>метод сравнения аналогов</t>
  </si>
  <si>
    <t>производство (некомбинированная выработка)+передача+сбыт</t>
  </si>
  <si>
    <t>отборный пар, 2.5-7 кг/см2</t>
  </si>
  <si>
    <t>к тепловой сети после тепловых пунктов (на тепловых пунктах), эксплуатируемых теплоснабжающей организацией</t>
  </si>
  <si>
    <t>прочие</t>
  </si>
  <si>
    <t>551 - 700 мм</t>
  </si>
  <si>
    <t>превышает 1,5 Гкал/ч при отсутствии технической возможности подключения</t>
  </si>
  <si>
    <t>Форма 4.2.2 Информация о величинах тарифов на теплоноситель, передачу тепловой энергии, теплоносителя</t>
  </si>
  <si>
    <t>не известна</t>
  </si>
  <si>
    <t>Отборный пар, 7-13 кг/см2</t>
  </si>
  <si>
    <t>Мазут</t>
  </si>
  <si>
    <t>Запрос котировок</t>
  </si>
  <si>
    <t>от 101 мм до 150 мм включительно</t>
  </si>
  <si>
    <t>03</t>
  </si>
  <si>
    <t>Теплосетевая организация в ценовой зоне теплоснабжения</t>
  </si>
  <si>
    <t>газовый конденсат</t>
  </si>
  <si>
    <t>тонны</t>
  </si>
  <si>
    <t>Апрель</t>
  </si>
  <si>
    <t xml:space="preserve">  Прибыль направляемая на инвестиции</t>
  </si>
  <si>
    <t xml:space="preserve">  Нормативная прибыль</t>
  </si>
  <si>
    <t>Тариф на горячую воду в закрытой системе горячего водоснабжения (горячее водоснабжение)</t>
  </si>
  <si>
    <t>Тариф на подключение (технологическое присоединение) к централизованной системе водоотведения в индивидуальном порядке</t>
  </si>
  <si>
    <t>Белгородская область</t>
  </si>
  <si>
    <t>май</t>
  </si>
  <si>
    <t>НПД</t>
  </si>
  <si>
    <t>Вид тарифа на передачу тепловой энергии /kind_of_tariff_unit/</t>
  </si>
  <si>
    <t>производство (некомбинированная выработка)+передача</t>
  </si>
  <si>
    <t>отборный пар, 7-13 кг/см2</t>
  </si>
  <si>
    <t>701 мм и выше</t>
  </si>
  <si>
    <t>Форма 4.2.3 Информация о величинах тарифов на горячую воду (в открытых системах)</t>
  </si>
  <si>
    <t>Отборный пар, &gt; 13 кг/см2</t>
  </si>
  <si>
    <t>Дизельное топливо</t>
  </si>
  <si>
    <t>Единственный поставщик</t>
  </si>
  <si>
    <t>от 151 мм до 200 мм включительно</t>
  </si>
  <si>
    <t>04</t>
  </si>
  <si>
    <t>гшз</t>
  </si>
  <si>
    <t>Май</t>
  </si>
  <si>
    <t xml:space="preserve">  [ Амортизационные отчисления ]</t>
  </si>
  <si>
    <t xml:space="preserve">  Капитальные вложения (инвестиции), финансируемые за счет нормативной прибыли, учитываемой в необходимой валовой выручке</t>
  </si>
  <si>
    <t xml:space="preserve">  Амортизационные отчисления</t>
  </si>
  <si>
    <t>Тариф на подключение к централизованной системе водоотведения</t>
  </si>
  <si>
    <t>Брянская область</t>
  </si>
  <si>
    <t>июнь</t>
  </si>
  <si>
    <t>налогообложение казённых учреждений</t>
  </si>
  <si>
    <t>руб./Гкал/ч/мес</t>
  </si>
  <si>
    <t>производство (некомбинированная выработка)+сбыт</t>
  </si>
  <si>
    <t>отборный пар, &gt; 13 кг/см2</t>
  </si>
  <si>
    <t>Острый и редуцированный пар</t>
  </si>
  <si>
    <t>Дрова</t>
  </si>
  <si>
    <t>Иное</t>
  </si>
  <si>
    <t>от 201 мм до 250 мм включительно</t>
  </si>
  <si>
    <t>05</t>
  </si>
  <si>
    <t>QRE_METHOD_LIST</t>
  </si>
  <si>
    <t>мазут</t>
  </si>
  <si>
    <t>Июнь</t>
  </si>
  <si>
    <t xml:space="preserve">      Амортизационные отчисления с выделением результатов переоценки основных средств и нематериальных активов</t>
  </si>
  <si>
    <t>[ Привлеченные средства ]</t>
  </si>
  <si>
    <t>Тариф на подключение к централизованной системе горячего водоснабжения</t>
  </si>
  <si>
    <t>Владимирская область</t>
  </si>
  <si>
    <t>июль</t>
  </si>
  <si>
    <t>смешанное налогообложение</t>
  </si>
  <si>
    <t>руб./Гкал</t>
  </si>
  <si>
    <t>производство (некомбинированная выработка)</t>
  </si>
  <si>
    <t>острый и редуцированный пар</t>
  </si>
  <si>
    <t>Электроэнергия</t>
  </si>
  <si>
    <t>от 250  мм и более</t>
  </si>
  <si>
    <t>06</t>
  </si>
  <si>
    <t>по мероприятиям</t>
  </si>
  <si>
    <t>нефть</t>
  </si>
  <si>
    <t>Июль</t>
  </si>
  <si>
    <t xml:space="preserve">      Прочие амортизационные отчисления</t>
  </si>
  <si>
    <t xml:space="preserve">     Амортизационные отчисления за исключением переоценки основных средств и нематериальных активов</t>
  </si>
  <si>
    <t xml:space="preserve">  Кредиты</t>
  </si>
  <si>
    <t>Тариф на подключение (технологическое присоединение) к централизованной системе холодного водоснабжения в индивидуальном порядке</t>
  </si>
  <si>
    <t>Тариф на подключение к централизованной системе горячего водоснабжения (инд)</t>
  </si>
  <si>
    <t>Волгоградская область</t>
  </si>
  <si>
    <t>август</t>
  </si>
  <si>
    <t>НДС общий_x000D_
/kind_of_NDS_tariff/</t>
  </si>
  <si>
    <t>НДС_x000D_
/kind_of_NDS_tariff/</t>
  </si>
  <si>
    <t>горячая вода в системе централизованного теплоснабжения на отопление</t>
  </si>
  <si>
    <t>Прочее</t>
  </si>
  <si>
    <t>Плата за подключение к системе теплоснабжения</t>
  </si>
  <si>
    <t>07</t>
  </si>
  <si>
    <t>по группам мероприятий</t>
  </si>
  <si>
    <t>дизельное топливо</t>
  </si>
  <si>
    <t>Август</t>
  </si>
  <si>
    <t xml:space="preserve">  Прочие собственные средства</t>
  </si>
  <si>
    <t xml:space="preserve">     Амортизационные отчисления в результате переоценки основных средств и нематериальных активов</t>
  </si>
  <si>
    <t xml:space="preserve">  [ Займы ]</t>
  </si>
  <si>
    <t>Вологодская область</t>
  </si>
  <si>
    <t>сентябрь</t>
  </si>
  <si>
    <t>тариф указан с НДС для плательщиков НДС</t>
  </si>
  <si>
    <t>тариф для организаций не являющихся плательщиками НДС</t>
  </si>
  <si>
    <t>Установленная электрическая мощность. Теплоэлектростанции. Ед.измерения  /kind_of_power_te_unit/</t>
  </si>
  <si>
    <t>цель инвестиционной программы /kind_of_purchase_method/</t>
  </si>
  <si>
    <t>горячая вода в системе централизованного теплоснабжения на горячее водоснабжение</t>
  </si>
  <si>
    <t>Форма 4.2.5 Информация о плате за подключение к системе теплоснабжения в индивидуальном порядке</t>
  </si>
  <si>
    <t>08</t>
  </si>
  <si>
    <t>в целом на инвестиционную программу</t>
  </si>
  <si>
    <t>уголь бурый</t>
  </si>
  <si>
    <t>Сентябрь</t>
  </si>
  <si>
    <t xml:space="preserve">  За счет платы за технологическое присоединение</t>
  </si>
  <si>
    <t xml:space="preserve">     Прочие амортизационные отчисления</t>
  </si>
  <si>
    <t xml:space="preserve">      Займы, предоставленные Фондом ЖКХ за счет средств ФНБ</t>
  </si>
  <si>
    <t>Воронежская область</t>
  </si>
  <si>
    <t>октябрь</t>
  </si>
  <si>
    <t>тариф указан без НДС для плательщиков НДС</t>
  </si>
  <si>
    <t>тариф не утверждался</t>
  </si>
  <si>
    <t>кВт*ч</t>
  </si>
  <si>
    <t>Торги/аукционы</t>
  </si>
  <si>
    <t>прочее</t>
  </si>
  <si>
    <t>Форма 4.2.4 Информация о величинах тарифов на подключение к системе теплоснабжения</t>
  </si>
  <si>
    <t>09</t>
  </si>
  <si>
    <t>по муниципальным образованиям/территориям</t>
  </si>
  <si>
    <t>уголь каменный</t>
  </si>
  <si>
    <t>Октябрь</t>
  </si>
  <si>
    <t xml:space="preserve">  [ Экономия расходов ]</t>
  </si>
  <si>
    <t xml:space="preserve">      Прочие займы</t>
  </si>
  <si>
    <t>г.Байконур</t>
  </si>
  <si>
    <t>ноябрь</t>
  </si>
  <si>
    <t>МВт</t>
  </si>
  <si>
    <t>Прямые договора без торгов</t>
  </si>
  <si>
    <t>Предельный уровнь цены на тепловую энергию (мощность), поставляемую теплоснабжающими организациями потребителям. Индикативы</t>
  </si>
  <si>
    <t>по централизованным системам</t>
  </si>
  <si>
    <t>торф</t>
  </si>
  <si>
    <t>Ноябрь</t>
  </si>
  <si>
    <t xml:space="preserve">      Экономия расходов в результате реализации мероприятий инвестиционной программы</t>
  </si>
  <si>
    <t xml:space="preserve">  Средства, полученные за счет платы за подключение (технологическое присоединение)</t>
  </si>
  <si>
    <t>[ Бюджетное финансирование ]</t>
  </si>
  <si>
    <t>г. Москва</t>
  </si>
  <si>
    <t>декабрь</t>
  </si>
  <si>
    <t>дрова</t>
  </si>
  <si>
    <t>м3</t>
  </si>
  <si>
    <t>Декабрь</t>
  </si>
  <si>
    <t xml:space="preserve">      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</si>
  <si>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 xml:space="preserve">  Федеральный бюджет</t>
  </si>
  <si>
    <t>г.Санкт-Петербург</t>
  </si>
  <si>
    <t>Объём приобретаемой тепловой энергии (мощности), используемой для горячего водоснабжения. Ед.измерения  /kind_of_volume_te_unit/</t>
  </si>
  <si>
    <t>Вид деятельности /kind_of_activity/</t>
  </si>
  <si>
    <t>TITLE_IP_DETAILED_METHOD_LIST</t>
  </si>
  <si>
    <t>опил</t>
  </si>
  <si>
    <t xml:space="preserve">      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</si>
  <si>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 xml:space="preserve">  Бюджет субъекта РФ</t>
  </si>
  <si>
    <t>г.Севастополь</t>
  </si>
  <si>
    <t>TemplateState</t>
  </si>
  <si>
    <t>НДС общий люди_x000D_
/kind_of_NDS_tariff_people/</t>
  </si>
  <si>
    <t>НДС_x000D_
/kind_of_NDS_tariff_people/</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</si>
  <si>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МВт и более</t>
  </si>
  <si>
    <t>отходы березовые</t>
  </si>
  <si>
    <t xml:space="preserve">      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</si>
  <si>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 xml:space="preserve">  Бюджет муниципального образования</t>
  </si>
  <si>
    <t>Донецкая Народная Республика</t>
  </si>
  <si>
    <t>START_FILL</t>
  </si>
  <si>
    <t>тариф с НДС организаций-плательщиков НДС</t>
  </si>
  <si>
    <t>тариф организаций не являющихся плательщиками НДС</t>
  </si>
  <si>
    <t>15</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</si>
  <si>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менее 25 МВт</t>
  </si>
  <si>
    <t>отходы осиновые</t>
  </si>
  <si>
    <t xml:space="preserve">      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</si>
  <si>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 Прочие источники финансирования ]</t>
  </si>
  <si>
    <t>Еврейская автономная область</t>
  </si>
  <si>
    <t>16</t>
  </si>
  <si>
    <t>производство тепловой энергии (мощности) не в режиме комбинированной выработки электрической и тепловой энергии источниками тепловой энергии</t>
  </si>
  <si>
    <t>по мероприятиям и группам мероприятий</t>
  </si>
  <si>
    <t>печное топливо</t>
  </si>
  <si>
    <t xml:space="preserve">      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</si>
  <si>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 xml:space="preserve">  Лизинг</t>
  </si>
  <si>
    <t>COLDVSNA_PT_VED_NAME_LIST</t>
  </si>
  <si>
    <t>HOTVSNA_PT_VED_NAME_LIST</t>
  </si>
  <si>
    <t>VOTV_PT_VED_NAME_LIST</t>
  </si>
  <si>
    <t>TKO_PT_VED_NAME_LIST</t>
  </si>
  <si>
    <t>Забайкальский край</t>
  </si>
  <si>
    <t>17</t>
  </si>
  <si>
    <t>производство теплоносителя</t>
  </si>
  <si>
    <t>пилеты</t>
  </si>
  <si>
    <t xml:space="preserve">      Экономия средств, достигнутая регулируемой организацией в результате снижения расходов</t>
  </si>
  <si>
    <t xml:space="preserve">  Прочие</t>
  </si>
  <si>
    <t>COLDVSNA_PT_VED_ID</t>
  </si>
  <si>
    <t>COLDVSNA_PT_VED_NAME</t>
  </si>
  <si>
    <t>HOTVSNA_PT_VED_ID</t>
  </si>
  <si>
    <t>HOTVSNA_PT_VED_NAME</t>
  </si>
  <si>
    <t>VOTV_PT_VED_ID</t>
  </si>
  <si>
    <t>VOTV_PT_VED_NAME</t>
  </si>
  <si>
    <t>TKO_PT_VED_ID</t>
  </si>
  <si>
    <t>TKO_PT_VED_NAME</t>
  </si>
  <si>
    <t>Запорожская область</t>
  </si>
  <si>
    <t>18</t>
  </si>
  <si>
    <t>передача тепловой энергии и теплоносителя</t>
  </si>
  <si>
    <t>IP_CLAIM_LIST</t>
  </si>
  <si>
    <t>смола</t>
  </si>
  <si>
    <t xml:space="preserve">  Прочие привлеченные средства</t>
  </si>
  <si>
    <t xml:space="preserve">      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</si>
  <si>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Производство тепловой энергии. Некомбинированная выработка</t>
  </si>
  <si>
    <t>Холодное водоснабжение. Питьевая вода</t>
  </si>
  <si>
    <t>Горячее водоснабжение</t>
  </si>
  <si>
    <t>Водоотведение</t>
  </si>
  <si>
    <t>Захоронение твердых коммунальных отходов</t>
  </si>
  <si>
    <t>Ивановская область</t>
  </si>
  <si>
    <t>19</t>
  </si>
  <si>
    <t>сбыт тепловой энергии и теплоносителя</t>
  </si>
  <si>
    <t>уменьшение удельных затрат (повышение КПД)</t>
  </si>
  <si>
    <t>щепа</t>
  </si>
  <si>
    <t>Производство тепловой энергии. Комбинированная выработка с уст. мощностью производства электрической энергии менее 25 МВт</t>
  </si>
  <si>
    <t>Холодное водоснабжение. Техническая вода</t>
  </si>
  <si>
    <t>Транспортировка</t>
  </si>
  <si>
    <t>Обезвреживание твердых коммунальных отходов</t>
  </si>
  <si>
    <t>Иркутская область</t>
  </si>
  <si>
    <t>20</t>
  </si>
  <si>
    <t>подключение к системе теплоснабжения</t>
  </si>
  <si>
    <t>автоматизация (с уменьшением штата)</t>
  </si>
  <si>
    <t>горючий сланец</t>
  </si>
  <si>
    <t>Производство тепловой энергии. Комбинированная выработка с уст. мощностью производства электрической энергии 25 МВт и более</t>
  </si>
  <si>
    <t>Холодное водоснабжение. Подвозная вода</t>
  </si>
  <si>
    <t>Подключение (технологическое присоединение) к централизованной системе горячего водоснабжения</t>
  </si>
  <si>
    <t>Подключение (технологическое присоединение) к централизованной системе водоотведения</t>
  </si>
  <si>
    <t>Обработка твердых коммунальных отходов</t>
  </si>
  <si>
    <t>Кабардино-Балкарская республика</t>
  </si>
  <si>
    <t>поддержание резервной тепловой мощности при отсутствии потребления тепловой энергии</t>
  </si>
  <si>
    <t>уменьшение издержек на производство</t>
  </si>
  <si>
    <t>керосин</t>
  </si>
  <si>
    <t>Производство. Теплоноситель</t>
  </si>
  <si>
    <t>Транспортировка. Питьевая вода</t>
  </si>
  <si>
    <t>Калининградская область</t>
  </si>
  <si>
    <t>21</t>
  </si>
  <si>
    <t>снижение аварийности</t>
  </si>
  <si>
    <t>кислородно-водородная смесь</t>
  </si>
  <si>
    <t>Передача. Тепловая энергия</t>
  </si>
  <si>
    <t>Транспортировка. Техническая вода</t>
  </si>
  <si>
    <t>Энергетическая утилизация</t>
  </si>
  <si>
    <t>Калужская область</t>
  </si>
  <si>
    <t>22</t>
  </si>
  <si>
    <t>улучшение качества</t>
  </si>
  <si>
    <t>электроэнергия (НН)</t>
  </si>
  <si>
    <t>тыс кВт.ч</t>
  </si>
  <si>
    <t>Передача. Теплоноситель</t>
  </si>
  <si>
    <t>Транспортировка. Подвозная вода</t>
  </si>
  <si>
    <t>Транспортирование твердых коммунальных отходов</t>
  </si>
  <si>
    <t>Камчатский край</t>
  </si>
  <si>
    <t>23</t>
  </si>
  <si>
    <t>повышение надёжности и энергетической эффективности</t>
  </si>
  <si>
    <t>электроэнергия (СН1)</t>
  </si>
  <si>
    <t>Сбыт. Тепловая энергия</t>
  </si>
  <si>
    <t>Подключение (технологическое присоединение) к централизованной системе водоснабжения</t>
  </si>
  <si>
    <t>Карачаево-Черкесская республика</t>
  </si>
  <si>
    <t>CROSSES</t>
  </si>
  <si>
    <t>24</t>
  </si>
  <si>
    <t>электроэнергия (СН2)</t>
  </si>
  <si>
    <t>Сбыт. Теплоноситель</t>
  </si>
  <si>
    <t>Кемеровская область</t>
  </si>
  <si>
    <t>25</t>
  </si>
  <si>
    <t>электроэнергия (ВН)</t>
  </si>
  <si>
    <t>Подключение (технологическое присоединение) к системе теплоснабжения</t>
  </si>
  <si>
    <t>Кировская область</t>
  </si>
  <si>
    <t>Текущая дата</t>
  </si>
  <si>
    <t>26</t>
  </si>
  <si>
    <t>PT_GROUP_CONSUMER_LIST</t>
  </si>
  <si>
    <t>мощность</t>
  </si>
  <si>
    <t>тыс кВт</t>
  </si>
  <si>
    <t>Поддержание резервной тепловой мощности при отсутствии потребления тепловой энергии</t>
  </si>
  <si>
    <t>Костромская область</t>
  </si>
  <si>
    <t>Организация</t>
  </si>
  <si>
    <t>25.07.2023 22:51:32</t>
  </si>
  <si>
    <t>27</t>
  </si>
  <si>
    <t>Краснодарский край</t>
  </si>
  <si>
    <t>28</t>
  </si>
  <si>
    <t xml:space="preserve">  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</si>
  <si>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Красноярский край</t>
  </si>
  <si>
    <t>29</t>
  </si>
  <si>
    <t xml:space="preserve">  Иные бюджетные средства</t>
  </si>
  <si>
    <t>Курганская область</t>
  </si>
  <si>
    <t>Виды деятельности</t>
  </si>
  <si>
    <t>https://appsrv.regportal-tariff.ru/procwsxls/</t>
  </si>
  <si>
    <t>30</t>
  </si>
  <si>
    <t>Курская область</t>
  </si>
  <si>
    <t>31</t>
  </si>
  <si>
    <t>Ленинградская область</t>
  </si>
  <si>
    <t>32</t>
  </si>
  <si>
    <t>Липецкая область</t>
  </si>
  <si>
    <t>33</t>
  </si>
  <si>
    <t>PT_SCHEME_LIST</t>
  </si>
  <si>
    <t xml:space="preserve">  Доход от взимания платы за нарушение нормативов по объему и (или) составу сточных вод</t>
  </si>
  <si>
    <t>Луганская Народная Республика</t>
  </si>
  <si>
    <t>TEMPLATE_SPHERE</t>
  </si>
  <si>
    <t>34</t>
  </si>
  <si>
    <t xml:space="preserve">  Доход от взимания платы за негативное воздействие на работу централизованной системы водоотведения</t>
  </si>
  <si>
    <t>Магаданская область</t>
  </si>
  <si>
    <t>теплоснабжения</t>
  </si>
  <si>
    <t>теплоснабжение</t>
  </si>
  <si>
    <t>35</t>
  </si>
  <si>
    <t>Московская область</t>
  </si>
  <si>
    <t>холодного водоснабжения</t>
  </si>
  <si>
    <t>холодное водоснабжение</t>
  </si>
  <si>
    <t>36</t>
  </si>
  <si>
    <t>HEAT_FIN_SRC_VLD_LIST</t>
  </si>
  <si>
    <t>VSNA_FIN_SRC_VLD_LIST</t>
  </si>
  <si>
    <t>VOTV_FIN_SRC_VLD_LIST</t>
  </si>
  <si>
    <t>OTKO_FIN_SRC_VLD_LIST</t>
  </si>
  <si>
    <t>Мурманская область</t>
  </si>
  <si>
    <t>водоотведения</t>
  </si>
  <si>
    <t>водоотведение</t>
  </si>
  <si>
    <t>37</t>
  </si>
  <si>
    <t>Прибыль направляемая на инвестиции</t>
  </si>
  <si>
    <t>Нормативная прибыль</t>
  </si>
  <si>
    <t>Ненецкий автономный округ</t>
  </si>
  <si>
    <t>горячего водоснабжения</t>
  </si>
  <si>
    <t>горячее водоснабжение</t>
  </si>
  <si>
    <t>38</t>
  </si>
  <si>
    <t>Амортизационные отчисления с выделением результатов переоценки основных средств и нематериальных активов</t>
  </si>
  <si>
    <t>Нижегородская область</t>
  </si>
  <si>
    <t>обращения с твердыми коммунальными отходами</t>
  </si>
  <si>
    <t>TKO</t>
  </si>
  <si>
    <t>39</t>
  </si>
  <si>
    <t>PT_TN_LIST</t>
  </si>
  <si>
    <t>Прочие амортизационные отчисления</t>
  </si>
  <si>
    <t>Новгородская область</t>
  </si>
  <si>
    <t>40</t>
  </si>
  <si>
    <t>Займы, предоставленные Фондом ЖКХ за счет средств ФНБ</t>
  </si>
  <si>
    <t>Новосибирская область</t>
  </si>
  <si>
    <t>41</t>
  </si>
  <si>
    <t>За счет платы за технологическое присоединение</t>
  </si>
  <si>
    <t>Прочие займы</t>
  </si>
  <si>
    <t>Омская область</t>
  </si>
  <si>
    <t>PeriodIsEmpty</t>
  </si>
  <si>
    <t>NameTemplatesInTitle</t>
  </si>
  <si>
    <t>NameTemplatesInListMO</t>
  </si>
  <si>
    <t>42</t>
  </si>
  <si>
    <t>Экономия расходов в результате реализации мероприятий инвестиционной программы</t>
  </si>
  <si>
    <t>Федеральный бюджет</t>
  </si>
  <si>
    <t>Оренбургская область</t>
  </si>
  <si>
    <t>TEMPLATE_GROUP</t>
  </si>
  <si>
    <t>P</t>
  </si>
  <si>
    <t>CodeTemplate</t>
  </si>
  <si>
    <t>StartDate</t>
  </si>
  <si>
    <t>EndDate</t>
  </si>
  <si>
    <t>43</t>
  </si>
  <si>
    <t>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</si>
  <si>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Бюджет субъекта РФ</t>
  </si>
  <si>
    <t>Орловская область</t>
  </si>
  <si>
    <t>O</t>
  </si>
  <si>
    <t>44</t>
  </si>
  <si>
    <t>Бюджет муниципального образования</t>
  </si>
  <si>
    <t>Пензенская область</t>
  </si>
  <si>
    <t>Q</t>
  </si>
  <si>
    <t>45</t>
  </si>
  <si>
    <t>Лизинг</t>
  </si>
  <si>
    <t>Пермский край</t>
  </si>
  <si>
    <t>BALANCE</t>
  </si>
  <si>
    <t>B</t>
  </si>
  <si>
    <t>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t>
  </si>
  <si>
    <t>46</t>
  </si>
  <si>
    <t>Прочие</t>
  </si>
  <si>
    <t>Приморский край</t>
  </si>
  <si>
    <t>TERMS</t>
  </si>
  <si>
    <t>T</t>
  </si>
  <si>
    <t>47</t>
  </si>
  <si>
    <t>Псковская область</t>
  </si>
  <si>
    <t>INVEST</t>
  </si>
  <si>
    <t>48</t>
  </si>
  <si>
    <t>Республика Адыгея</t>
  </si>
  <si>
    <t>REQUEST</t>
  </si>
  <si>
    <t>R</t>
  </si>
  <si>
    <t>49</t>
  </si>
  <si>
    <t>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</si>
  <si>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Республика Алтай</t>
  </si>
  <si>
    <t>PRICE</t>
  </si>
  <si>
    <t>50</t>
  </si>
  <si>
    <t>Республика Башкортостан</t>
  </si>
  <si>
    <t>ROIV</t>
  </si>
  <si>
    <t>Показатели, подлежащие раскрытию органами регулирования</t>
  </si>
  <si>
    <t>51</t>
  </si>
  <si>
    <t>Республика Бурятия</t>
  </si>
  <si>
    <t>52</t>
  </si>
  <si>
    <t>PT_NETS_LIST</t>
  </si>
  <si>
    <t>Республика Дагестан</t>
  </si>
  <si>
    <t>53</t>
  </si>
  <si>
    <t>Республика Ингушетия</t>
  </si>
  <si>
    <t>TERRITORY_ID</t>
  </si>
  <si>
    <t>начинать только с 2, остальное по умолчанию</t>
  </si>
  <si>
    <t>54</t>
  </si>
  <si>
    <t>Республика Калмыкия</t>
  </si>
  <si>
    <t>DIFFERENTIATION_ID</t>
  </si>
  <si>
    <t>55</t>
  </si>
  <si>
    <t>Республика Карелия</t>
  </si>
  <si>
    <t>IP_ID</t>
  </si>
  <si>
    <t>56</t>
  </si>
  <si>
    <t>Республика Коми</t>
  </si>
  <si>
    <t>начинать только с 30, остальное по умолчанию</t>
  </si>
  <si>
    <t>57</t>
  </si>
  <si>
    <t>PT_DIAMETERS_LIST</t>
  </si>
  <si>
    <t>Республика Крым</t>
  </si>
  <si>
    <t>VDET_ID</t>
  </si>
  <si>
    <t>58</t>
  </si>
  <si>
    <t>Республика Марий Эл</t>
  </si>
  <si>
    <t>NTAR_ID</t>
  </si>
  <si>
    <t>59</t>
  </si>
  <si>
    <t>Республика Мордовия</t>
  </si>
  <si>
    <t>Республика Саха (Якутия)</t>
  </si>
  <si>
    <t>CS_ID</t>
  </si>
  <si>
    <t>Республика Северная Осетия-Алания</t>
  </si>
  <si>
    <t>IST_TE_ID</t>
  </si>
  <si>
    <t>Республика Татарстан</t>
  </si>
  <si>
    <t>Республика Тыва</t>
  </si>
  <si>
    <t>PT_LOAD_LIST</t>
  </si>
  <si>
    <t>Республика Хакасия</t>
  </si>
  <si>
    <t>HEAT_IP_EVENT_GROUP_LIST</t>
  </si>
  <si>
    <t>VSNA_IP_EVENT_GROUP_LIST</t>
  </si>
  <si>
    <t>VOTV_IP_EVENT_GROUP_LIST</t>
  </si>
  <si>
    <t>OTKO_IP_EVENT_GROUP_LIST</t>
  </si>
  <si>
    <t>Рязанская область</t>
  </si>
  <si>
    <t>Строительство, реконструкция или модернизация объектов теплоснабжения в целях подключения потребителей с указанием объектов теплоснабжения, строительство которых финансируется за счет платы за подключение</t>
  </si>
  <si>
    <t>Строительство, реконструкция или модернизация объектов водоснабжения в целях подключения потребителей с указанием объектов водоснабжения, строительство которых финансируется за счет платы за подключение</t>
  </si>
  <si>
    <t>Строительство, реконструкция или модернизация объектов водоотведения и очистки сточных вод в целях подключения потребителей с указанием объектов водоотведения и очистки сточных вод, строительство которых финансируется за счет платы за подключение</t>
  </si>
  <si>
    <t>Мероприятия инвестиционной программы в части накопления твердых коммунальных отходов</t>
  </si>
  <si>
    <t>Самарская область</t>
  </si>
  <si>
    <t>Строительство новых объектов теплоснабжения, не связанных с подключением (технологическим присоединением) новых потребителей, в том числе строительство новых тепловых сетей</t>
  </si>
  <si>
    <t>Строительство новых объектов водоснабжения, не связанных с подключением (технологическим присоединением) новых потребителей, в том числе строительство новых сетей водоснабжения</t>
  </si>
  <si>
    <t>Строительство новых объектов водоотведения и очистки сточных вод, не связанных с подключением (технологическим присоединением) новых потребителей, в том числе строительство новых сетей водоотведения и очистки сточных вод</t>
  </si>
  <si>
    <t>Мероприятия инвестиционной программы в части обработки твердых коммунальных отходов</t>
  </si>
  <si>
    <t>Саратовская область</t>
  </si>
  <si>
    <t>Реконструкция или модернизация существующих объектов теплоснабжения в целях снижения уровня износа существующих объектов теплоснабжения</t>
  </si>
  <si>
    <t>Реконструкция или модернизация существующих объектов водоснабжения в целях снижения уровня износа существующих объектов водоснабжения</t>
  </si>
  <si>
    <t>Реконструкция или модернизация существующих объектов водоотведения и очистки сточных вод в целях снижения уровня износа существующих объектов водоотведения и очистки сточных вод</t>
  </si>
  <si>
    <t>Мероприятия инвестиционной программы в части утилизации твердых коммунальных отходов</t>
  </si>
  <si>
    <t>Сахалинская область</t>
  </si>
  <si>
    <t>Мероприятия, направленные на повышение экологической эффективности</t>
  </si>
  <si>
    <t>Мероприятия инвестиционной программы в части обезвреживания твердых коммунальных отходов</t>
  </si>
  <si>
    <t>Свердловская область</t>
  </si>
  <si>
    <t>Вывод из эксплуатации, консервации и демонтаж объектов теплоснабжения</t>
  </si>
  <si>
    <t>Вывод из эксплуатации, консервация и демонтаж объектов водоснабжения</t>
  </si>
  <si>
    <t>Вывод из эксплуатации, консервация и демонтаж объектов водоотведения и очистки сточных вод</t>
  </si>
  <si>
    <t>Мероприятия инвестиционной программы в части хранения твердых коммунальных отходов</t>
  </si>
  <si>
    <t>Смоленская область</t>
  </si>
  <si>
    <t>Мероприятия, направленные на повышение энергоэффективности в сфере теплоснабжения</t>
  </si>
  <si>
    <t>Мероприятия, направленные на повышение энергоэффективности в сфере водоснабжения</t>
  </si>
  <si>
    <t>Мероприятия, направленные на повышение энергоэффективности в сфере водоотведения и очистки сточных вод</t>
  </si>
  <si>
    <t>Мероприятия инвестиционной программы в части захоронения твердых коммунальных отходов</t>
  </si>
  <si>
    <t>Ставропольский край</t>
  </si>
  <si>
    <t>PT_DIAMETERS_2_LIST</t>
  </si>
  <si>
    <t>Мероприятия по подготовке проектной документации</t>
  </si>
  <si>
    <t>Тамбовская область</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</si>
  <si>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осуществлением деятельности в сфере теплоснабжения, включая мероприятия по обеспечению безопасности и антитеррористической защищенности объектов топливно-энергетического комплекса, безопасности критической информационной инфраструктуры</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</si>
  <si>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горячего водоснабжения, холодного водоснабжения с использованием централизованных систем водоснабжения</t>
  </si>
  <si>
    <t xml:space="preserve">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водоотведения с использованием централизованных систем водоотведения_x000D_
</t>
  </si>
  <si>
    <t>Тверская область</t>
  </si>
  <si>
    <t>Томская область</t>
  </si>
  <si>
    <t>Тульская область</t>
  </si>
  <si>
    <t>HEAT_IP_EVENT_SUBGROUP_1_LIST</t>
  </si>
  <si>
    <t>VSNA_IP_EVENT_SUBGROUP_1_LIST</t>
  </si>
  <si>
    <t>VOTV_IP_EVENT_SUBGROUP_1_LIST</t>
  </si>
  <si>
    <t>Тюменская область</t>
  </si>
  <si>
    <t>строительство новых тепловых сетей в целях подключения потребителей</t>
  </si>
  <si>
    <t>строительство новых сетей водоснабжения в целях подключения потребителей</t>
  </si>
  <si>
    <t>строительство новых сетей водоотведения и очистки сточных вод в целях подключения потребителей</t>
  </si>
  <si>
    <t>Удмуртская республика</t>
  </si>
  <si>
    <t>строительство иных объектов теплоснабжения за исключением тепловых сетей в целях подключения потребителей</t>
  </si>
  <si>
    <t>строительство иных объектов водоснабжения, за исключением сетей водоснабжения в целях подключения потребителей</t>
  </si>
  <si>
    <t>строительство иных объектов водоотведения и очистки сточных вод, за исключением сетей водоотведения и очистки сточных вод в целях подключения потребителей</t>
  </si>
  <si>
    <t>Ульяновская область</t>
  </si>
  <si>
    <t>увеличение пропускной способности существующих тепловых сетей в целях подключения потребителей</t>
  </si>
  <si>
    <t>увеличение пропускной способности существующих сетей водоснабжения в целях подключения потребителей</t>
  </si>
  <si>
    <t>увеличение пропускной способности существующих сетей водоотведения и очистки сточных вод в целях подключения потребителей</t>
  </si>
  <si>
    <t>Хабаровский край</t>
  </si>
  <si>
    <t>увеличение мощности и производительности существующих объектов теплоснабжения за исключением тепловых сетей в целях подключения потребителей</t>
  </si>
  <si>
    <t>увеличение мощности и производительности существующих объектов водоснабжения, за исключением сетей водоснабжения в целях подключения потребителей</t>
  </si>
  <si>
    <t>увеличение мощности и производительности существующих объектов водоотведения и очистки сточных вод за исключением сетей водоотведения и очистки сточных вод, в целях подключения потребителей</t>
  </si>
  <si>
    <t>Ханты-Мансийский автономный округ</t>
  </si>
  <si>
    <t>TYPE_TKO_LIST</t>
  </si>
  <si>
    <t>Херсонская область</t>
  </si>
  <si>
    <t>несортированные</t>
  </si>
  <si>
    <t>Челябинская область</t>
  </si>
  <si>
    <t>сортированные</t>
  </si>
  <si>
    <t>HEAT_IP_EVENT_SUBGROUP_3_LIST</t>
  </si>
  <si>
    <t>VSNA_IP_EVENT_SUBGROUP_3_LIST</t>
  </si>
  <si>
    <t>VOTV_IP_EVENT_SUBGROUP_3_LIST</t>
  </si>
  <si>
    <t>Чеченская республика</t>
  </si>
  <si>
    <t>крупногабаритные</t>
  </si>
  <si>
    <t>реконструкция или модернизация существующих тепловых сетей</t>
  </si>
  <si>
    <t>реконструкция или модернизация существующих сетей водоснабжения</t>
  </si>
  <si>
    <t>реконструкция или модернизация существующих сетей водоотведения и очистки сточных вод</t>
  </si>
  <si>
    <t>Чувашская республика</t>
  </si>
  <si>
    <t>реконструкция или модернизация существующих объектов теплоснабжения, за исключением тепловых сетей</t>
  </si>
  <si>
    <t>реконструкция или модернизация существующих объектов водоснабжения, за исключением сетей водоснабжения</t>
  </si>
  <si>
    <t>реконструкция или модернизация существующих объектов водоотведения и очистки сточных вод, за исключением сетей водоотведения и очистки сточных вод</t>
  </si>
  <si>
    <t>Чукотский автономный округ</t>
  </si>
  <si>
    <t>CLASS_TKO_LIST</t>
  </si>
  <si>
    <t>Ямало-Ненецкий автономный округ</t>
  </si>
  <si>
    <t>Ярославская область</t>
  </si>
  <si>
    <t>HEAT_IP_EVENT_SUBGROUP_5_LIST</t>
  </si>
  <si>
    <t>VSNA_IP_EVENT_SUBGROUP_5_LIST</t>
  </si>
  <si>
    <t>VOTV_IP_EVENT_SUBGROUP_5_LIST</t>
  </si>
  <si>
    <t>III</t>
  </si>
  <si>
    <t>вывод из эксплуатации, консервация и демонтаж тепловых сетей</t>
  </si>
  <si>
    <t>вывод из эксплуатации, консервация и демонтаж сетей водоснабжения</t>
  </si>
  <si>
    <t>вывод из эксплуатации, консервация и демонтаж сетей водоотведения и очистки сточных вод</t>
  </si>
  <si>
    <t>IV</t>
  </si>
  <si>
    <t>вывод из эксплуатации, консервация и демонтаж иных объектов теплоснабжения, за исключением тепловых сетей</t>
  </si>
  <si>
    <t>вывод из эксплуатации, консервация и демонтаж иных объектов водоснабжения, за исключением сетей водоснабжения</t>
  </si>
  <si>
    <t>вывод из эксплуатации, консервация и демонтаж иных объектов водоотведения и очистки сточных вод, за исключением сетей водоотведения и очистки сточных вод</t>
  </si>
  <si>
    <t>V</t>
  </si>
  <si>
    <t>ROIV_INFO_LIST_HEAT</t>
  </si>
  <si>
    <t>HEAT_IP_EVENT_CI_STAGE_LIST</t>
  </si>
  <si>
    <t>VSNA_IP_EVENT_CI_STAGE_LIST</t>
  </si>
  <si>
    <t>VOTV_IP_EVENT_CI_STAGE_LIST</t>
  </si>
  <si>
    <t>OTKO_IP_EVENT_CI_STAGE_LIST</t>
  </si>
  <si>
    <t>информация об органе регулирования и перечень организаций</t>
  </si>
  <si>
    <t>в течение 30 дней со дня изменения такой информации</t>
  </si>
  <si>
    <t>производство тепловой энергии</t>
  </si>
  <si>
    <t>на забор и подъём воды</t>
  </si>
  <si>
    <t>на транспортировку сточных вод</t>
  </si>
  <si>
    <t>сбор</t>
  </si>
  <si>
    <t>доклад о результатах правоприменительной практики</t>
  </si>
  <si>
    <t>не позднее 3 дней со дня утверждения доклада</t>
  </si>
  <si>
    <t>передача теплоэнергии по региональным тепловым сетям</t>
  </si>
  <si>
    <t>на водоподготовку</t>
  </si>
  <si>
    <t>очистка сточных вод</t>
  </si>
  <si>
    <t>накопление</t>
  </si>
  <si>
    <t>дата, время и место проведения заседания об установлении тарифов</t>
  </si>
  <si>
    <t>прочие объекты и мероприятия, относимые к регулируемому виду деятельности</t>
  </si>
  <si>
    <t>на транспортировку воды</t>
  </si>
  <si>
    <t>обращение с осадком сточных вод</t>
  </si>
  <si>
    <t>транспортирование</t>
  </si>
  <si>
    <t>информация о принятых решениях об установлении тарифов</t>
  </si>
  <si>
    <t>обработка</t>
  </si>
  <si>
    <t>информация о принятых решениях об утверждении предельного уровня цены на тепловую энергию (мощность)</t>
  </si>
  <si>
    <t>в течение 10 дней со дня принятия соответствующего решения</t>
  </si>
  <si>
    <t>утилизация</t>
  </si>
  <si>
    <t>протокол заседания правления</t>
  </si>
  <si>
    <t>обезвреживание</t>
  </si>
  <si>
    <t>информация о привлечении к ответственности</t>
  </si>
  <si>
    <t>до 30 апреля года, следующего за отчётным годом</t>
  </si>
  <si>
    <t>размещение отходов</t>
  </si>
  <si>
    <t>энергетическая утилизация</t>
  </si>
  <si>
    <t>UNIT_CONNECT_LIST</t>
  </si>
  <si>
    <t>тыс.руб./Гкал/ч</t>
  </si>
  <si>
    <t>тыс.руб.</t>
  </si>
  <si>
    <t>WARM_IP_EVENT_TYPE_LIST</t>
  </si>
  <si>
    <t>VSNA_IP_EVENT_TYPE_LIST</t>
  </si>
  <si>
    <t>VOTV_IP_EVENT_TYPE_LIST</t>
  </si>
  <si>
    <t>OTKO_IP_EVENT_TYPE_LIST</t>
  </si>
  <si>
    <t>Производство тепловой энергии</t>
  </si>
  <si>
    <t>Водоснабжение</t>
  </si>
  <si>
    <t>Обращение с твердыми коммунальными отходами</t>
  </si>
  <si>
    <t>Прочие объекты и мероприятия, относимые к регулируемому виду деятельности</t>
  </si>
  <si>
    <t>ROIV_INFO_LIST_NO_HEAT</t>
  </si>
  <si>
    <t>HEAT_PT_SCHEME</t>
  </si>
  <si>
    <t>Фамилия, имя и отчество (при наличии) руководителя:</t>
  </si>
  <si>
    <t>фамилия</t>
  </si>
  <si>
    <t>Указывается фамилия руководителя в соответствии с паспортными данными физического лица.</t>
  </si>
  <si>
    <t>имя</t>
  </si>
  <si>
    <t>Указывается имя руководителя в соответствии с паспортными данными физического лица.</t>
  </si>
  <si>
    <t>отчество (при наличии)</t>
  </si>
  <si>
    <t>Указывается отчество руководителя в соответствии с паспортными данными физического лица (при наличии).</t>
  </si>
  <si>
    <t xml:space="preserve">Почтовый адрес </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</si>
  <si>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ФИАС.</t>
  </si>
  <si>
    <t xml:space="preserve">Адрес места нахождения </t>
  </si>
  <si>
    <t>Справочные телефоны</t>
  </si>
  <si>
    <t>Указывается номер контактного телефона. В случае наличия нескольких номеров телефонов, информация по каждому из них указывается в отдельной строке.</t>
  </si>
  <si>
    <t>Адрес официального сайта органа регулирования тарифов в сети "Интернет"</t>
  </si>
  <si>
    <t>Указывается адрес официального сайта в сети "Интернет". В случае отсутствия официального сайта в сети "Интернет" указывается "Отсутствует".</t>
  </si>
  <si>
    <t>Адрес электронной почты</t>
  </si>
  <si>
    <t>Указывается при наличии.</t>
  </si>
  <si>
    <t>Наименование организации</t>
  </si>
  <si>
    <t>ОГРН (ОГРНИП)</t>
  </si>
  <si>
    <t>Добавить организацию</t>
  </si>
  <si>
    <t>дата</t>
  </si>
  <si>
    <t>время</t>
  </si>
  <si>
    <t>место</t>
  </si>
  <si>
    <t>Добавить заседание</t>
  </si>
  <si>
    <t>Наименование органа тарифного регулирования</t>
  </si>
  <si>
    <t>Заседание правления (коллегии) органа тарифного регулирования, на котором планируется рассмотрение дел об об утверждении предельного уровня цены на тепловую энергию (мощность)</t>
  </si>
  <si>
    <t>Принятые органом тарифного регулирования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t>
  </si>
  <si>
    <t>Добавить должностное лицо</t>
  </si>
  <si>
    <t>Данные об организации, в отношении которой рассмотрено дело об административном правонарушении (общая информация о регулируемой организации и наименование должности)</t>
  </si>
  <si>
    <t xml:space="preserve">Наименование должности лица, в отношении которого рассмотрено дело об административном правонарушении </t>
  </si>
  <si>
    <t>Краткое описание нарушения</t>
  </si>
  <si>
    <t>Результат рассмотрения дела об административном правонарушении</t>
  </si>
  <si>
    <t>Наименование регулируемой организации</t>
  </si>
  <si>
    <t>В поле "Субъект Российской Федерации" указывается наименование субъекта Российской Федерации._x000D_
В поле "Наименование организации" указывается наименование юридического лица согласно уставу организации_x000D_
В поле "ИНН" указывается идентификационный номер налогоплательщика._x000D_
В поле "Краткое описание нарушения" указывается краткое описание нарушения с указанием статьи Кодекса Российской Федерации об административных правонарушениях._x000D_
В поле "Результат рассмотрения дела об административном правонарушении" указывается результат рассмотрения дела об административном правонарушении (с указанием вида административного наказания).</t>
  </si>
  <si>
    <r>
      <t xml:space="preserve">Информация о предоставлении электронного документа в исполнительный орган субъекта Российской Федерации в области государственного регулирования цен (тарифов) </t>
    </r>
    <r>
      <rPr>
        <charset val="204"/>
        <family val="2"/>
        <rFont val="Tahoma"/>
        <sz val="9"/>
        <vertAlign val="superscript"/>
      </rPr>
      <t>2</t>
    </r>
  </si>
  <si>
    <t>Данные электронного документа, подписанного усиленной квалифицированной электронной подписью уполномоченного представителя регулируемой организации</t>
  </si>
  <si>
    <t>Название документа</t>
  </si>
  <si>
    <t>Исходящий номер</t>
  </si>
  <si>
    <t>Дата отправления</t>
  </si>
  <si>
    <t>В колонке "Дата отправления" дата указывается в виде «ДД.ММ.ГГГГ»._x000D_
В колонке «Ссылка на документ» указывается ссылка на электронный документ, подписанный усиленной квалифицированной электронной подписью уполномоченного представителя регулируемой организации, предварительно загруженный в хранилище файлов ФГИС ЕИАС.</t>
  </si>
  <si>
    <r>
      <rPr>
        <charset val="204"/>
        <family val="2"/>
        <rFont val="Tahoma"/>
        <sz val="9"/>
        <vertAlign val="superscript"/>
      </rPr>
      <t>2</t>
    </r>
    <r>
      <rPr>
        <charset val="204"/>
        <family val="2"/>
        <rFont val="Tahoma"/>
        <sz val="9"/>
      </rPr>
      <t xml:space="preserve"> Размещается информация по каждой из форм раскрытия, данные в которой относятся к муниципальному образованию, в котором отсутствует доступ в сеть «Интернет».</t>
    </r>
  </si>
  <si>
    <t>Сведения об изменениях в первоначально опубликованной информации*</t>
  </si>
  <si>
    <t>Сведения</t>
  </si>
  <si>
    <t>Добавить</t>
  </si>
  <si>
    <t>* Лист заполняется в случае, если на Титульном листе в поле "Тип отчета" выбрано значение «Изменения в раскрытой ранее информации».</t>
  </si>
  <si>
    <t>Комментарии</t>
  </si>
  <si>
    <t>Титульный лист. С 10.12.2018 года действующий КПП 616501001</t>
  </si>
  <si>
    <t>Результат проверки</t>
  </si>
  <si>
    <t>Ссылка</t>
  </si>
  <si>
    <t>Причина</t>
  </si>
  <si>
    <t>Статус</t>
  </si>
  <si>
    <t>et_CHANGE_INFO</t>
  </si>
  <si>
    <t>et_Comm</t>
  </si>
  <si>
    <t>et_TERRITORY_AREA</t>
  </si>
  <si>
    <t>et_TERRITORY_MO</t>
  </si>
  <si>
    <t>et_DIFFERENTIATION_VD</t>
  </si>
  <si>
    <t>et_DIFFERENTIATION_AREA</t>
  </si>
  <si>
    <t>et_DIFFERENTIATION_SYSTEM</t>
  </si>
  <si>
    <t>et_ORG_INFO_1</t>
  </si>
  <si>
    <t>et_ORG_INFO_2</t>
  </si>
  <si>
    <t>et_ORG_INFO_3</t>
  </si>
  <si>
    <t>et_ORG_TERRITORY_MO</t>
  </si>
  <si>
    <t>et_ORG_VD</t>
  </si>
  <si>
    <t>et_ED</t>
  </si>
  <si>
    <t>et_TERMS</t>
  </si>
  <si>
    <t>et_IP_MAIN</t>
  </si>
  <si>
    <t>ip_3</t>
  </si>
  <si>
    <t>Добавить реквизиты</t>
  </si>
  <si>
    <t>et_IP_MAIN_PROPERTY</t>
  </si>
  <si>
    <t>et_IP_DETAILED</t>
  </si>
  <si>
    <t>Добавить источник финансирования</t>
  </si>
  <si>
    <t>Добавить объект инфраструктуры</t>
  </si>
  <si>
    <t>Добавить мероприятие</t>
  </si>
  <si>
    <t>et_IP_DETAILED_OBJECT</t>
  </si>
  <si>
    <t>et_IP_DETAILED_IST_FIN</t>
  </si>
  <si>
    <t>et_IP_DETAILED_EVENT</t>
  </si>
  <si>
    <t>et_QRE</t>
  </si>
  <si>
    <t>Добавить цель</t>
  </si>
  <si>
    <t>et_B_FHD20_1_NOT_HEAT</t>
  </si>
  <si>
    <t>Добавить поставщика</t>
  </si>
  <si>
    <t>et_B_FHD20_1_HEAT</t>
  </si>
  <si>
    <t>et_B_FHD20_2, _3, _4</t>
  </si>
  <si>
    <t>Итого по поставщику, в том числе</t>
  </si>
  <si>
    <t>Добавить товар/услугу</t>
  </si>
  <si>
    <t>Добавить способ</t>
  </si>
  <si>
    <t>et_DIFFERENTIATION_TARIFF(_etc)</t>
  </si>
  <si>
    <t>et_DIFFERENTIATION_TARIFF_NOT_HEAT(_etc)</t>
  </si>
  <si>
    <t>et_DIFFERENTIATION_TKO(_etc)</t>
  </si>
  <si>
    <t>Добавить класс ТКО</t>
  </si>
  <si>
    <t>Добавить вид ТКО</t>
  </si>
  <si>
    <t>Добавить технологическую особенность</t>
  </si>
  <si>
    <t>Имя листа</t>
  </si>
  <si>
    <t>Наименование, номер формы</t>
  </si>
  <si>
    <t>ТП</t>
  </si>
  <si>
    <t>Форма 14.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t>
  </si>
  <si>
    <t>Общая информация об организации</t>
  </si>
  <si>
    <t>Форма 1. Информация о единых теплоснабжающих организациях в системе теплоснабжения,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не отнесенных к ценовым зонам теплоснабжения, и в поселениях и городских округах, отнесенных к ценовым зонам теплоснабжения в соответствии с Федеральным законом от 27 июля 2010 г. N 190-ФЗ "О теплоснабжении", до окончания переходного периода в ценовых зонах теплоснабжения (далее - регулируемые организации); о единых теплоснабжающих организациях,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отнесенных к ценовым зонам теплоснабжения в соответствии с Федеральным законом от 27 июля 2010 г. N 190-ФЗ "О теплоснабжении", после окончания переходного периода в ценовых зонах теплоснабжения (далее соответственно - единые теплоснабжающие организации в ценовых зонах теплоснабжения, теплоснабжающие организации в ценовых зонах теплоснабжения и теплосетевые организации в ценовых зонах теплоснабжения) (общая информация)</t>
  </si>
  <si>
    <t>Форма 1. Информация об организации (общая информация)</t>
  </si>
  <si>
    <t>Договоры</t>
  </si>
  <si>
    <t>Форма 15.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от 27 июля 2010 г. N 190-ФЗ "О теплоснабжении", и (или) условиях договоров о подключении (технологическом присоединении) к системе теплоснабжения</t>
  </si>
  <si>
    <t>Форма 8. Информация об условиях, на которых осуществляется оказание услуг в области обращения с твердыми коммунальными отходами</t>
  </si>
  <si>
    <t>Показатели ФХД</t>
  </si>
  <si>
    <t>Форма 7.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t>
  </si>
  <si>
    <t>Показатели ФХД &gt;20%</t>
  </si>
  <si>
    <t>Форма 11. Информация о расходах на капитальный и текущий ремонт основных средств</t>
  </si>
  <si>
    <t>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t>
  </si>
  <si>
    <t>Показатели КНЭ</t>
  </si>
  <si>
    <t>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t>
  </si>
  <si>
    <t>PRICE_x000D_
_x000D_
Т-ТЭ | &gt;=25МВт_x000D_
Т-ТЭ | ТСО_x000D_
Резерв мощности</t>
  </si>
  <si>
    <t>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t>
  </si>
  <si>
    <t>PRICE_x000D_
_x000D_
Т-ТН_x000D_
Т-передача ТЭ_x000D_
Т-передача ТН</t>
  </si>
  <si>
    <t>Форма 4.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</si>
  <si>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PRICE_x000D_
_x000D_
Т-гор.вода</t>
  </si>
  <si>
    <t>Форма 5. Информация об установленных тарифах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тарифах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</si>
  <si>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PRICE_x000D_
_x000D_
Т-подкл</t>
  </si>
  <si>
    <t>Форма 6. Информация об установленной плате за подключение (технологическое присоединение) к системе теплоснабжения,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</si>
  <si>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REQUEST_x000D_
_x000D_
Т-ТЭ | &gt;=25МВт_x000D_
Т-ТЭ | ТСО_x000D_
Резерв мощности</t>
  </si>
  <si>
    <t>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t>
  </si>
  <si>
    <t>REQUEST_x000D_
_x000D_
Т-ТН_x000D_
Т-передача ТЭ_x000D_
Т-передача ТН</t>
  </si>
  <si>
    <t>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</si>
  <si>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REQUEST_x000D_
_x000D_
Т-гор.вода</t>
  </si>
  <si>
    <t>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</si>
  <si>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REQUEST_x000D_
_x000D_
Т-подкл</t>
  </si>
  <si>
    <t>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</si>
  <si>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PRICE_x000D_
_x000D_
ХВС. Т-пит_x000D_
ХВС. Т-тех_x000D_
ХВС. Т-транс_x000D_
ХВС. Т-подвоз</t>
  </si>
  <si>
    <t>Форма 2. Информация_x000D_
о тарифах в сфере холодного водоснабжения на товары (услуги) организации холодного водоснабжения, подлежащих регулированию</t>
  </si>
  <si>
    <t>PRICE_x000D_
_x000D_
ХВС. Т-подкл</t>
  </si>
  <si>
    <t>Форма 3. Информация об установленных тарифах на подключение (технологическое присоединение) к централизованной системе холодного водоснабжения</t>
  </si>
  <si>
    <t>REQUEST_x000D_
_x000D_
ХВС. Т-пит_x000D_
ХВС. Т-тех_x000D_
ХВС. Т-транс_x000D_
ХВС. Т-подвоз</t>
  </si>
  <si>
    <t>Форма 13. Информация о предложении организации холодного водоснабжения об установлении расчетной величины тарифов в сфере холодного водоснабжения</t>
  </si>
  <si>
    <t>REQUEST_x000D_
_x000D_
ХВС. Т-подкл</t>
  </si>
  <si>
    <t>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t>
  </si>
  <si>
    <t>PRICE_x000D_
_x000D_
ГВС. Т-гор.вода_x000D_
ГВС. Т-транс</t>
  </si>
  <si>
    <t>Форма 2. Информация о тарифах в сфере горячего водоснабжения на товары (услуги) организации горячего водоснабжения, подлежащих регулированию</t>
  </si>
  <si>
    <t>PRICE_x000D_
_x000D_
ГВС. Т-подкл</t>
  </si>
  <si>
    <t>Форма 3. Информация об установленных тарифах на подключение (технологическое присоединение) к централизованной системе горячего водоснабжения</t>
  </si>
  <si>
    <t>REQUEST_x000D_
_x000D_
ГВС. Т-гор.вода_x000D_
ГВС. Т-транс</t>
  </si>
  <si>
    <t>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t>
  </si>
  <si>
    <t>REQUEST_x000D_
_x000D_
ГВС. Т-подкл</t>
  </si>
  <si>
    <t>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t>
  </si>
  <si>
    <t>PRICE_x000D_
_x000D_
ВО. Т-во_x000D_
ВО. Т-транс</t>
  </si>
  <si>
    <t>Форма 2. Информация о тарифах в сфере водоотведения на товары (услуги) организации водоотведения, подлежащих регулированию</t>
  </si>
  <si>
    <t>PRICE_x000D_
_x000D_
ВО. Т-подкл</t>
  </si>
  <si>
    <t>Форма 3.  Информация об установленных тарифах на подключение (технологическое присоединение) к централизованной системе водоотведения</t>
  </si>
  <si>
    <t>REQUEST_x000D_
_x000D_
ВО. Т-во_x000D_
ВО. Т-транс</t>
  </si>
  <si>
    <t>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t>
  </si>
  <si>
    <t>REQUEST_x000D_
_x000D_
ВО. Т-подкл</t>
  </si>
  <si>
    <t>Форма 14. Информация о предложении организации водоотведения расчетной величины тарифов на подключение к централизованной системе водоотведения</t>
  </si>
  <si>
    <t>Сведения о закупках</t>
  </si>
  <si>
    <t>Форма 17.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t>
  </si>
  <si>
    <t>Форма 9.  Информация о способах приобретения, стоимости и об объемах товаров, работ и услуг, необходимых организации для осуществления регулируемых видов деятельности</t>
  </si>
  <si>
    <t>Порядок ТП</t>
  </si>
  <si>
    <t>Форма 16.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t>
  </si>
  <si>
    <t>Общая информация по ВД</t>
  </si>
  <si>
    <t>Форма 2. Общая информация об объектах теплоснабжения регулируемой организации, единой теплоснабжающей организации в ценовых зонах теплоснабжения, теплоснабжающей организации в ценовых зонах теплоснабжения и теплосетевой организации в ценовых зонах теплоснабжения</t>
  </si>
  <si>
    <t>ИП_x000D_
ИП. Детализация_x000D_
ИП. Финансовый план_x000D_
ИП. КНЭ</t>
  </si>
  <si>
    <t>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t>
  </si>
  <si>
    <t>Форма 7. Информация об инвестиционных программах и отчетах об их реализации (в части регулируемых видов деятельности)</t>
  </si>
  <si>
    <t>пункт НПА</t>
  </si>
  <si>
    <t>подпункт НПА</t>
  </si>
  <si>
    <t>состав пункта</t>
  </si>
  <si>
    <t>описание парметров</t>
  </si>
  <si>
    <t>номер пункта</t>
  </si>
  <si>
    <t>описание параметров</t>
  </si>
  <si>
    <t>описание к листу Общая информация об организации</t>
  </si>
  <si>
    <t>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t>
  </si>
  <si>
    <t>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t>
  </si>
  <si>
    <t>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t>
  </si>
  <si>
    <t>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t>
  </si>
  <si>
    <t>66</t>
  </si>
  <si>
    <t>а</t>
  </si>
  <si>
    <t>Количество поданных заявок</t>
  </si>
  <si>
    <t xml:space="preserve">Количество поданных заявлений </t>
  </si>
  <si>
    <t>Указывается количество поданных заявок на подключение (технологическое присоединение) к системе теплоснабжения в течение отчетного квартала.</t>
  </si>
  <si>
    <t>б</t>
  </si>
  <si>
    <t>Количество рассмотренных заявок</t>
  </si>
  <si>
    <t xml:space="preserve">Количество исполненных заявлений </t>
  </si>
  <si>
    <t>Указывается количество исполненных заявок на подключение (технологическое присоединение) к системе теплоснабжения в течение отчетного квартала.</t>
  </si>
  <si>
    <t>в</t>
  </si>
  <si>
    <t>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t>
  </si>
  <si>
    <t>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t>
  </si>
  <si>
    <t>Указывается количество заявок с решением об отказе в течение отчетного квартала.</t>
  </si>
  <si>
    <t>Причины отказа в заключении договора о подключении (технологическом присоединении) к системе теплоснабжения</t>
  </si>
  <si>
    <t>Указывается текстовое описание причин принятия решений._x000D_
Не заполняется в случае, если решения об отказе в течение отчетного периода не принимались.</t>
  </si>
  <si>
    <t>г</t>
  </si>
  <si>
    <t>Резерв мощности источников тепловой энергии, входящих в систему теплоснабжения, в течение одного квартала, в том числе:</t>
  </si>
  <si>
    <t xml:space="preserve">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организации._x000D_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t>
  </si>
  <si>
    <t>Выручка от регулируемого вида деятельности с распределением по видам деятельности</t>
  </si>
  <si>
    <t>Выручка от регулируемых видов деятельности в сфере холодного водоснабжения</t>
  </si>
  <si>
    <t>Выручка от регулируемых видов деятельности в сфере горячего водоснабжения</t>
  </si>
  <si>
    <t>Выручка от регулируемых видов деятельности в сфере водоотведения</t>
  </si>
  <si>
    <t>Указывается выручка от регулируемого вида деятельности с распределением по видам деятельности.</t>
  </si>
  <si>
    <t>Указывается выручка с распределением по видам деятельности.</t>
  </si>
  <si>
    <t>Себестоимость производимых товаров (оказываемых услуг) по регулируемому виду деятельности, включая:</t>
  </si>
  <si>
    <t>Себестоимость производимых товаров (оказываемых услуг) по регулируемым видам деятельности в сфере холодного водоснабжения, включая:</t>
  </si>
  <si>
    <t>Себестоимость производимых товаров (оказываемых услуг) по регулируемым видам деятельности в сфере горячего водоснабжения, включая:</t>
  </si>
  <si>
    <t>Себестоимость производимых товаров (оказываемых услуг) по регулируемым видам деятельности в сфере водоотведения, включая:</t>
  </si>
  <si>
    <t>Указывается суммарная себестоимость производимых товаров.</t>
  </si>
  <si>
    <t>Расходы на приобретаемую тепловую энергию (мощность), теплоноситель</t>
  </si>
  <si>
    <t>Расходы на оплату холодной воды, приобретаемой у других организаций для последующей подачи потребителям</t>
  </si>
  <si>
    <t>Расходы на приобретаемую тепловую энергию (мощность), используемую для горячего водоснабжения</t>
  </si>
  <si>
    <t>Расходы на оплату услуг по приему, транспортировке и очистке сточных вод другими организациями</t>
  </si>
  <si>
    <t>Расходы на топливо с указанием по каждому виду топлива стоимости (за единицу объема), объема и способа его приобретения, стоимости его доставки</t>
  </si>
  <si>
    <t>Указываются суммарные расходы на приобретение топлива всех видов.</t>
  </si>
  <si>
    <t>Расходы на тепловую энергию, производимую с применением собственных источников и используемую для горячего водоснабжения</t>
  </si>
  <si>
    <t>Расходы на приобретаемую холодную воду, используемую для горячего водоснабжения</t>
  </si>
  <si>
    <t>Расходы на холодную воду, получаемую с применением собственных источников водозабора (скважин) и используемую для горячего водоснабжения</t>
  </si>
  <si>
    <t>Расходы на приобретаемую электрическую энергию (мощность), используемую в технологическом процессе</t>
  </si>
  <si>
    <t>2.5.1</t>
  </si>
  <si>
    <t>Средневзвешенная стоимость 1 кВт.ч (с учетом мощности)</t>
  </si>
  <si>
    <t>6.2</t>
  </si>
  <si>
    <t>2.5.2</t>
  </si>
  <si>
    <t>Объём приобретения электрической энергии</t>
  </si>
  <si>
    <t>Расходы на приобретение холодной воды, используемой в технологическом процессе</t>
  </si>
  <si>
    <t>Расходы на химические реагенты, используемые в технологическом процессе</t>
  </si>
  <si>
    <t>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t>
  </si>
  <si>
    <t>Указывается общая сумма расходов на оплату труда и отчислений на социальные нужды основного производственного персонала.</t>
  </si>
  <si>
    <t>9.1</t>
  </si>
  <si>
    <t>2.6.1</t>
  </si>
  <si>
    <t>Расходы на оплату труда основного производственного персонала</t>
  </si>
  <si>
    <t>9.2</t>
  </si>
  <si>
    <t>2.6.2</t>
  </si>
  <si>
    <t>Страховые взносы на обязательное социальное страхование, выплачиваемые из фонда оплаты труда основного производственного персонала</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</si>
  <si>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</si>
  <si>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t>
  </si>
  <si>
    <t>Указывается общая сумма расходов на оплату труда и отчислений на социальные нужды административно-управленческого персонала.</t>
  </si>
  <si>
    <t>10.1</t>
  </si>
  <si>
    <t>2.7.1</t>
  </si>
  <si>
    <t>Расходы на оплату труда административно-управленческого персонала</t>
  </si>
  <si>
    <t>Расходы на оплату труда административно-управленческого персонала, в том числе:</t>
  </si>
  <si>
    <t>10.2</t>
  </si>
  <si>
    <t>2.7.2</t>
  </si>
  <si>
    <t>Страховые взносы на обязательное социальное страхование, выплачиваемые из фонда оплаты труда административно-управленческого персонала</t>
  </si>
  <si>
    <t>Расходы на амортизацию основных средств и нематериальных активов</t>
  </si>
  <si>
    <t>11.1</t>
  </si>
  <si>
    <t>2.8.1</t>
  </si>
  <si>
    <t>Расходы на амортизацию основных средств</t>
  </si>
  <si>
    <t>11.2</t>
  </si>
  <si>
    <t>2.8.2</t>
  </si>
  <si>
    <t>Расходы на амортизацию нематериальных активов</t>
  </si>
  <si>
    <t>Расходы на аренду имущества, используемого для осуществления регулируемого вида деятельности</t>
  </si>
  <si>
    <t>Расходы на аренду имущества, используемого для осуществления регулируемых видов деятельности в сфере холодного водоснабжения</t>
  </si>
  <si>
    <t>Расходы на аренду имущества, используемого для осуществления регулируемых видов деятельности в сфере горячего водоснабжения</t>
  </si>
  <si>
    <t>Расходы на аренду имущества, используемого для осуществления регулируемых видов деятельности в сфере водоотведения</t>
  </si>
  <si>
    <t>2.10</t>
  </si>
  <si>
    <t>Общепроизводственные расходы, в том числе:</t>
  </si>
  <si>
    <t>Указывается общая сумма общепроизводственных расходов.</t>
  </si>
  <si>
    <t>13.1</t>
  </si>
  <si>
    <t>2.10.1</t>
  </si>
  <si>
    <t>Расходы на текущий ремонт</t>
  </si>
  <si>
    <t>Указываются расходы на текущий ремонт, отнесенные к общепроизводственным расходам.</t>
  </si>
  <si>
    <t>13.2</t>
  </si>
  <si>
    <t>2.10.2</t>
  </si>
  <si>
    <t>Расходы на капитальный ремонт</t>
  </si>
  <si>
    <t>Указываются расходы на капитальный ремонт, отнесенные к общепроизводственным расходам.</t>
  </si>
  <si>
    <t>2.11</t>
  </si>
  <si>
    <t>Общехозяйственные расходы, в том числе:</t>
  </si>
  <si>
    <t>Указывается общая сумма общехозяйственных расходов.</t>
  </si>
  <si>
    <t>14.1</t>
  </si>
  <si>
    <t>2.11.1</t>
  </si>
  <si>
    <t>2.9.1</t>
  </si>
  <si>
    <t>Указываются расходы на текущий ремонт, отнесенные к общехозяйственным расходам.</t>
  </si>
  <si>
    <t>14.2</t>
  </si>
  <si>
    <t>2.11.2</t>
  </si>
  <si>
    <t>2.9.2</t>
  </si>
  <si>
    <t>Указываются расходы на капитальный ремонт, отнесенные к общехозяйственным расходам.</t>
  </si>
  <si>
    <t>2.12</t>
  </si>
  <si>
    <t>Расходы на капитальный и текущий ремонт основных средств</t>
  </si>
  <si>
    <t>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</si>
  <si>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</si>
  <si>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15.1</t>
  </si>
  <si>
    <t>2.12.1</t>
  </si>
  <si>
    <t>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t>
  </si>
  <si>
    <t>2.13</t>
  </si>
  <si>
    <t xml:space="preserve">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t>
  </si>
  <si>
    <t>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t>
  </si>
  <si>
    <t>16.1</t>
  </si>
  <si>
    <t>2.13.1</t>
  </si>
  <si>
    <t>2.14</t>
  </si>
  <si>
    <t>Прочие расходы, которые подлежат отнесению на регулируемые виды деятельности в соответствии с законодательством Российской Федерации</t>
  </si>
  <si>
    <t>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t>
  </si>
  <si>
    <t>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t>
  </si>
  <si>
    <t>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t>
  </si>
  <si>
    <t>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t>
  </si>
  <si>
    <t>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t>
  </si>
  <si>
    <t>д</t>
  </si>
  <si>
    <t>Валовая прибыль (убытки) от реализации товаров и оказания услуг по регулируемому виду деятельности</t>
  </si>
  <si>
    <t>Чистая прибыль, полученная от регулируемого вида деятельности, в том числе:</t>
  </si>
  <si>
    <t>Чистая прибыль, полученная от регулируемого вида деятельности в сфере холодного водоснабжения, в том числе:</t>
  </si>
  <si>
    <t>Чистая прибыль, полученная от регулируемого вида деятельности в сфере горячего водоснабжения, в том числе:</t>
  </si>
  <si>
    <t>Чистая прибыль, полученная от регулируемого вида деятельности в сфере водоотведения, в том числе:</t>
  </si>
  <si>
    <t>Размер расходования чистой прибыли на финансирование мероприятий, предусмотренных инвестиционной программой регулируемой организации</t>
  </si>
  <si>
    <t>Изменение стоимости основных фондов за счет:</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</si>
  <si>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</si>
  <si>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и вывода из эксплуатации.</t>
  </si>
  <si>
    <t>Изменения стоимости основных фондов за счет их ввода в эксплуатацию</t>
  </si>
  <si>
    <t>Изменение стоимости основных фондов за счет их ввода в эксплуатацию</t>
  </si>
  <si>
    <t>5.1.2</t>
  </si>
  <si>
    <t>Изменения стоимости основных фондов за счет их вывода в эксплуатацию</t>
  </si>
  <si>
    <t>Изменение стоимости основных фондов за счет их вывода в эксплуатацию</t>
  </si>
  <si>
    <t>Изменение стоимости основных фондов за счет их переоценки</t>
  </si>
  <si>
    <t>Валовая прибыль (убытки) от продажи товаров и услуг по регулируемым видам деятельности в сфере холодного водоснабжения</t>
  </si>
  <si>
    <t>Валовая прибыль (убытки) от продажи товаров и услуг по регулируемым видам деятельности в сфере горячего водоснабжения</t>
  </si>
  <si>
    <t>Валовая прибыль (убытки) от продажи товаров и услуг по регулируемым видам деятельности в сфере водоотведения</t>
  </si>
  <si>
    <t>е</t>
  </si>
  <si>
    <t>Указывается ссылка на документ, предварительно загруженный в хранилище файлов ФГИС ЕИАС._x000D_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</si>
  <si>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</si>
  <si>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t>
  </si>
  <si>
    <t>ж</t>
  </si>
  <si>
    <t>Объём поднятой воды</t>
  </si>
  <si>
    <t>з</t>
  </si>
  <si>
    <t>Объём покупной воды</t>
  </si>
  <si>
    <t>и</t>
  </si>
  <si>
    <t>Объём воды, пропущенной через очистные сооружения</t>
  </si>
  <si>
    <t>к</t>
  </si>
  <si>
    <t>Объём отпущенной потребителям воды, в том числе:</t>
  </si>
  <si>
    <t>Указывается общий объем отпущенной потребителям воды.</t>
  </si>
  <si>
    <t>Объём отпущенной потребителям воды, определенный по приборам учета</t>
  </si>
  <si>
    <t>Объём отпущенной потребителям воды, определенный расчетным способом</t>
  </si>
  <si>
    <t>10.2.1</t>
  </si>
  <si>
    <t>Объём отпущенной потребителям воды, определенный по нормативам потребления коммунальных услуг</t>
  </si>
  <si>
    <t>10.2.2</t>
  </si>
  <si>
    <t xml:space="preserve">Объём отпущенной потребителям воды, определенный по нормативам потребления коммунальных ресурсов </t>
  </si>
  <si>
    <t>л</t>
  </si>
  <si>
    <t>Потери воды в сетях</t>
  </si>
  <si>
    <t>Объём приобретаемой холодной воды, используемой для горячего водоснабжения</t>
  </si>
  <si>
    <t>Объём холодной воды, получаемой с применением собственных источников водозабора (скважин) и используемой для горячего водоснабжения</t>
  </si>
  <si>
    <t>Объём приобретаемой тепловой энергии (мощности), используемой для горячего водоснабжения</t>
  </si>
  <si>
    <t>Объём тепловой энергии, производимой с применением собственных источников и используемой для горячего водоснабжения</t>
  </si>
  <si>
    <t>Потери горячей воды в сетях (процентов)</t>
  </si>
  <si>
    <t>Объём сточных вод, принятых от потребителей</t>
  </si>
  <si>
    <t>Объём сточных вод, принятых от других регулируемых организаций, осуществляющих водоотведение и (или) очистку сточных вод</t>
  </si>
  <si>
    <t>Объём сточных вод, пропущенных через очистные сооружения</t>
  </si>
  <si>
    <t>Установленная тепловая мощность объектов основных фондов, используемых для теплоснабжения, в том числе по каждому источнику тепловой энергии</t>
  </si>
  <si>
    <t>Указывается суммарная установленная тепловая мощность объектов основных фондов, используемых для осуществления теплоснабжения._x000D_
Регулируемыми организациями указывается информация по объектам, используемым для осуществления регулируемых видов деятельности.</t>
  </si>
  <si>
    <t>Тепловая нагрузка по договорам, заключенным в рамках осуществления регулируемых видов деятельности</t>
  </si>
  <si>
    <t>Регулируемыми организациями указывается информация по договорам, заключенным в рамках осуществления регулируемых видов деятельности</t>
  </si>
  <si>
    <t>Объем вырабатываемой регулируемой организацией тепловой энергии в рамках осуществления регулируемых видов деятельности</t>
  </si>
  <si>
    <t>Регулируемыми организациями указывается информация тепловой энергии, выработанной в рамках осуществления регулируемых видов деятельности.</t>
  </si>
  <si>
    <t>Объем приобретаемой регулируемой организацией тепловой энергии в рамках осуществления регулируемых видов деятельности</t>
  </si>
  <si>
    <t>Информация указывается только едиными теплоснабжающими организациями.</t>
  </si>
  <si>
    <t>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t>
  </si>
  <si>
    <t>Указывается общий объем тепловой энергии, отпускаемой потребителям._x000D_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</si>
  <si>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 xml:space="preserve">По приборам учёта </t>
  </si>
  <si>
    <t>10.1.1</t>
  </si>
  <si>
    <t>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t>
  </si>
  <si>
    <t>Расчётным путём</t>
  </si>
  <si>
    <t>10.3</t>
  </si>
  <si>
    <t>По нормативам потребления коммунальных услуг и нормативам потребления коммунальных ресурсов</t>
  </si>
  <si>
    <t>м</t>
  </si>
  <si>
    <t>Нормативы технологических потерь при передаче тепловой энергии, теплоносителя по тепловым сетям, утвержденные уполномоченным органом</t>
  </si>
  <si>
    <t>н</t>
  </si>
  <si>
    <t>Фактический объем потерь при передаче тепловой энергии</t>
  </si>
  <si>
    <t>о</t>
  </si>
  <si>
    <t>Среднесписочная численность основного производственного персонала</t>
  </si>
  <si>
    <t>п</t>
  </si>
  <si>
    <t>Среднесписочная численность административно-управленческого персонала</t>
  </si>
  <si>
    <t>Удельный расход электрической энергии на подачу воды в сеть</t>
  </si>
  <si>
    <t>Расход воды на собственные нужды, в том числе:</t>
  </si>
  <si>
    <t>Указывается доля общего расхода воды на собственные нужны от объема отпуска воды потребителям.</t>
  </si>
  <si>
    <t>Расход воды на хозяйственно-бытовые нужды</t>
  </si>
  <si>
    <t>Указывается доля расхода воды на хозяйственно-бытовые нужны от объема отпуска воды потребителям.</t>
  </si>
  <si>
    <t>Показатель использования производственных объектов (по объему перекачки), в том числе:</t>
  </si>
  <si>
    <t>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t>
  </si>
  <si>
    <t>р</t>
  </si>
  <si>
    <t>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</si>
  <si>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</si>
  <si>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t>
  </si>
  <si>
    <t>т</t>
  </si>
  <si>
    <t>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</si>
  <si>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Регулируемыми организациями указывается информация с по договорам, заключенным в рамках осуществления регулируемой деятельности.</t>
  </si>
  <si>
    <t>у</t>
  </si>
  <si>
    <t>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</si>
  <si>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ф</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</si>
  <si>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t>
  </si>
  <si>
    <t>19.1</t>
  </si>
  <si>
    <t>Информация о показателях физического износа объектов теплоснабжения</t>
  </si>
  <si>
    <t>19.2</t>
  </si>
  <si>
    <t>Информация о показателях энергетической эффективности объектов теплоснабжения</t>
  </si>
  <si>
    <t>27/44</t>
  </si>
  <si>
    <t>68</t>
  </si>
  <si>
    <t>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t>
  </si>
  <si>
    <t>Сведения об условиях публичных договоров на оказание регулируемых услуг в области обращения с твердыми коммунальными отходами</t>
  </si>
  <si>
    <t>Форма 4.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t>
  </si>
  <si>
    <t>Период действия тарифа</t>
  </si>
  <si>
    <t>Добавить наименование системы теплоснабжения</t>
  </si>
  <si>
    <t>pt_vtar_3</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</si>
  <si>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t>
  </si>
  <si>
    <t>По данной форме раскрывается в том числе информация об индикативном предельном уровне цены на тепловую энергию (мощность), которые определены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в частях 12.1 – 12.4 статьи 10 Федерального закона от 27.07.2010 № 190-ФЗ «О теплоснабжении» (далее – Федеральный закон № 190-ФЗ), теплоснабжающей организации, теплосетевой организации в ценовых зонах теплоснабжения.</t>
  </si>
  <si>
    <t>Цвет</t>
  </si>
  <si>
    <t>Раздел</t>
  </si>
  <si>
    <t>доп.листы</t>
  </si>
  <si>
    <t>готовность</t>
  </si>
  <si>
    <t>ИП</t>
  </si>
  <si>
    <t>REGION_ID</t>
  </si>
  <si>
    <t>REGION_NAME</t>
  </si>
  <si>
    <t>RST_ORG_ID</t>
  </si>
  <si>
    <t>ORG_NAME</t>
  </si>
  <si>
    <t>INN_NAME</t>
  </si>
  <si>
    <t>KPP_NAME</t>
  </si>
  <si>
    <t>ORG_START_DATE</t>
  </si>
  <si>
    <t>ORG_END_DATE</t>
  </si>
  <si>
    <t>SPHERE</t>
  </si>
  <si>
    <t>2625</t>
  </si>
  <si>
    <t>28469397</t>
  </si>
  <si>
    <t>АО "Авиаприборный ремонтный завод"</t>
  </si>
  <si>
    <t>6141032373</t>
  </si>
  <si>
    <t>614101001</t>
  </si>
  <si>
    <t>26445320</t>
  </si>
  <si>
    <t>АО "Азовский оптико-механический завод"</t>
  </si>
  <si>
    <t>6140022069</t>
  </si>
  <si>
    <t>614001001</t>
  </si>
  <si>
    <t>26444834</t>
  </si>
  <si>
    <t>АО "Алюминий Металлург Рус"</t>
  </si>
  <si>
    <t>7709534220</t>
  </si>
  <si>
    <t>614201001</t>
  </si>
  <si>
    <t>28796046</t>
  </si>
  <si>
    <t>АО "ГТ Энерго"</t>
  </si>
  <si>
    <t>7703806647</t>
  </si>
  <si>
    <t>772801001</t>
  </si>
  <si>
    <t>26560525</t>
  </si>
  <si>
    <t>АО "ГУ ЖКХ"</t>
  </si>
  <si>
    <t>5116000922</t>
  </si>
  <si>
    <t>511601001</t>
  </si>
  <si>
    <t>13-05-2009 00:00:00</t>
  </si>
  <si>
    <t>26318885</t>
  </si>
  <si>
    <t>АО "Газпром энергосбыт"</t>
  </si>
  <si>
    <t>7705750968</t>
  </si>
  <si>
    <t>772901001</t>
  </si>
  <si>
    <t>30872564</t>
  </si>
  <si>
    <t>АО "Главное управление обустройства войск"</t>
  </si>
  <si>
    <t>7703702341</t>
  </si>
  <si>
    <t>770401001</t>
  </si>
  <si>
    <t>23-01-2017 00:00:00</t>
  </si>
  <si>
    <t>26640837</t>
  </si>
  <si>
    <t>АО "Желдорреммаш" - филиал Ростовский ЭРЗ</t>
  </si>
  <si>
    <t>7715729877</t>
  </si>
  <si>
    <t>616243001</t>
  </si>
  <si>
    <t>26518197</t>
  </si>
  <si>
    <t>АО "Краснодартеплосеть"</t>
  </si>
  <si>
    <t>2312122495</t>
  </si>
  <si>
    <t>230801001</t>
  </si>
  <si>
    <t>31062216</t>
  </si>
  <si>
    <t>АО "Ростоваэроинвест"</t>
  </si>
  <si>
    <t>6163123680</t>
  </si>
  <si>
    <t>610201001</t>
  </si>
  <si>
    <t>01-01-2018 00:00:00</t>
  </si>
  <si>
    <t>26436677</t>
  </si>
  <si>
    <t>АО "Ростовобувь"</t>
  </si>
  <si>
    <t>6152000503</t>
  </si>
  <si>
    <t>616501001</t>
  </si>
  <si>
    <t>26382583</t>
  </si>
  <si>
    <t>АО "Сервис-ЖКХ"</t>
  </si>
  <si>
    <t>6126101985</t>
  </si>
  <si>
    <t>612601001</t>
  </si>
  <si>
    <t>26457311</t>
  </si>
  <si>
    <t>26445828</t>
  </si>
  <si>
    <t>АО "Теплоэнергетическое предприятие тепловых сетей "Теплоэнерго"</t>
  </si>
  <si>
    <t>6154023190</t>
  </si>
  <si>
    <t>615401001</t>
  </si>
  <si>
    <t>26572663</t>
  </si>
  <si>
    <t>АО "ФПК"</t>
  </si>
  <si>
    <t>7708709686</t>
  </si>
  <si>
    <t>997650001</t>
  </si>
  <si>
    <t>03-12-2009 00:00:00</t>
  </si>
  <si>
    <t>26457273</t>
  </si>
  <si>
    <t>АО «Донэнерго»</t>
  </si>
  <si>
    <t>6163089292</t>
  </si>
  <si>
    <t>616301001</t>
  </si>
  <si>
    <t>26446563</t>
  </si>
  <si>
    <t>АО «Шахтинский Завод Гидропривод»</t>
  </si>
  <si>
    <t>6155010796</t>
  </si>
  <si>
    <t>615501001</t>
  </si>
  <si>
    <t>31221924</t>
  </si>
  <si>
    <t>Вагонный участок Ростов - структурное подразделение Северо-Кавказского филиала АО "ФПК"</t>
  </si>
  <si>
    <t>616245011</t>
  </si>
  <si>
    <t>26374532</t>
  </si>
  <si>
    <t>Веселовское МУП ЖКХ</t>
  </si>
  <si>
    <t>6106000636</t>
  </si>
  <si>
    <t>610601001</t>
  </si>
  <si>
    <t>26437029</t>
  </si>
  <si>
    <t>ГБОУ СПО РО "Таганрогский авиационный колледж имени В.М. Петлякова"</t>
  </si>
  <si>
    <t>6154029642</t>
  </si>
  <si>
    <t>31506523</t>
  </si>
  <si>
    <t>ГБПОУ РО "Азовский казачий кадетский аграрно-технологический техникум"</t>
  </si>
  <si>
    <t>6140006973</t>
  </si>
  <si>
    <t>13-07-2021 00:00:00</t>
  </si>
  <si>
    <t>26445961</t>
  </si>
  <si>
    <t>ГОУ ВПО Южно-Российский государственный технический университет (Новочеркасский политехнический институт)</t>
  </si>
  <si>
    <t>6150010834</t>
  </si>
  <si>
    <t>615001001</t>
  </si>
  <si>
    <t>28459543</t>
  </si>
  <si>
    <t>ДГТУ</t>
  </si>
  <si>
    <t>6165033136</t>
  </si>
  <si>
    <t>26374535</t>
  </si>
  <si>
    <t>ЕМУП "Коммунальник"</t>
  </si>
  <si>
    <t>6109001290</t>
  </si>
  <si>
    <t>610901001</t>
  </si>
  <si>
    <t>28469409</t>
  </si>
  <si>
    <t>ЗАО "Биоветдон"</t>
  </si>
  <si>
    <t>6165024004</t>
  </si>
  <si>
    <t>28091804</t>
  </si>
  <si>
    <t>ЗАО "Комбинат крупнопанельного домостроения"</t>
  </si>
  <si>
    <t>6168000805</t>
  </si>
  <si>
    <t>26445869</t>
  </si>
  <si>
    <t>ЗАО "Корпорация "Глория Джинс"</t>
  </si>
  <si>
    <t>6166034397</t>
  </si>
  <si>
    <t>26449396</t>
  </si>
  <si>
    <t>ЗАО "Строительное управление - 5"</t>
  </si>
  <si>
    <t>6165006541</t>
  </si>
  <si>
    <t>26449377</t>
  </si>
  <si>
    <t>МБУЗ "ЦРБ Миллеровского района Ростовской области"</t>
  </si>
  <si>
    <t>6149005082</t>
  </si>
  <si>
    <t>614901001</t>
  </si>
  <si>
    <t>26445479</t>
  </si>
  <si>
    <t>МП "Азовводоканал"</t>
  </si>
  <si>
    <t>6140000097</t>
  </si>
  <si>
    <t>31448467</t>
  </si>
  <si>
    <t>МП "ЖКХ" Гигантовского сельского поселения</t>
  </si>
  <si>
    <t>6153027000</t>
  </si>
  <si>
    <t>615301001</t>
  </si>
  <si>
    <t>26382587</t>
  </si>
  <si>
    <t>МП ЖКХ</t>
  </si>
  <si>
    <t>6132000738</t>
  </si>
  <si>
    <t>613201001</t>
  </si>
  <si>
    <t>26637060</t>
  </si>
  <si>
    <t>МП РСП "Возрождение"</t>
  </si>
  <si>
    <t>6127012801</t>
  </si>
  <si>
    <t>612701001</t>
  </si>
  <si>
    <t>17-06-2010 00:00:00</t>
  </si>
  <si>
    <t>30-06-2022 00:00:00</t>
  </si>
  <si>
    <t>26445760</t>
  </si>
  <si>
    <t>МП г. Новошахтинска "Коммунальные котельные и тепловые сети"</t>
  </si>
  <si>
    <t>6151009775</t>
  </si>
  <si>
    <t>615101001</t>
  </si>
  <si>
    <t>26382573</t>
  </si>
  <si>
    <t>МУП "Багаевское управление жилищно-коммунального хозяйства"</t>
  </si>
  <si>
    <t>6103000116</t>
  </si>
  <si>
    <t>610301001</t>
  </si>
  <si>
    <t>28868766</t>
  </si>
  <si>
    <t>МУП "Вира"</t>
  </si>
  <si>
    <t>6147006732</t>
  </si>
  <si>
    <t>614701001</t>
  </si>
  <si>
    <t>26374528</t>
  </si>
  <si>
    <t>МУП "Водник" Боковского района</t>
  </si>
  <si>
    <t>6104003871</t>
  </si>
  <si>
    <t>610401001</t>
  </si>
  <si>
    <t>31000381</t>
  </si>
  <si>
    <t>МУП "Городское Хозяйство"</t>
  </si>
  <si>
    <t>6154094137</t>
  </si>
  <si>
    <t>18-01-2005 00:00:00</t>
  </si>
  <si>
    <t>31543382</t>
  </si>
  <si>
    <t>МУП "ЖКХ" Буденновского сельского поселения</t>
  </si>
  <si>
    <t>6153009058</t>
  </si>
  <si>
    <t>01-01-2022 00:00:00</t>
  </si>
  <si>
    <t>31701681</t>
  </si>
  <si>
    <t>МУП "ЖЭУ"</t>
  </si>
  <si>
    <t>6149001480</t>
  </si>
  <si>
    <t>16-10-2023 00:00:00</t>
  </si>
  <si>
    <t>26446617</t>
  </si>
  <si>
    <t>МУП "Жилищно-эксплуатационное управление"</t>
  </si>
  <si>
    <t>6154070665</t>
  </si>
  <si>
    <t>26449438</t>
  </si>
  <si>
    <t>МУП "Заветинские теплосети"</t>
  </si>
  <si>
    <t>6110002700</t>
  </si>
  <si>
    <t>611001001</t>
  </si>
  <si>
    <t>06-08-2020 00:00:00</t>
  </si>
  <si>
    <t>26448791</t>
  </si>
  <si>
    <t>МУП "Каменсктеплосеть"</t>
  </si>
  <si>
    <t>6147006316</t>
  </si>
  <si>
    <t>26374579</t>
  </si>
  <si>
    <t>МУП "Коммунальщик" Глубокинского городского поселения</t>
  </si>
  <si>
    <t>6114007459</t>
  </si>
  <si>
    <t>611401001</t>
  </si>
  <si>
    <t>31043414</t>
  </si>
  <si>
    <t>МУП "Комфортная среда" Сальского городского поселения</t>
  </si>
  <si>
    <t>6153005247</t>
  </si>
  <si>
    <t>21-09-2017 00:00:00</t>
  </si>
  <si>
    <t>26444931</t>
  </si>
  <si>
    <t>МУП "Красносулинские городские теплосети"</t>
  </si>
  <si>
    <t>6148557940</t>
  </si>
  <si>
    <t>614801001</t>
  </si>
  <si>
    <t>30959394</t>
  </si>
  <si>
    <t>МУП "Молодежный" Астаховского сельского поселения</t>
  </si>
  <si>
    <t>6114017190</t>
  </si>
  <si>
    <t>12-09-2017 00:00:00</t>
  </si>
  <si>
    <t>31241624</t>
  </si>
  <si>
    <t>МУП "Новочеркасские тепловые сети"</t>
  </si>
  <si>
    <t>6150097377</t>
  </si>
  <si>
    <t>26446567</t>
  </si>
  <si>
    <t>МУП "Таганрогэнерго"</t>
  </si>
  <si>
    <t>6154085894</t>
  </si>
  <si>
    <t>20-12-2020 00:00:00</t>
  </si>
  <si>
    <t>26445059</t>
  </si>
  <si>
    <t>МУП "Тарасовские тепловые сети"</t>
  </si>
  <si>
    <t>6133002600</t>
  </si>
  <si>
    <t>613301001</t>
  </si>
  <si>
    <t>31298334</t>
  </si>
  <si>
    <t>МУП "Тепло МРЗ"</t>
  </si>
  <si>
    <t>6147040571</t>
  </si>
  <si>
    <t>28-03-2019 00:00:00</t>
  </si>
  <si>
    <t>30354166</t>
  </si>
  <si>
    <t>МУП "Тепловые сети"</t>
  </si>
  <si>
    <t>6154097882</t>
  </si>
  <si>
    <t>26457384</t>
  </si>
  <si>
    <t>МУП "Тепловые сети" г. Новочеркасска</t>
  </si>
  <si>
    <t>6150020222</t>
  </si>
  <si>
    <t>31-12-2018 00:00:00</t>
  </si>
  <si>
    <t>31219066</t>
  </si>
  <si>
    <t>МУП "Теплотехник Неклиновского района"</t>
  </si>
  <si>
    <t>6123024348</t>
  </si>
  <si>
    <t>612301001</t>
  </si>
  <si>
    <t>26627408</t>
  </si>
  <si>
    <t>МУП "Теплоэнерго"</t>
  </si>
  <si>
    <t>6139008430</t>
  </si>
  <si>
    <t>613901001</t>
  </si>
  <si>
    <t>30355506</t>
  </si>
  <si>
    <t>МУП "Трамвайно-троллейбусное управление"</t>
  </si>
  <si>
    <t>6154022710</t>
  </si>
  <si>
    <t>26374721</t>
  </si>
  <si>
    <t>МУП "Управление"Водоканал"</t>
  </si>
  <si>
    <t>6154051373</t>
  </si>
  <si>
    <t>30843340</t>
  </si>
  <si>
    <t>МУП АГП "АКСАЙЭНЕРГО"</t>
  </si>
  <si>
    <t>6102066210</t>
  </si>
  <si>
    <t>26374608</t>
  </si>
  <si>
    <t>МУП Большесальского сельского поселения "Коммунальщик"</t>
  </si>
  <si>
    <t>6122010173</t>
  </si>
  <si>
    <t>612201001</t>
  </si>
  <si>
    <t>26374662</t>
  </si>
  <si>
    <t>МУП ВКХ РО Целинского  района</t>
  </si>
  <si>
    <t>6136000070</t>
  </si>
  <si>
    <t>613601001</t>
  </si>
  <si>
    <t>27794430</t>
  </si>
  <si>
    <t>МУП ЖКХ "Красносадовское" Красносадовского сельского поселения</t>
  </si>
  <si>
    <t>6101931536</t>
  </si>
  <si>
    <t>610101001</t>
  </si>
  <si>
    <t>23-11-2022 00:00:00</t>
  </si>
  <si>
    <t>26374620</t>
  </si>
  <si>
    <t>МУП КХ Песчанокопского района</t>
  </si>
  <si>
    <t>6127010900</t>
  </si>
  <si>
    <t>26458650</t>
  </si>
  <si>
    <t>МУП Кагальницкого района "УЮТ"</t>
  </si>
  <si>
    <t>6113016972</t>
  </si>
  <si>
    <t>611301001</t>
  </si>
  <si>
    <t>26446579</t>
  </si>
  <si>
    <t>МУП Константиновского городского поселения "Гарант"</t>
  </si>
  <si>
    <t>6116009324</t>
  </si>
  <si>
    <t>611601001</t>
  </si>
  <si>
    <t>26374564</t>
  </si>
  <si>
    <t>МУП ПЖКХ Зимовниковского района</t>
  </si>
  <si>
    <t>6112000867</t>
  </si>
  <si>
    <t>611201001</t>
  </si>
  <si>
    <t>26452861</t>
  </si>
  <si>
    <t>МУП Пролетарского городского поселения Пролетарского района Ростовской области "Тепловые сети"</t>
  </si>
  <si>
    <t>6128002901</t>
  </si>
  <si>
    <t>612801001</t>
  </si>
  <si>
    <t>26448893</t>
  </si>
  <si>
    <t>МУП г. Азова "Теплоэнерго"</t>
  </si>
  <si>
    <t>6140028670</t>
  </si>
  <si>
    <t>26768157</t>
  </si>
  <si>
    <t>Миллеровский филиал АО "Астон"</t>
  </si>
  <si>
    <t>6162015019</t>
  </si>
  <si>
    <t>614943001</t>
  </si>
  <si>
    <t>27946501</t>
  </si>
  <si>
    <t>НП "ОСАК "СТАЛЬ"</t>
  </si>
  <si>
    <t>6166990071</t>
  </si>
  <si>
    <t>616601001</t>
  </si>
  <si>
    <t>26446002</t>
  </si>
  <si>
    <t>ОАО "31 завод авиационного технологического оборудования"</t>
  </si>
  <si>
    <t>6150052190</t>
  </si>
  <si>
    <t>26645111</t>
  </si>
  <si>
    <t>ОАО "Батайское"</t>
  </si>
  <si>
    <t>6101001530</t>
  </si>
  <si>
    <t>27505966</t>
  </si>
  <si>
    <t>ОАО "Вагонная ремонтная компания -3"</t>
  </si>
  <si>
    <t>7708737500</t>
  </si>
  <si>
    <t>770801001</t>
  </si>
  <si>
    <t>26444992</t>
  </si>
  <si>
    <t>ОАО "Водоканал" Матвеево-Курганского района</t>
  </si>
  <si>
    <t>6119009185</t>
  </si>
  <si>
    <t>611901001</t>
  </si>
  <si>
    <t>26436871</t>
  </si>
  <si>
    <t>ОАО "Донмакаронпром"</t>
  </si>
  <si>
    <t>6152000310</t>
  </si>
  <si>
    <t>616701001</t>
  </si>
  <si>
    <t>26380959</t>
  </si>
  <si>
    <t>ОАО "ЖКХ Волгодонского района"</t>
  </si>
  <si>
    <t>6107008243</t>
  </si>
  <si>
    <t>610701001</t>
  </si>
  <si>
    <t>01-01-2017 00:00:00</t>
  </si>
  <si>
    <t>26446559</t>
  </si>
  <si>
    <t>ОАО "Зерноградские тепловые сети"</t>
  </si>
  <si>
    <t>6111982106</t>
  </si>
  <si>
    <t>611101001</t>
  </si>
  <si>
    <t>26446518</t>
  </si>
  <si>
    <t>ОАО "Издательство Молот"</t>
  </si>
  <si>
    <t>6168002880</t>
  </si>
  <si>
    <t>616801001</t>
  </si>
  <si>
    <t>30420231</t>
  </si>
  <si>
    <t>ОАО "НПП КП "Квант"</t>
  </si>
  <si>
    <t>6152001056</t>
  </si>
  <si>
    <t>26448939</t>
  </si>
  <si>
    <t>ОАО "Новочеркасскгоргаз"</t>
  </si>
  <si>
    <t>6150009405</t>
  </si>
  <si>
    <t>26448888</t>
  </si>
  <si>
    <t>ОАО "Резметкон"</t>
  </si>
  <si>
    <t>6141004383</t>
  </si>
  <si>
    <t>26374688</t>
  </si>
  <si>
    <t>ОАО "Санаторий Вешенский"</t>
  </si>
  <si>
    <t>6139003209</t>
  </si>
  <si>
    <t>26445651</t>
  </si>
  <si>
    <t>ОАО "Таганрогский завод Прибой"</t>
  </si>
  <si>
    <t>6154093944</t>
  </si>
  <si>
    <t>28077113</t>
  </si>
  <si>
    <t>ОАО "Таганрогский котлостроительный завод "Красный котельщик"</t>
  </si>
  <si>
    <t>6154023009</t>
  </si>
  <si>
    <t>26867887</t>
  </si>
  <si>
    <t>ОАО "Черномортранснефть" филиал Тихорецкое РУМН (НПС Родионовская)</t>
  </si>
  <si>
    <t>2315072242</t>
  </si>
  <si>
    <t>613002001</t>
  </si>
  <si>
    <t>27-04-1999 00:00:00</t>
  </si>
  <si>
    <t>26449160</t>
  </si>
  <si>
    <t>ОАО "Экспериментальная ТЭС"</t>
  </si>
  <si>
    <t>6148012030</t>
  </si>
  <si>
    <t>26445896</t>
  </si>
  <si>
    <t>ОАО "Энергопром - Новочеркасский электродный завод"</t>
  </si>
  <si>
    <t>6150003065</t>
  </si>
  <si>
    <t>12-05-2022 00:00:00</t>
  </si>
  <si>
    <t>26446575</t>
  </si>
  <si>
    <t>ОАО РТП Авторемонтник</t>
  </si>
  <si>
    <t>6153002380</t>
  </si>
  <si>
    <t>26778073</t>
  </si>
  <si>
    <t>ООО "АКДЭНЕРГО"</t>
  </si>
  <si>
    <t>6102026104</t>
  </si>
  <si>
    <t>26586585</t>
  </si>
  <si>
    <t>ООО "Азовский морской порт"</t>
  </si>
  <si>
    <t>6140001622</t>
  </si>
  <si>
    <t>28814140</t>
  </si>
  <si>
    <t>ООО "Азовэнергомаш"</t>
  </si>
  <si>
    <t>6165150231</t>
  </si>
  <si>
    <t>10-07-2018 00:00:00</t>
  </si>
  <si>
    <t>26436852</t>
  </si>
  <si>
    <t>ООО "Ареал"</t>
  </si>
  <si>
    <t>6167081858</t>
  </si>
  <si>
    <t>01-02-2023 00:00:00</t>
  </si>
  <si>
    <t>31351556</t>
  </si>
  <si>
    <t>ООО "ВОЛГОДОНСКАЯ ТЭЦ-1"</t>
  </si>
  <si>
    <t>6143098108</t>
  </si>
  <si>
    <t>614301001</t>
  </si>
  <si>
    <t>28485857</t>
  </si>
  <si>
    <t>ООО "Вавилон-Сервис"</t>
  </si>
  <si>
    <t>6161045243</t>
  </si>
  <si>
    <t>616101001</t>
  </si>
  <si>
    <t>30897159</t>
  </si>
  <si>
    <t>ООО "Волгодонская тепловая генерация"</t>
  </si>
  <si>
    <t>6143088300</t>
  </si>
  <si>
    <t>01-09-2022 00:00:00</t>
  </si>
  <si>
    <t>28422605</t>
  </si>
  <si>
    <t>ООО "Волгодонские тепловые сети"</t>
  </si>
  <si>
    <t>6143081351</t>
  </si>
  <si>
    <t>31-05-2013 00:00:00</t>
  </si>
  <si>
    <t>31464893</t>
  </si>
  <si>
    <t>ООО "Гермес-Сервис"</t>
  </si>
  <si>
    <t>6167081390</t>
  </si>
  <si>
    <t>04-01-2021 00:00:00</t>
  </si>
  <si>
    <t>31597329</t>
  </si>
  <si>
    <t>ООО "ДТС"</t>
  </si>
  <si>
    <t>6141040790</t>
  </si>
  <si>
    <t>01-07-2022 00:00:00</t>
  </si>
  <si>
    <t>27946514</t>
  </si>
  <si>
    <t>ООО "Донская тепловая компания"</t>
  </si>
  <si>
    <t>6168056942</t>
  </si>
  <si>
    <t>14-02-2023 00:00:00</t>
  </si>
  <si>
    <t>31520326</t>
  </si>
  <si>
    <t>ООО "Донтеплоэнерго Север"</t>
  </si>
  <si>
    <t>6149020517</t>
  </si>
  <si>
    <t>12-04-2021 00:00:00</t>
  </si>
  <si>
    <t>31367096</t>
  </si>
  <si>
    <t>ООО "Донтеплоэнерго"</t>
  </si>
  <si>
    <t>6149020281</t>
  </si>
  <si>
    <t>01-01-2019 00:00:00</t>
  </si>
  <si>
    <t>26380977</t>
  </si>
  <si>
    <t>ООО "Жилищник"</t>
  </si>
  <si>
    <t>6130703051</t>
  </si>
  <si>
    <t>613001001</t>
  </si>
  <si>
    <t>31038140</t>
  </si>
  <si>
    <t>ООО "Издательство"МОЛОТ"</t>
  </si>
  <si>
    <t>6168093510</t>
  </si>
  <si>
    <t>28943166</t>
  </si>
  <si>
    <t>ООО "КОВЧЕГ"</t>
  </si>
  <si>
    <t>7725821712</t>
  </si>
  <si>
    <t>772501001</t>
  </si>
  <si>
    <t>30-09-2021 00:00:00</t>
  </si>
  <si>
    <t>30842639</t>
  </si>
  <si>
    <t>ООО "КОМФОРТ"</t>
  </si>
  <si>
    <t>6141049585</t>
  </si>
  <si>
    <t>30-11-2019 00:00:00</t>
  </si>
  <si>
    <t>28983457</t>
  </si>
  <si>
    <t>ООО "Каменский машиностроительный завод"</t>
  </si>
  <si>
    <t>6147038445</t>
  </si>
  <si>
    <t>31436757</t>
  </si>
  <si>
    <t>ООО "Комфорт"</t>
  </si>
  <si>
    <t>6126012380</t>
  </si>
  <si>
    <t>30370942</t>
  </si>
  <si>
    <t>ООО "ЛЕГИОН ГРУПП"</t>
  </si>
  <si>
    <t>6165558503</t>
  </si>
  <si>
    <t>09-09-2022 00:00:00</t>
  </si>
  <si>
    <t>26525135</t>
  </si>
  <si>
    <t>ООО "ЛУКОЙЛ-Ростовэнерго"</t>
  </si>
  <si>
    <t>6164288981</t>
  </si>
  <si>
    <t>26764871</t>
  </si>
  <si>
    <t>ООО "ЛУКОЙЛ-Экоэнерго"</t>
  </si>
  <si>
    <t>3015087458</t>
  </si>
  <si>
    <t>26382582</t>
  </si>
  <si>
    <t>ООО "МП "Коммунсервис"</t>
  </si>
  <si>
    <t>6122009675</t>
  </si>
  <si>
    <t>26446530</t>
  </si>
  <si>
    <t>ООО "Межмуниципальный Неклиновский водопровод"</t>
  </si>
  <si>
    <t>6123015978</t>
  </si>
  <si>
    <t>13-04-2023 00:00:00</t>
  </si>
  <si>
    <t>31617404</t>
  </si>
  <si>
    <t>ООО "Нефто-Юг"</t>
  </si>
  <si>
    <t>6161059895</t>
  </si>
  <si>
    <t>15-09-2022 00:00:00</t>
  </si>
  <si>
    <t>28821617</t>
  </si>
  <si>
    <t>6165001166</t>
  </si>
  <si>
    <t>26374611</t>
  </si>
  <si>
    <t>ООО "Обливское МТП"</t>
  </si>
  <si>
    <t>6124003816</t>
  </si>
  <si>
    <t>612401001</t>
  </si>
  <si>
    <t>26636891</t>
  </si>
  <si>
    <t>ООО "Орион"</t>
  </si>
  <si>
    <t>6148559391</t>
  </si>
  <si>
    <t>04-12-2018 00:00:00</t>
  </si>
  <si>
    <t>28503896</t>
  </si>
  <si>
    <t>ООО "Приазовский ТеплоЦентр"</t>
  </si>
  <si>
    <t>6154129333</t>
  </si>
  <si>
    <t>26438194</t>
  </si>
  <si>
    <t>ООО "Производственная компания "Новочеркасский электровозостроительный завод"</t>
  </si>
  <si>
    <t>6150040250</t>
  </si>
  <si>
    <t>997450001</t>
  </si>
  <si>
    <t>31717339</t>
  </si>
  <si>
    <t>ООО "РЕМСТРОЙ"</t>
  </si>
  <si>
    <t>9724141080</t>
  </si>
  <si>
    <t>772401001</t>
  </si>
  <si>
    <t>11-12-2023 00:00:00</t>
  </si>
  <si>
    <t>31399481</t>
  </si>
  <si>
    <t>ООО "Распределенная генерация - Батайск"</t>
  </si>
  <si>
    <t>6141053581</t>
  </si>
  <si>
    <t>31528078</t>
  </si>
  <si>
    <t>ООО "Распределенная генерация - Шахты"</t>
  </si>
  <si>
    <t>6164134621</t>
  </si>
  <si>
    <t>16-11-2021 00:00:00</t>
  </si>
  <si>
    <t>30954389</t>
  </si>
  <si>
    <t>ООО "Распределенная генерация"</t>
  </si>
  <si>
    <t>6163134315</t>
  </si>
  <si>
    <t>11-03-2014 00:00:00</t>
  </si>
  <si>
    <t>27898254</t>
  </si>
  <si>
    <t>ООО "Ремонтно-строительное предприятие"</t>
  </si>
  <si>
    <t>6148655271</t>
  </si>
  <si>
    <t>12-01-2018 00:00:00</t>
  </si>
  <si>
    <t>27601891</t>
  </si>
  <si>
    <t>ООО "Речной порт"</t>
  </si>
  <si>
    <t>6164099374</t>
  </si>
  <si>
    <t>31-12-2017 00:00:00</t>
  </si>
  <si>
    <t>31072070</t>
  </si>
  <si>
    <t>ООО "Росткапиталгрупп"</t>
  </si>
  <si>
    <t>6161082340</t>
  </si>
  <si>
    <t>30842909</t>
  </si>
  <si>
    <t>ООО "Ростов логистик"</t>
  </si>
  <si>
    <t>3443923606</t>
  </si>
  <si>
    <t>26764253</t>
  </si>
  <si>
    <t>ООО "Ростовские тепловые сети"</t>
  </si>
  <si>
    <t>3445102073</t>
  </si>
  <si>
    <t>26820290</t>
  </si>
  <si>
    <t>ООО "Ростовтеплоэнерго"  филиал Северный Шолоховский участок</t>
  </si>
  <si>
    <t>6165125852</t>
  </si>
  <si>
    <t>613394001</t>
  </si>
  <si>
    <t>28868862</t>
  </si>
  <si>
    <t>ООО "Ростовтеплоэнерго" филиал "Северный" Тарасовский участок</t>
  </si>
  <si>
    <t>26642800</t>
  </si>
  <si>
    <t>ООО "Ростовтеплоэнерго" филиал Куйбышевского района</t>
  </si>
  <si>
    <t>611745001</t>
  </si>
  <si>
    <t>26457607</t>
  </si>
  <si>
    <t>ООО "Ростовтеплоэнерго" филиал Северный</t>
  </si>
  <si>
    <t>613802001</t>
  </si>
  <si>
    <t>26829643</t>
  </si>
  <si>
    <t>ООО "Ростовтеплоэнерго" филиал Северный Верхнедонской участок</t>
  </si>
  <si>
    <t>610532001</t>
  </si>
  <si>
    <t>26829640</t>
  </si>
  <si>
    <t>ООО "Ростовтеплоэнерго" филиал Северный Кашарский участок</t>
  </si>
  <si>
    <t>611532001</t>
  </si>
  <si>
    <t>26829633</t>
  </si>
  <si>
    <t>ООО "Ростовтеплоэнерго" филиал Северный Миллеровский участок</t>
  </si>
  <si>
    <t>614945001</t>
  </si>
  <si>
    <t>26786996</t>
  </si>
  <si>
    <t>ООО "Ростовтеплоэнерго" филиал Семикаракорского района</t>
  </si>
  <si>
    <t>613245001</t>
  </si>
  <si>
    <t>30843114</t>
  </si>
  <si>
    <t>ООО "СВЕТПРОМГАЗ"</t>
  </si>
  <si>
    <t>6162069230</t>
  </si>
  <si>
    <t>616201001</t>
  </si>
  <si>
    <t>30916594</t>
  </si>
  <si>
    <t>ООО "СЗ ККПД-Инвест"</t>
  </si>
  <si>
    <t>6168014188</t>
  </si>
  <si>
    <t>28976314</t>
  </si>
  <si>
    <t>ООО "Сальскэнергосбыт"</t>
  </si>
  <si>
    <t>6153034270</t>
  </si>
  <si>
    <t>31478099</t>
  </si>
  <si>
    <t>ООО "Северные тепловые сети"</t>
  </si>
  <si>
    <t>6138013758</t>
  </si>
  <si>
    <t>613801001</t>
  </si>
  <si>
    <t>01-12-2020 00:00:00</t>
  </si>
  <si>
    <t>31397120</t>
  </si>
  <si>
    <t>ООО "Седьмой Ветропарк ФРВ"</t>
  </si>
  <si>
    <t>7703474039</t>
  </si>
  <si>
    <t>770301001</t>
  </si>
  <si>
    <t>26382572</t>
  </si>
  <si>
    <t>ООО "Сигма"</t>
  </si>
  <si>
    <t>6102015102</t>
  </si>
  <si>
    <t>27946538</t>
  </si>
  <si>
    <t>ООО "СпецМонтаж"</t>
  </si>
  <si>
    <t>3528087774</t>
  </si>
  <si>
    <t>352801001</t>
  </si>
  <si>
    <t>31451980</t>
  </si>
  <si>
    <t>ООО "ТЕПЛОГАРАНТ"</t>
  </si>
  <si>
    <t>6117009817</t>
  </si>
  <si>
    <t>611701001</t>
  </si>
  <si>
    <t>21-10-2020 00:00:00</t>
  </si>
  <si>
    <t>31521928</t>
  </si>
  <si>
    <t>ООО "ТЕПЛОСЕРВИС ЮГ"</t>
  </si>
  <si>
    <t>6141056529</t>
  </si>
  <si>
    <t>01-10-2021 00:00:00</t>
  </si>
  <si>
    <t>31616109</t>
  </si>
  <si>
    <t>ООО "ТЕХСЕРВИС"</t>
  </si>
  <si>
    <t>9710092669</t>
  </si>
  <si>
    <t>771001001</t>
  </si>
  <si>
    <t>12-09-2022 00:00:00</t>
  </si>
  <si>
    <t>30802811</t>
  </si>
  <si>
    <t>ООО "ТЭЦ-1"</t>
  </si>
  <si>
    <t>6143087498</t>
  </si>
  <si>
    <t>31185022</t>
  </si>
  <si>
    <t>ООО "Таганрогская генерирующая компания"</t>
  </si>
  <si>
    <t>6154150744</t>
  </si>
  <si>
    <t>28868003</t>
  </si>
  <si>
    <t>ООО "Тагстройсервис"</t>
  </si>
  <si>
    <t>6154558967</t>
  </si>
  <si>
    <t>28978534</t>
  </si>
  <si>
    <t>ООО "ТеплоДом"</t>
  </si>
  <si>
    <t>6165191615</t>
  </si>
  <si>
    <t>20-01-2015 00:00:00</t>
  </si>
  <si>
    <t>11-02-2021 00:00:00</t>
  </si>
  <si>
    <t>28821346</t>
  </si>
  <si>
    <t>ООО "Тепловая Генерация"</t>
  </si>
  <si>
    <t>6154133668</t>
  </si>
  <si>
    <t>26445942</t>
  </si>
  <si>
    <t>ООО "Тепловые сети"</t>
  </si>
  <si>
    <t>6125024777</t>
  </si>
  <si>
    <t>612501001</t>
  </si>
  <si>
    <t>26445734</t>
  </si>
  <si>
    <t>ООО "Теплонасосные системы"</t>
  </si>
  <si>
    <t>6151055122</t>
  </si>
  <si>
    <t>10-12-2021 00:00:00</t>
  </si>
  <si>
    <t>30992135</t>
  </si>
  <si>
    <t>6151019526</t>
  </si>
  <si>
    <t>04-04-2016 00:00:00</t>
  </si>
  <si>
    <t>28980513</t>
  </si>
  <si>
    <t>ООО "Теплоснабжающая организация "Александровский"</t>
  </si>
  <si>
    <t>6163135767</t>
  </si>
  <si>
    <t>23-06-2022 00:00:00</t>
  </si>
  <si>
    <t>31443685</t>
  </si>
  <si>
    <t>ООО "Теплотранс"</t>
  </si>
  <si>
    <t>6153008505</t>
  </si>
  <si>
    <t>28446793</t>
  </si>
  <si>
    <t>ООО "Топливно - Энергетическая компания"</t>
  </si>
  <si>
    <t>6154088327</t>
  </si>
  <si>
    <t>09-03-2023 00:00:00</t>
  </si>
  <si>
    <t>31514666</t>
  </si>
  <si>
    <t>ООО "УК "МАЦОТЫ"</t>
  </si>
  <si>
    <t>6150097948</t>
  </si>
  <si>
    <t>01-09-2021 00:00:00</t>
  </si>
  <si>
    <t>30383281</t>
  </si>
  <si>
    <t>ООО "УК "Сокол-Энергосбыт"</t>
  </si>
  <si>
    <t>6162058855</t>
  </si>
  <si>
    <t>27893378</t>
  </si>
  <si>
    <t>ООО "Углегорские сети"</t>
  </si>
  <si>
    <t>6134011291</t>
  </si>
  <si>
    <t>613401001</t>
  </si>
  <si>
    <t>15-09-2021 00:00:00</t>
  </si>
  <si>
    <t>26764274</t>
  </si>
  <si>
    <t>ООО "Управление жилищно-коммунальное хозяйство"</t>
  </si>
  <si>
    <t>6125028690</t>
  </si>
  <si>
    <t>26764720</t>
  </si>
  <si>
    <t>ООО "Управляющая компания "Жилкомсервис"</t>
  </si>
  <si>
    <t>6135007675</t>
  </si>
  <si>
    <t>613501001</t>
  </si>
  <si>
    <t>26448923</t>
  </si>
  <si>
    <t>ООО "Фирма "ТОК"</t>
  </si>
  <si>
    <t>6150016240</t>
  </si>
  <si>
    <t>26436687</t>
  </si>
  <si>
    <t>ООО "Фирма Кристина"</t>
  </si>
  <si>
    <t>6166014129</t>
  </si>
  <si>
    <t>26449191</t>
  </si>
  <si>
    <t>ООО "Шахтинская ГТЭС"</t>
  </si>
  <si>
    <t>6155043551</t>
  </si>
  <si>
    <t>26437000</t>
  </si>
  <si>
    <t>ООО "ЭКО"</t>
  </si>
  <si>
    <t>6121995802</t>
  </si>
  <si>
    <t>612101001</t>
  </si>
  <si>
    <t>28002777</t>
  </si>
  <si>
    <t>ООО "Элита Сервис"</t>
  </si>
  <si>
    <t>6162042118</t>
  </si>
  <si>
    <t>31337753</t>
  </si>
  <si>
    <t>ООО «Азовская ВЭС»</t>
  </si>
  <si>
    <t>7722851324</t>
  </si>
  <si>
    <t>26448728</t>
  </si>
  <si>
    <t>ООО «Ростсельмашэнерго»</t>
  </si>
  <si>
    <t>6166047727</t>
  </si>
  <si>
    <t>31663966</t>
  </si>
  <si>
    <t>ООО ИЦ "ГиСМ"</t>
  </si>
  <si>
    <t>6166067057</t>
  </si>
  <si>
    <t>20-03-2023 00:00:00</t>
  </si>
  <si>
    <t>30354171</t>
  </si>
  <si>
    <t>ООО ММП ЖКХ "Содружество"</t>
  </si>
  <si>
    <t>6107008902</t>
  </si>
  <si>
    <t>30866798</t>
  </si>
  <si>
    <t>ОП "Ростовское" АО "ГУ ЖКХ"</t>
  </si>
  <si>
    <t>616545001</t>
  </si>
  <si>
    <t>26324422</t>
  </si>
  <si>
    <t>Открытое акционерное общество "ГТ-ТЭЦ Энерго"</t>
  </si>
  <si>
    <t>7703311228</t>
  </si>
  <si>
    <t>27332164</t>
  </si>
  <si>
    <t>ПАО "ТАНТК им. Г.М. Бериева"</t>
  </si>
  <si>
    <t>6154028021</t>
  </si>
  <si>
    <t>26764261</t>
  </si>
  <si>
    <t>Производственное отделение "Южные электрические сети" филиала ПАО "Россети Юг" - "Ростовэнерго"</t>
  </si>
  <si>
    <t>6164266561</t>
  </si>
  <si>
    <t>614032001</t>
  </si>
  <si>
    <t>28492799</t>
  </si>
  <si>
    <t>РГСУ</t>
  </si>
  <si>
    <t>6163020389</t>
  </si>
  <si>
    <t>РЕГИОНАЛЬНАЯ СЛУЖБА ПО ТАРИФАМ РОСТОВСКОЙ ОБЛАСТИ</t>
  </si>
  <si>
    <t>6167051941</t>
  </si>
  <si>
    <t>27670503</t>
  </si>
  <si>
    <t>Ростовская дистанция гражданских сооружений</t>
  </si>
  <si>
    <t>7708503727</t>
  </si>
  <si>
    <t>616745017</t>
  </si>
  <si>
    <t>30934010</t>
  </si>
  <si>
    <t>Ростовская таможня</t>
  </si>
  <si>
    <t>6102020818</t>
  </si>
  <si>
    <t>26449407</t>
  </si>
  <si>
    <t>Свечинский районный телекоммуникационный узел (РТУ) Кировского филиала ОАО "Волгателеком"</t>
  </si>
  <si>
    <t>5260901817</t>
  </si>
  <si>
    <t>432832002</t>
  </si>
  <si>
    <t>24-06-2011 00:00:00</t>
  </si>
  <si>
    <t>26816056</t>
  </si>
  <si>
    <t>Северо-Кавказская дирекция по тепловодоснабжению структурное подразделение Центральной дирекции по тепловодоснабжению - филиала ОАО "РЖД"</t>
  </si>
  <si>
    <t>616745019</t>
  </si>
  <si>
    <t>26647132</t>
  </si>
  <si>
    <t>ТСЖ "Инструментальщик"</t>
  </si>
  <si>
    <t>6166071913</t>
  </si>
  <si>
    <t>27332293</t>
  </si>
  <si>
    <t>Таганрогский Технологический Институт ФГАО УВО ЮФУ</t>
  </si>
  <si>
    <t>6163027810</t>
  </si>
  <si>
    <t>615431003</t>
  </si>
  <si>
    <t>28545641</t>
  </si>
  <si>
    <t>Таганрогский институт имени А.П. Чехова (филиал) ФГБОУ ВПО "РГЭУ (РИНХ)"</t>
  </si>
  <si>
    <t>6163022805</t>
  </si>
  <si>
    <t>26448903</t>
  </si>
  <si>
    <t>Товарищество собственников жилья №3</t>
  </si>
  <si>
    <t>6154055466</t>
  </si>
  <si>
    <t>25-06-2019 00:00:00</t>
  </si>
  <si>
    <t>28818951</t>
  </si>
  <si>
    <t>УМП ЖКХ "Азовское"</t>
  </si>
  <si>
    <t>6101932120</t>
  </si>
  <si>
    <t>26452251</t>
  </si>
  <si>
    <t>УМП ЖКХ Кулешовского сельского поселения</t>
  </si>
  <si>
    <t>6101037745</t>
  </si>
  <si>
    <t>26374648</t>
  </si>
  <si>
    <t>Углегорское МПП ЖКХ</t>
  </si>
  <si>
    <t>6134007633</t>
  </si>
  <si>
    <t>26437044</t>
  </si>
  <si>
    <t>ФГАОУ ВО "ЮФУ"</t>
  </si>
  <si>
    <t>616402001</t>
  </si>
  <si>
    <t>30903763</t>
  </si>
  <si>
    <t>ФГБУ "ЦЖКУ" МИНОБОРОНЫ РОССИИ</t>
  </si>
  <si>
    <t>7729314745</t>
  </si>
  <si>
    <t>770101001</t>
  </si>
  <si>
    <t>30923515</t>
  </si>
  <si>
    <t>ФГБУ "Центральное жилищно-коммунальное управление" Министерства обороны РФ</t>
  </si>
  <si>
    <t>616543001</t>
  </si>
  <si>
    <t>14-11-2002 00:00:00</t>
  </si>
  <si>
    <t>31601428</t>
  </si>
  <si>
    <t>ФКУЗ "Ростовский-на-Дону Противочумный институт Роспотребнадзора"</t>
  </si>
  <si>
    <t>6164101841</t>
  </si>
  <si>
    <t>616401001</t>
  </si>
  <si>
    <t>04-08-2022 00:00:00</t>
  </si>
  <si>
    <t>31215611</t>
  </si>
  <si>
    <t>Филиал АО "Донэнерго" - "Тепловые сети"</t>
  </si>
  <si>
    <t>27666876</t>
  </si>
  <si>
    <t>Филиал АО "Концерн Росэнергоатом" Ростовская атомная станция</t>
  </si>
  <si>
    <t>7721632827</t>
  </si>
  <si>
    <t>614343002</t>
  </si>
  <si>
    <t>27357611</t>
  </si>
  <si>
    <t>Филиал ОАО "РЭУ" "Ростовский"</t>
  </si>
  <si>
    <t>7714783092</t>
  </si>
  <si>
    <t>28506895</t>
  </si>
  <si>
    <t>Филиал ООО "Сириус" в г. Новочеркасске</t>
  </si>
  <si>
    <t>7714652646</t>
  </si>
  <si>
    <t>615045001</t>
  </si>
  <si>
    <t>31513265</t>
  </si>
  <si>
    <t>Филиал ООО «Пивоваренная компания «Балтика»</t>
  </si>
  <si>
    <t>7802849641</t>
  </si>
  <si>
    <t>780201002</t>
  </si>
  <si>
    <t>26449347</t>
  </si>
  <si>
    <t>Филиал ПАО "ОГК-2" Новочеркасская ГРЭС</t>
  </si>
  <si>
    <t>2607018122</t>
  </si>
  <si>
    <t>615043001</t>
  </si>
  <si>
    <t>26445675</t>
  </si>
  <si>
    <t>производственное отделение "Юго-Западные электрические сети" филиала ПАО "МРСК Юга" - "Ростовэнерго"</t>
  </si>
  <si>
    <t>615431001</t>
  </si>
  <si>
    <t>31601414</t>
  </si>
  <si>
    <t>филиал ООО "ЭЛ-6" г. Новочеркасск</t>
  </si>
  <si>
    <t>9705126016</t>
  </si>
  <si>
    <t>28458560</t>
  </si>
  <si>
    <t>ОАО "Астон"</t>
  </si>
  <si>
    <t>31539827</t>
  </si>
  <si>
    <t>ООО "Распределенная генерация-Шахты"</t>
  </si>
  <si>
    <t>22-12-2021 00:00:00</t>
  </si>
  <si>
    <t>31284150</t>
  </si>
  <si>
    <t>"ОС" Манычская" - филиал ФГБНУ "АНЦ" Донской"</t>
  </si>
  <si>
    <t>6111004668</t>
  </si>
  <si>
    <t>611143002</t>
  </si>
  <si>
    <t>01-12-2022 00:00:00</t>
  </si>
  <si>
    <t>26374555</t>
  </si>
  <si>
    <t>"ОС" Манычская"- филиал ФГБНУ "АНЦ" Донской"</t>
  </si>
  <si>
    <t>6111000110</t>
  </si>
  <si>
    <t>26438289</t>
  </si>
  <si>
    <t>АО "Ростовводоканал"</t>
  </si>
  <si>
    <t>6167081833</t>
  </si>
  <si>
    <t>26374530</t>
  </si>
  <si>
    <t>Верхнедонское МП ПУЖКХ</t>
  </si>
  <si>
    <t>6105002888</t>
  </si>
  <si>
    <t>610501001</t>
  </si>
  <si>
    <t>28144792</t>
  </si>
  <si>
    <t>ГУП РО "УРСВ"</t>
  </si>
  <si>
    <t>6167110467</t>
  </si>
  <si>
    <t>15-02-2013 00:00:00</t>
  </si>
  <si>
    <t>26454357</t>
  </si>
  <si>
    <t>Государственное учреждение Ростовской области "Управление эксплуатации групповых водопроводов"</t>
  </si>
  <si>
    <t>6126000024</t>
  </si>
  <si>
    <t>08-06-2021 00:00:00</t>
  </si>
  <si>
    <t>31005255</t>
  </si>
  <si>
    <t>ЗАО "АБВК-Эко"</t>
  </si>
  <si>
    <t>6167123547</t>
  </si>
  <si>
    <t>01-02-2017 00:00:00</t>
  </si>
  <si>
    <t>26767154</t>
  </si>
  <si>
    <t>ЗАО "Агрофирма "Новый Путь"</t>
  </si>
  <si>
    <t>6123009879</t>
  </si>
  <si>
    <t>26551225</t>
  </si>
  <si>
    <t>ЗАО "Кировский конный завод"</t>
  </si>
  <si>
    <t>6136006177</t>
  </si>
  <si>
    <t>14-01-2014 00:00:00</t>
  </si>
  <si>
    <t>26374664</t>
  </si>
  <si>
    <t>ЗАО "Родина"</t>
  </si>
  <si>
    <t>6136001179</t>
  </si>
  <si>
    <t>20-01-2014 00:00:00</t>
  </si>
  <si>
    <t>28828882</t>
  </si>
  <si>
    <t>ИП Смольников В.М.</t>
  </si>
  <si>
    <t>610700732500</t>
  </si>
  <si>
    <t>26374594</t>
  </si>
  <si>
    <t>Куйбышевское МУП "Водоканал"</t>
  </si>
  <si>
    <t>6117010266</t>
  </si>
  <si>
    <t>02-01-2017 00:00:00</t>
  </si>
  <si>
    <t>31695621</t>
  </si>
  <si>
    <t>МКУ ЗР "Управление архитектуры, строительства и муниципального хозяйства"</t>
  </si>
  <si>
    <t>6111013528</t>
  </si>
  <si>
    <t>14-04-2023 00:00:00</t>
  </si>
  <si>
    <t>30905244</t>
  </si>
  <si>
    <t>МП "Кашарский ЖКС"</t>
  </si>
  <si>
    <t>6115000696</t>
  </si>
  <si>
    <t>611501001</t>
  </si>
  <si>
    <t>31456023</t>
  </si>
  <si>
    <t>МУП  "ВОДОКАНАЛ Миллерово"</t>
  </si>
  <si>
    <t>6149020443</t>
  </si>
  <si>
    <t>31038703</t>
  </si>
  <si>
    <t>МУП "АТП"</t>
  </si>
  <si>
    <t>6120003773</t>
  </si>
  <si>
    <t>612001001</t>
  </si>
  <si>
    <t>26453074</t>
  </si>
  <si>
    <t>МУП "Верхнесоленовское ЖКХ"</t>
  </si>
  <si>
    <t>6106004969</t>
  </si>
  <si>
    <t>26374590</t>
  </si>
  <si>
    <t>МУП "Водник"</t>
  </si>
  <si>
    <t>6116008240</t>
  </si>
  <si>
    <t>31005161</t>
  </si>
  <si>
    <t>МУП "Водоканал Неклиновского района"</t>
  </si>
  <si>
    <t>6123024161</t>
  </si>
  <si>
    <t>15-11-2017 00:00:00</t>
  </si>
  <si>
    <t>26454290</t>
  </si>
  <si>
    <t>МУП "Водоканал"</t>
  </si>
  <si>
    <t>6149001602</t>
  </si>
  <si>
    <t>20-02-2021 00:00:00</t>
  </si>
  <si>
    <t>30912745</t>
  </si>
  <si>
    <t>6117009648</t>
  </si>
  <si>
    <t>12-01-2017 00:00:00</t>
  </si>
  <si>
    <t>30839662</t>
  </si>
  <si>
    <t>6119007974</t>
  </si>
  <si>
    <t>26456900</t>
  </si>
  <si>
    <t>6143049157</t>
  </si>
  <si>
    <t>614301010</t>
  </si>
  <si>
    <t>26545799</t>
  </si>
  <si>
    <t>МУП "Вознесенское ЖКХ"</t>
  </si>
  <si>
    <t>6121995626</t>
  </si>
  <si>
    <t>27-06-2023 00:00:00</t>
  </si>
  <si>
    <t>26545807</t>
  </si>
  <si>
    <t>МУП "Вольно-Донское ЖКХ"</t>
  </si>
  <si>
    <t>6121995680</t>
  </si>
  <si>
    <t>01-09-2020 00:00:00</t>
  </si>
  <si>
    <t>26545801</t>
  </si>
  <si>
    <t>МУП "Гагаринское ЖКХ"</t>
  </si>
  <si>
    <t>6121995672</t>
  </si>
  <si>
    <t>30-09-2020 00:00:00</t>
  </si>
  <si>
    <t>26381004</t>
  </si>
  <si>
    <t>МУП "Горводоканал"</t>
  </si>
  <si>
    <t>6150031979</t>
  </si>
  <si>
    <t>26545803</t>
  </si>
  <si>
    <t>МУП "Знаменское ЖКХ"</t>
  </si>
  <si>
    <t>6121007749</t>
  </si>
  <si>
    <t>02-10-2020 00:00:00</t>
  </si>
  <si>
    <t>26374591</t>
  </si>
  <si>
    <t>МУП "ИСТОК" Николаевское сельское поселение</t>
  </si>
  <si>
    <t>6116009437</t>
  </si>
  <si>
    <t>26374541</t>
  </si>
  <si>
    <t>МУП "Ива"</t>
  </si>
  <si>
    <t>6109011361</t>
  </si>
  <si>
    <t>13-12-2019 00:00:00</t>
  </si>
  <si>
    <t>31218600</t>
  </si>
  <si>
    <t>МУП "Исток"</t>
  </si>
  <si>
    <t>6145004225</t>
  </si>
  <si>
    <t>614501001</t>
  </si>
  <si>
    <t>12-10-2018 00:00:00</t>
  </si>
  <si>
    <t>26452172</t>
  </si>
  <si>
    <t>МУП "Исток" Николаевского сельского поселения</t>
  </si>
  <si>
    <t>6128006342</t>
  </si>
  <si>
    <t>31-12-2019 00:00:00</t>
  </si>
  <si>
    <t>26380988</t>
  </si>
  <si>
    <t>МУП "Коммунальщик"</t>
  </si>
  <si>
    <t>6138006126</t>
  </si>
  <si>
    <t>30477334</t>
  </si>
  <si>
    <t>МУП "Коммунальщик-2"</t>
  </si>
  <si>
    <t>6138013518</t>
  </si>
  <si>
    <t>27870048</t>
  </si>
  <si>
    <t>МУП "Краснооктябрьское ЖКХ"</t>
  </si>
  <si>
    <t>6106005095</t>
  </si>
  <si>
    <t>26545813</t>
  </si>
  <si>
    <t>МУП "МПО ЖКХ Миллеровского района"</t>
  </si>
  <si>
    <t>6149000694</t>
  </si>
  <si>
    <t>31005081</t>
  </si>
  <si>
    <t>МУП "Мясниковское ВКХ"</t>
  </si>
  <si>
    <t>6122018937</t>
  </si>
  <si>
    <t>03-04-2017 00:00:00</t>
  </si>
  <si>
    <t>26374622</t>
  </si>
  <si>
    <t>МУП "Надежда"</t>
  </si>
  <si>
    <t>6128005290</t>
  </si>
  <si>
    <t>26545811</t>
  </si>
  <si>
    <t>МУП "Парамоновское ЖКХ"</t>
  </si>
  <si>
    <t>6121995545</t>
  </si>
  <si>
    <t>14-10-2021 00:00:00</t>
  </si>
  <si>
    <t>26374536</t>
  </si>
  <si>
    <t>МУП "Родничок"</t>
  </si>
  <si>
    <t>6109011185</t>
  </si>
  <si>
    <t>21-12-2017 00:00:00</t>
  </si>
  <si>
    <t>26452176</t>
  </si>
  <si>
    <t>6128009093</t>
  </si>
  <si>
    <t>31229221</t>
  </si>
  <si>
    <t>МУП "Транс-Сервис"</t>
  </si>
  <si>
    <t>6124003069</t>
  </si>
  <si>
    <t>16-11-2018 00:00:00</t>
  </si>
  <si>
    <t>31420378</t>
  </si>
  <si>
    <t>МУП "УВКХ Морозовского района"</t>
  </si>
  <si>
    <t>6121000013</t>
  </si>
  <si>
    <t>01-01-2020 00:00:00</t>
  </si>
  <si>
    <t>26453218</t>
  </si>
  <si>
    <t>МУП "Фоминское ПЖКХ"</t>
  </si>
  <si>
    <t>6110004658</t>
  </si>
  <si>
    <t>11-01-2014 00:00:00</t>
  </si>
  <si>
    <t>26545805</t>
  </si>
  <si>
    <t>МУП "Широко-Атамановское ЖКХ"</t>
  </si>
  <si>
    <t>6121995552</t>
  </si>
  <si>
    <t>21-12-2022 00:00:00</t>
  </si>
  <si>
    <t>30378150</t>
  </si>
  <si>
    <t>МУП «Пролетарский водоканал»</t>
  </si>
  <si>
    <t>6128009505</t>
  </si>
  <si>
    <t>26374639</t>
  </si>
  <si>
    <t>МУП ЖКХ "Гранит"</t>
  </si>
  <si>
    <t>6132010817</t>
  </si>
  <si>
    <t>26636921</t>
  </si>
  <si>
    <t>МУП ЖКХ "Надежда"</t>
  </si>
  <si>
    <t>6132011289</t>
  </si>
  <si>
    <t>26-08-2009 00:00:00</t>
  </si>
  <si>
    <t>27673858</t>
  </si>
  <si>
    <t>МУП ЖКХ "Станица"</t>
  </si>
  <si>
    <t>6134011774</t>
  </si>
  <si>
    <t>17-10-2011 00:00:00</t>
  </si>
  <si>
    <t>26374640</t>
  </si>
  <si>
    <t>МУП ЖКХ "Тарасовское"</t>
  </si>
  <si>
    <t>6133000280</t>
  </si>
  <si>
    <t>26458646</t>
  </si>
  <si>
    <t>МУП ЖКХ Кагальницкого сельского поселения</t>
  </si>
  <si>
    <t>6113014830</t>
  </si>
  <si>
    <t>26637044</t>
  </si>
  <si>
    <t>МУП ЖКХ"Мартыновское" Мартыновского района</t>
  </si>
  <si>
    <t>6118011304</t>
  </si>
  <si>
    <t>611801001</t>
  </si>
  <si>
    <t>03-12-2007 00:00:00</t>
  </si>
  <si>
    <t>26374550</t>
  </si>
  <si>
    <t>МУП Заветинское ПЖКХ</t>
  </si>
  <si>
    <t>6110002379</t>
  </si>
  <si>
    <t>26455241</t>
  </si>
  <si>
    <t>МУП Зерноградского городского поселения "Зерноградское ПП ЖКХ"</t>
  </si>
  <si>
    <t>6111007517</t>
  </si>
  <si>
    <t>11-10-2017 00:00:00</t>
  </si>
  <si>
    <t>26455309</t>
  </si>
  <si>
    <t>МУП КХ "Кристалл"</t>
  </si>
  <si>
    <t>6132010581</t>
  </si>
  <si>
    <t>26374559</t>
  </si>
  <si>
    <t>МУП Мечетинского сельского поселения "Мечетинское ПП ЖКХ"</t>
  </si>
  <si>
    <t>6111007524</t>
  </si>
  <si>
    <t>26374632</t>
  </si>
  <si>
    <t>МУП Родионово-Несветайского района "Водоканал"</t>
  </si>
  <si>
    <t>6130003821</t>
  </si>
  <si>
    <t>26374633</t>
  </si>
  <si>
    <t>МУП СР РО "Коммунальщик"</t>
  </si>
  <si>
    <t>6131001104</t>
  </si>
  <si>
    <t>613101001</t>
  </si>
  <si>
    <t>26453213</t>
  </si>
  <si>
    <t>МУПП "Никольское ЖКХ"</t>
  </si>
  <si>
    <t>6110004672</t>
  </si>
  <si>
    <t>26374553</t>
  </si>
  <si>
    <t>МУПП "Родник" Савдянского сельского поселения</t>
  </si>
  <si>
    <t>6110004400</t>
  </si>
  <si>
    <t>26374636</t>
  </si>
  <si>
    <t>Муниципальное унитарное предприятие "Водоканал"</t>
  </si>
  <si>
    <t>6132010260</t>
  </si>
  <si>
    <t>26544099</t>
  </si>
  <si>
    <t>Муниципальное унитарное предприятие "Отрог"</t>
  </si>
  <si>
    <t>6139008422</t>
  </si>
  <si>
    <t>26380958</t>
  </si>
  <si>
    <t>ОАО "Аксайская ПМК РСВС"</t>
  </si>
  <si>
    <t>6102007550</t>
  </si>
  <si>
    <t>26458325</t>
  </si>
  <si>
    <t>ОАО "Алмаз"</t>
  </si>
  <si>
    <t>6166055693</t>
  </si>
  <si>
    <t>26526775</t>
  </si>
  <si>
    <t>ОАО "Аэропорт Ростов-НА-Дону"</t>
  </si>
  <si>
    <t>6166011054</t>
  </si>
  <si>
    <t>26374616</t>
  </si>
  <si>
    <t>ОАО "ВКХ"</t>
  </si>
  <si>
    <t>6126102058</t>
  </si>
  <si>
    <t>14-11-2011 00:00:00</t>
  </si>
  <si>
    <t>26381010</t>
  </si>
  <si>
    <t>ОАО "Водоканал"</t>
  </si>
  <si>
    <t>6153023510</t>
  </si>
  <si>
    <t>25-08-2022 00:00:00</t>
  </si>
  <si>
    <t>26374693</t>
  </si>
  <si>
    <t>ОАО "Исток"</t>
  </si>
  <si>
    <t>6145010490</t>
  </si>
  <si>
    <t>22-11-2010 00:00:00</t>
  </si>
  <si>
    <t>26380997</t>
  </si>
  <si>
    <t>6147005538</t>
  </si>
  <si>
    <t>26374719</t>
  </si>
  <si>
    <t>ООО  "Родник"</t>
  </si>
  <si>
    <t>6153024850</t>
  </si>
  <si>
    <t>31465779</t>
  </si>
  <si>
    <t>ООО "Алексеево"</t>
  </si>
  <si>
    <t>6163129273</t>
  </si>
  <si>
    <t>01-01-2021 00:00:00</t>
  </si>
  <si>
    <t>30437005</t>
  </si>
  <si>
    <t>ООО "ВКХ"</t>
  </si>
  <si>
    <t>6134012150</t>
  </si>
  <si>
    <t>28967625</t>
  </si>
  <si>
    <t>ООО "Вектор"</t>
  </si>
  <si>
    <t>6134012305</t>
  </si>
  <si>
    <t>26374614</t>
  </si>
  <si>
    <t>ООО "Вода и стоки"</t>
  </si>
  <si>
    <t>6125021991</t>
  </si>
  <si>
    <t>30797854</t>
  </si>
  <si>
    <t>ООО "ВодоводК"</t>
  </si>
  <si>
    <t>6148001504</t>
  </si>
  <si>
    <t>31469223</t>
  </si>
  <si>
    <t>ООО "Водоканал"</t>
  </si>
  <si>
    <t>6147041222</t>
  </si>
  <si>
    <t>27-07-2020 00:00:00</t>
  </si>
  <si>
    <t>26374527</t>
  </si>
  <si>
    <t>ООО "Водоканал" (Багаевское с. п.)</t>
  </si>
  <si>
    <t>6103600191</t>
  </si>
  <si>
    <t>28791610</t>
  </si>
  <si>
    <t>ООО "Водолей"</t>
  </si>
  <si>
    <t>6136008985</t>
  </si>
  <si>
    <t>26826815</t>
  </si>
  <si>
    <t>ООО "Газпром трансгаз-Краснодар"</t>
  </si>
  <si>
    <t>2308128945</t>
  </si>
  <si>
    <t>610202001</t>
  </si>
  <si>
    <t>27756667</t>
  </si>
  <si>
    <t>ООО "Донская региональная компания"</t>
  </si>
  <si>
    <t>6168055811</t>
  </si>
  <si>
    <t>29-07-2011 00:00:00</t>
  </si>
  <si>
    <t>26636978</t>
  </si>
  <si>
    <t>ООО "ЖРС"</t>
  </si>
  <si>
    <t>6143059268</t>
  </si>
  <si>
    <t>21-07-2005 00:00:00</t>
  </si>
  <si>
    <t>02-01-2014 00:00:00</t>
  </si>
  <si>
    <t>26636976</t>
  </si>
  <si>
    <t>ООО "Жилремстрой+"</t>
  </si>
  <si>
    <t>6143060721</t>
  </si>
  <si>
    <t>20-04-2010 00:00:00</t>
  </si>
  <si>
    <t>28817820</t>
  </si>
  <si>
    <t>ООО "КЭСК"</t>
  </si>
  <si>
    <t>2308101615</t>
  </si>
  <si>
    <t>231101001</t>
  </si>
  <si>
    <t>31354129</t>
  </si>
  <si>
    <t>ООО "Каменский водоканал"</t>
  </si>
  <si>
    <t>6147040469</t>
  </si>
  <si>
    <t>11-11-2019 00:00:00</t>
  </si>
  <si>
    <t>31151913</t>
  </si>
  <si>
    <t>ООО "Консалтинг Профи"</t>
  </si>
  <si>
    <t>6167130745</t>
  </si>
  <si>
    <t>15-06-2018 00:00:00</t>
  </si>
  <si>
    <t>26458525</t>
  </si>
  <si>
    <t>ООО "Краснодонское ЖКХ"</t>
  </si>
  <si>
    <t>6107008275</t>
  </si>
  <si>
    <t>30-01-2019 00:00:00</t>
  </si>
  <si>
    <t>26636974</t>
  </si>
  <si>
    <t>ООО "Милана"</t>
  </si>
  <si>
    <t>6143058948</t>
  </si>
  <si>
    <t>14-06-2005 00:00:00</t>
  </si>
  <si>
    <t>25-01-2014 00:00:00</t>
  </si>
  <si>
    <t>31497122</t>
  </si>
  <si>
    <t>ООО "Нептун"</t>
  </si>
  <si>
    <t>6168105741</t>
  </si>
  <si>
    <t>20-04-2021 00:00:00</t>
  </si>
  <si>
    <t>28221457</t>
  </si>
  <si>
    <t>6139004185</t>
  </si>
  <si>
    <t>26458515</t>
  </si>
  <si>
    <t>ООО "Потаповская ЖЭУ"</t>
  </si>
  <si>
    <t>6107007909</t>
  </si>
  <si>
    <t>26636960</t>
  </si>
  <si>
    <t>ООО "РЭК"</t>
  </si>
  <si>
    <t>6143058955</t>
  </si>
  <si>
    <t>01-11-2014 00:00:00</t>
  </si>
  <si>
    <t>26374696</t>
  </si>
  <si>
    <t>ООО "Районная коммунальная служба"</t>
  </si>
  <si>
    <t>6148557154</t>
  </si>
  <si>
    <t>16-09-2015 00:00:00</t>
  </si>
  <si>
    <t>26543721</t>
  </si>
  <si>
    <t>ООО "Родник коммунальный"</t>
  </si>
  <si>
    <t>6107008839</t>
  </si>
  <si>
    <t>19-02-2018 00:00:00</t>
  </si>
  <si>
    <t>26456680</t>
  </si>
  <si>
    <t>ООО "Родник"</t>
  </si>
  <si>
    <t>6139008214</t>
  </si>
  <si>
    <t>30388064</t>
  </si>
  <si>
    <t>6136016094</t>
  </si>
  <si>
    <t>23-05-2022 00:00:00</t>
  </si>
  <si>
    <t>28536403</t>
  </si>
  <si>
    <t>ООО "СВ"</t>
  </si>
  <si>
    <t>6102060024</t>
  </si>
  <si>
    <t>31623555</t>
  </si>
  <si>
    <t>ООО "Сальский Водоканал"</t>
  </si>
  <si>
    <t>6153009185</t>
  </si>
  <si>
    <t>23-08-2022 00:00:00</t>
  </si>
  <si>
    <t>26370639</t>
  </si>
  <si>
    <t>ООО "Содружество"</t>
  </si>
  <si>
    <t>6138004552</t>
  </si>
  <si>
    <t>24-12-2019 00:00:00</t>
  </si>
  <si>
    <t>27746269</t>
  </si>
  <si>
    <t>ООО "Технология"</t>
  </si>
  <si>
    <t>3433008206</t>
  </si>
  <si>
    <t>612145001</t>
  </si>
  <si>
    <t>26636964</t>
  </si>
  <si>
    <t>ООО "Чайка"</t>
  </si>
  <si>
    <t>6143059317</t>
  </si>
  <si>
    <t>29-01-2010 00:00:00</t>
  </si>
  <si>
    <t>23-01-2014 00:00:00</t>
  </si>
  <si>
    <t>26636962</t>
  </si>
  <si>
    <t>ООО "Чайка-Дон"</t>
  </si>
  <si>
    <t>6143059300</t>
  </si>
  <si>
    <t>05-01-2014 00:00:00</t>
  </si>
  <si>
    <t>28817750</t>
  </si>
  <si>
    <t>ООО "Юг Руси - Золотая семечка"</t>
  </si>
  <si>
    <t>6162030264</t>
  </si>
  <si>
    <t>30795438</t>
  </si>
  <si>
    <t>ООО "ЯДРО"</t>
  </si>
  <si>
    <t>6125031421</t>
  </si>
  <si>
    <t>26636709</t>
  </si>
  <si>
    <t>ООО Агртехсервис "Краснодесантское"</t>
  </si>
  <si>
    <t>6123001291</t>
  </si>
  <si>
    <t>29-10-2002 00:00:00</t>
  </si>
  <si>
    <t>26453314</t>
  </si>
  <si>
    <t>ООО ПКП ЖКХ "Стройсервис"</t>
  </si>
  <si>
    <t>6111982716</t>
  </si>
  <si>
    <t>30858712</t>
  </si>
  <si>
    <t>ООО УК "НИП"</t>
  </si>
  <si>
    <t>6150079096</t>
  </si>
  <si>
    <t>31465764</t>
  </si>
  <si>
    <t>Общество с ограниченной ответственностью «Экологические технологии»</t>
  </si>
  <si>
    <t>9701103804</t>
  </si>
  <si>
    <t>30427450</t>
  </si>
  <si>
    <t>ПАО "ТАГМЕТ"</t>
  </si>
  <si>
    <t>6154011797</t>
  </si>
  <si>
    <t>26374716</t>
  </si>
  <si>
    <t>ПК "Родник"</t>
  </si>
  <si>
    <t>6153022732</t>
  </si>
  <si>
    <t>26374713</t>
  </si>
  <si>
    <t>СПК (СА) "Нива"</t>
  </si>
  <si>
    <t>6153016753</t>
  </si>
  <si>
    <t>29-11-2021 00:00:00</t>
  </si>
  <si>
    <t>26374601</t>
  </si>
  <si>
    <t>СПК (колхоз) Колос"</t>
  </si>
  <si>
    <t>6119002743</t>
  </si>
  <si>
    <t>26374571</t>
  </si>
  <si>
    <t>СПК А/Ф "Кировская"</t>
  </si>
  <si>
    <t>6113000387</t>
  </si>
  <si>
    <t>26767157</t>
  </si>
  <si>
    <t>СПК колхоз "Прогресс"</t>
  </si>
  <si>
    <t>6123001100</t>
  </si>
  <si>
    <t>26452243</t>
  </si>
  <si>
    <t>УМП "Приморский водопровод"</t>
  </si>
  <si>
    <t>6101000150</t>
  </si>
  <si>
    <t>26380962</t>
  </si>
  <si>
    <t>ФГБНУ "АНЦ "Донской"</t>
  </si>
  <si>
    <t>31-10-2019 00:00:00</t>
  </si>
  <si>
    <t>26830699</t>
  </si>
  <si>
    <t>Филиал "Ростовский" ОАО "Славянка"</t>
  </si>
  <si>
    <t>7702707386</t>
  </si>
  <si>
    <t>616743001</t>
  </si>
  <si>
    <t>20-05-2011 00:00:00</t>
  </si>
  <si>
    <t>28857555</t>
  </si>
  <si>
    <t>АО "АБВК эко"</t>
  </si>
  <si>
    <t>6167146110</t>
  </si>
  <si>
    <t>28859417</t>
  </si>
  <si>
    <t>ГБУ РО "Дезинфекционная станция"</t>
  </si>
  <si>
    <t>6165034355</t>
  </si>
  <si>
    <t>31695613</t>
  </si>
  <si>
    <t>МП "БЛАГОУСТРОИТЕЛЬ"</t>
  </si>
  <si>
    <t>6125025481</t>
  </si>
  <si>
    <t>19-09-2023 00:00:00</t>
  </si>
  <si>
    <t>26381014</t>
  </si>
  <si>
    <t>МУП города Шахты "Промстоки"</t>
  </si>
  <si>
    <t>6155048567</t>
  </si>
  <si>
    <t>01-05-2009 00:00:00</t>
  </si>
  <si>
    <t>26454355</t>
  </si>
  <si>
    <t>ОАО "КХ"</t>
  </si>
  <si>
    <t>6126102033</t>
  </si>
  <si>
    <t>03-11-2011 00:00:00</t>
  </si>
  <si>
    <t>26381016</t>
  </si>
  <si>
    <t>ОАО Водный холдинг  "Дон ВК Юг"</t>
  </si>
  <si>
    <t>6167096597</t>
  </si>
  <si>
    <t>01-10-2009 00:00:00</t>
  </si>
  <si>
    <t>26776286</t>
  </si>
  <si>
    <t>ООО "Азов ВКС ЮГ"</t>
  </si>
  <si>
    <t>6140030687</t>
  </si>
  <si>
    <t>30904343</t>
  </si>
  <si>
    <t>ООО "Виса"</t>
  </si>
  <si>
    <t>6150091551</t>
  </si>
  <si>
    <t>30905822</t>
  </si>
  <si>
    <t>ООО "Водные ресурсы"</t>
  </si>
  <si>
    <t>6166100113</t>
  </si>
  <si>
    <t>616610011</t>
  </si>
  <si>
    <t>26438374</t>
  </si>
  <si>
    <t>ООО "Очистные сооружения"</t>
  </si>
  <si>
    <t>6155041000</t>
  </si>
  <si>
    <t>31507852</t>
  </si>
  <si>
    <t>ООО "ТеплоЭнерго проекты"</t>
  </si>
  <si>
    <t>9701162366</t>
  </si>
  <si>
    <t>17-05-2021 00:00:00</t>
  </si>
  <si>
    <t>31251543</t>
  </si>
  <si>
    <t>ООО "ЭКОСИСТЕМЫ"</t>
  </si>
  <si>
    <t>6119005688</t>
  </si>
  <si>
    <t>01-09-2019 00:00:00</t>
  </si>
  <si>
    <t>31669614</t>
  </si>
  <si>
    <t>ООО "ЭКОСервис"</t>
  </si>
  <si>
    <t>6150062462</t>
  </si>
  <si>
    <t>01-01-2023 00:00:00</t>
  </si>
  <si>
    <t>27859445</t>
  </si>
  <si>
    <t>АО "Чистый город"</t>
  </si>
  <si>
    <t>6163098547</t>
  </si>
  <si>
    <t>14-08-2019 00:00:00</t>
  </si>
  <si>
    <t>31702527</t>
  </si>
  <si>
    <t>ИП Берковцев Виктор Викторович</t>
  </si>
  <si>
    <t>610900024977</t>
  </si>
  <si>
    <t>31703040</t>
  </si>
  <si>
    <t>ИП Мандрыкина Татьяна Филипповна</t>
  </si>
  <si>
    <t>615303659387</t>
  </si>
  <si>
    <t>31704213</t>
  </si>
  <si>
    <t>ИП Федорова</t>
  </si>
  <si>
    <t>612505545940</t>
  </si>
  <si>
    <t>31702980</t>
  </si>
  <si>
    <t>ИП Ченокал Елена Сергеевна</t>
  </si>
  <si>
    <t>612803001495</t>
  </si>
  <si>
    <t>31708647</t>
  </si>
  <si>
    <t>МУП "КОММУНАЛЬЩИК"</t>
  </si>
  <si>
    <t>6147024347</t>
  </si>
  <si>
    <t>26382599</t>
  </si>
  <si>
    <t>МУП "Коммунальное хозяйство"</t>
  </si>
  <si>
    <t>6146005020</t>
  </si>
  <si>
    <t>614601001</t>
  </si>
  <si>
    <t>26822428</t>
  </si>
  <si>
    <t>МУП "Полигон"</t>
  </si>
  <si>
    <t>6119000986</t>
  </si>
  <si>
    <t>28-10-2010 00:00:00</t>
  </si>
  <si>
    <t>27044728</t>
  </si>
  <si>
    <t>МУП "Спецавтохозяйство"</t>
  </si>
  <si>
    <t>6144000570</t>
  </si>
  <si>
    <t>614401001</t>
  </si>
  <si>
    <t>30-09-2002 00:00:00</t>
  </si>
  <si>
    <t>26382585</t>
  </si>
  <si>
    <t>МУП "Чистый город"</t>
  </si>
  <si>
    <t>6128004585</t>
  </si>
  <si>
    <t>31704132</t>
  </si>
  <si>
    <t>МУП г.Шахты "Благоустройство"</t>
  </si>
  <si>
    <t>6155062184</t>
  </si>
  <si>
    <t>26455222</t>
  </si>
  <si>
    <t>Муниципальное унитарное предприятие Жилищно-коммунального хозяйства Мартыновского сельского поселения Мартыновского района</t>
  </si>
  <si>
    <t>6118000334</t>
  </si>
  <si>
    <t>31702817</t>
  </si>
  <si>
    <t>ОАО "ЧИСТЫЙ ГОРОД"</t>
  </si>
  <si>
    <t>6111012926</t>
  </si>
  <si>
    <t>26382605</t>
  </si>
  <si>
    <t>ОАО "Чистый город"</t>
  </si>
  <si>
    <t>6153023905</t>
  </si>
  <si>
    <t>29-10-2018 00:00:00</t>
  </si>
  <si>
    <t>31702358</t>
  </si>
  <si>
    <t>ОБЩЕСТВО С ОГРАНИЧЕННОЙ ОТВЕТСТВЕННОСТЬЮ "РЕГИОНАЛЬНАЯ ТРАНСПОРТНАЯ КОМПАНИЯ"</t>
  </si>
  <si>
    <t>3444186480</t>
  </si>
  <si>
    <t>31704456</t>
  </si>
  <si>
    <t>ОВЧИННИКОВ АЛЕКСАНДР ИГОРЕВИЧ</t>
  </si>
  <si>
    <t>614589317243</t>
  </si>
  <si>
    <t>31704537</t>
  </si>
  <si>
    <t>ООО "Автоспецтранс"</t>
  </si>
  <si>
    <t>6142022770</t>
  </si>
  <si>
    <t>26382594</t>
  </si>
  <si>
    <t>ООО "Алмаз"</t>
  </si>
  <si>
    <t>6142019551</t>
  </si>
  <si>
    <t>31212122</t>
  </si>
  <si>
    <t>ООО "ГК "Чистый город"</t>
  </si>
  <si>
    <t>3435085647</t>
  </si>
  <si>
    <t>26382600</t>
  </si>
  <si>
    <t>ООО "Комбинат коммунальных предприятий"</t>
  </si>
  <si>
    <t>6147005351</t>
  </si>
  <si>
    <t>31704618</t>
  </si>
  <si>
    <t>ООО "Коммунальщик"</t>
  </si>
  <si>
    <t>6148251303</t>
  </si>
  <si>
    <t>31704051</t>
  </si>
  <si>
    <t>ООО "Макро"</t>
  </si>
  <si>
    <t>6151012150</t>
  </si>
  <si>
    <t>31704294</t>
  </si>
  <si>
    <t>ООО "Мастер-Сервис"</t>
  </si>
  <si>
    <t>6147037498</t>
  </si>
  <si>
    <t>31703406</t>
  </si>
  <si>
    <t>ООО "МегаСервис"</t>
  </si>
  <si>
    <t>6145010772</t>
  </si>
  <si>
    <t>26761116</t>
  </si>
  <si>
    <t>ООО "Полигон"</t>
  </si>
  <si>
    <t>6145010204</t>
  </si>
  <si>
    <t>31065004</t>
  </si>
  <si>
    <t>ООО "Полигон-Аксай"</t>
  </si>
  <si>
    <t>6102067887</t>
  </si>
  <si>
    <t>31690157</t>
  </si>
  <si>
    <t>ООО "Региональная транспортная компания"</t>
  </si>
  <si>
    <t>770501001</t>
  </si>
  <si>
    <t>02-06-2011 00:00:00</t>
  </si>
  <si>
    <t>26382596</t>
  </si>
  <si>
    <t>ООО "Спецавтотранс"</t>
  </si>
  <si>
    <t>6143057486</t>
  </si>
  <si>
    <t>11-08-2022 00:00:00</t>
  </si>
  <si>
    <t>31703810</t>
  </si>
  <si>
    <t>ООО "Спецавтохозяйство"</t>
  </si>
  <si>
    <t>6144020778</t>
  </si>
  <si>
    <t>31703245</t>
  </si>
  <si>
    <t>ООО "Стройбытсервис"</t>
  </si>
  <si>
    <t>6146005359</t>
  </si>
  <si>
    <t>31704375</t>
  </si>
  <si>
    <t>ООО "ТРАНСТРОЙСЕРВИС"</t>
  </si>
  <si>
    <t>6155074454</t>
  </si>
  <si>
    <t>26545114</t>
  </si>
  <si>
    <t>ООО "Топливно-энергетическая компания"</t>
  </si>
  <si>
    <t>6101038273</t>
  </si>
  <si>
    <t>27992837</t>
  </si>
  <si>
    <t>ООО "Чистота"</t>
  </si>
  <si>
    <t>6135007971</t>
  </si>
  <si>
    <t>31382311</t>
  </si>
  <si>
    <t>ООО "Чистый Мир"</t>
  </si>
  <si>
    <t>6165215087</t>
  </si>
  <si>
    <t>20-08-2018 00:00:00</t>
  </si>
  <si>
    <t>31703326</t>
  </si>
  <si>
    <t>ООО "Чистый город"</t>
  </si>
  <si>
    <t>6145007064</t>
  </si>
  <si>
    <t>31204500</t>
  </si>
  <si>
    <t>6153006219</t>
  </si>
  <si>
    <t>14-12-2017 00:00:00</t>
  </si>
  <si>
    <t>31702868</t>
  </si>
  <si>
    <t>ООО "ЭКО-МИР"</t>
  </si>
  <si>
    <t>6153007163</t>
  </si>
  <si>
    <t>27553065</t>
  </si>
  <si>
    <t>ООО "ЭКОГРАД"</t>
  </si>
  <si>
    <t>6150067982</t>
  </si>
  <si>
    <t>19-10-2011 00:00:00</t>
  </si>
  <si>
    <t>31180803</t>
  </si>
  <si>
    <t>ООО "ЭКОГРАД-Н"</t>
  </si>
  <si>
    <t>6150074556</t>
  </si>
  <si>
    <t>31703891</t>
  </si>
  <si>
    <t>ООО "Эко-Сервис"</t>
  </si>
  <si>
    <t>6155046672</t>
  </si>
  <si>
    <t>30908955</t>
  </si>
  <si>
    <t>ООО "ЭкоЦентр"</t>
  </si>
  <si>
    <t>3444177534</t>
  </si>
  <si>
    <t>31211923</t>
  </si>
  <si>
    <t>ООО "Экосервис"</t>
  </si>
  <si>
    <t>6141047531</t>
  </si>
  <si>
    <t>28795430</t>
  </si>
  <si>
    <t>ООО "Экострой-Дон"</t>
  </si>
  <si>
    <t>6125028860</t>
  </si>
  <si>
    <t>09-03-2010 00:00:00</t>
  </si>
  <si>
    <t>31212002</t>
  </si>
  <si>
    <t>ООО "Экотранс"</t>
  </si>
  <si>
    <t>6623121815</t>
  </si>
  <si>
    <t>31455223</t>
  </si>
  <si>
    <t>ООО "Экотранс-Про"</t>
  </si>
  <si>
    <t>6164130377</t>
  </si>
  <si>
    <t>31702587</t>
  </si>
  <si>
    <t>ООО "ЮГ"</t>
  </si>
  <si>
    <t>6132012268</t>
  </si>
  <si>
    <t>30350089</t>
  </si>
  <si>
    <t>ООО "Южный город"</t>
  </si>
  <si>
    <t>6162050599</t>
  </si>
  <si>
    <t>31701905</t>
  </si>
  <si>
    <t>ООО «Аксай-ЭкоГрад»</t>
  </si>
  <si>
    <t>6102065174</t>
  </si>
  <si>
    <t>31701941</t>
  </si>
  <si>
    <t>ООО «М-Стандарт-Юг»</t>
  </si>
  <si>
    <t>6102061691</t>
  </si>
  <si>
    <t>31701923</t>
  </si>
  <si>
    <t>ООО «РОСТ-ЭКО»</t>
  </si>
  <si>
    <t>6166095270</t>
  </si>
  <si>
    <t>31703496</t>
  </si>
  <si>
    <t>ООО МП "Автомобильный транспорт"</t>
  </si>
  <si>
    <t>6151019043</t>
  </si>
  <si>
    <t>NSRF</t>
  </si>
  <si>
    <t>MR_NAME</t>
  </si>
  <si>
    <t>OKTMO_MR_NAME</t>
  </si>
  <si>
    <t>MO_NAME</t>
  </si>
  <si>
    <t>OKTMO_NAME</t>
  </si>
  <si>
    <t>TYPE</t>
  </si>
  <si>
    <t>MR_ID</t>
  </si>
  <si>
    <t>Азовский район</t>
  </si>
  <si>
    <t>60601000</t>
  </si>
  <si>
    <t>муниципальный район</t>
  </si>
  <si>
    <t>Александровское сельское поселение</t>
  </si>
  <si>
    <t>60601405</t>
  </si>
  <si>
    <t>сельское поселение</t>
  </si>
  <si>
    <t>Елизаветинское сельское поселение</t>
  </si>
  <si>
    <t>60601410</t>
  </si>
  <si>
    <t>Елизаветовское сельское поселение</t>
  </si>
  <si>
    <t>60601420</t>
  </si>
  <si>
    <t>Задонское сельское поселение</t>
  </si>
  <si>
    <t>60601425</t>
  </si>
  <si>
    <t>Кагальницкое сельское поселение</t>
  </si>
  <si>
    <t>60601430</t>
  </si>
  <si>
    <t>Калиновское сельское поселение</t>
  </si>
  <si>
    <t>60601435</t>
  </si>
  <si>
    <t>Красносадовское сельское поселение</t>
  </si>
  <si>
    <t>60601438</t>
  </si>
  <si>
    <t>Круглянское сельское поселение</t>
  </si>
  <si>
    <t>60601440</t>
  </si>
  <si>
    <t>Кугейское сельское поселение</t>
  </si>
  <si>
    <t>60601444</t>
  </si>
  <si>
    <t>Кулешовское сельское поселение</t>
  </si>
  <si>
    <t>60601448</t>
  </si>
  <si>
    <t>Маргаритовское сельское поселение</t>
  </si>
  <si>
    <t>60601452</t>
  </si>
  <si>
    <t>Новоалександровское сельское поселение</t>
  </si>
  <si>
    <t>60601455</t>
  </si>
  <si>
    <t>Обильненское сельское поселение</t>
  </si>
  <si>
    <t>60601458</t>
  </si>
  <si>
    <t>Отрадовское сельское поселение</t>
  </si>
  <si>
    <t>60601460</t>
  </si>
  <si>
    <t>Пешковское сельское поселение</t>
  </si>
  <si>
    <t>60601463</t>
  </si>
  <si>
    <t>Рогожкинское сельское поселение</t>
  </si>
  <si>
    <t>60601472</t>
  </si>
  <si>
    <t>Самарское сельское поселение</t>
  </si>
  <si>
    <t>60601476</t>
  </si>
  <si>
    <t>Семибалковское сельское поселение</t>
  </si>
  <si>
    <t>60601480</t>
  </si>
  <si>
    <t>Аксайский район</t>
  </si>
  <si>
    <t>60602000</t>
  </si>
  <si>
    <t>Аксайское городское поселение</t>
  </si>
  <si>
    <t>60602101</t>
  </si>
  <si>
    <t>городское поселение, в состав которого входит город</t>
  </si>
  <si>
    <t>Большелогское сельское поселение</t>
  </si>
  <si>
    <t>60602405</t>
  </si>
  <si>
    <t>Верхнеподпольненское сельское поселение</t>
  </si>
  <si>
    <t>60602410</t>
  </si>
  <si>
    <t>Грушевское сельское поселение</t>
  </si>
  <si>
    <t>60602415</t>
  </si>
  <si>
    <t>Истоминское сельское поселение</t>
  </si>
  <si>
    <t>60602420</t>
  </si>
  <si>
    <t>Ленинское сельское поселение</t>
  </si>
  <si>
    <t>60602423</t>
  </si>
  <si>
    <t>Мишкинское сельское поселение</t>
  </si>
  <si>
    <t>60602425</t>
  </si>
  <si>
    <t>Ольгинское сельское поселение</t>
  </si>
  <si>
    <t>60602447</t>
  </si>
  <si>
    <t>Рассветовское сельское поселение</t>
  </si>
  <si>
    <t>60602458</t>
  </si>
  <si>
    <t>Старочеркасское сельское поселение</t>
  </si>
  <si>
    <t>60602462</t>
  </si>
  <si>
    <t>Щепкинское сельское поселение</t>
  </si>
  <si>
    <t>60602436</t>
  </si>
  <si>
    <t>Багаевский район</t>
  </si>
  <si>
    <t>60605000</t>
  </si>
  <si>
    <t>Ажиновское сельское поселение</t>
  </si>
  <si>
    <t>60605402</t>
  </si>
  <si>
    <t>Багаевское сельское поселение</t>
  </si>
  <si>
    <t>60605405</t>
  </si>
  <si>
    <t>Елкинское сельское поселение</t>
  </si>
  <si>
    <t>60605415</t>
  </si>
  <si>
    <t>Красненское сельское поселение</t>
  </si>
  <si>
    <t>60605420</t>
  </si>
  <si>
    <t>Манычское сельское поселение</t>
  </si>
  <si>
    <t>60605440</t>
  </si>
  <si>
    <t>Белокалитвинский район</t>
  </si>
  <si>
    <t>60606000</t>
  </si>
  <si>
    <t>Белокалитвинское городское поселение</t>
  </si>
  <si>
    <t>60606101</t>
  </si>
  <si>
    <t>Богураевское сельское поселение</t>
  </si>
  <si>
    <t>60606410</t>
  </si>
  <si>
    <t>Горняцкое сельское поселение</t>
  </si>
  <si>
    <t>60606417</t>
  </si>
  <si>
    <t>Грушево-Дубовское сельское поселение</t>
  </si>
  <si>
    <t>60606420</t>
  </si>
  <si>
    <t>Ильинское сельское поселение</t>
  </si>
  <si>
    <t>60606430</t>
  </si>
  <si>
    <t>Коксовское сельское поселение</t>
  </si>
  <si>
    <t>60606433</t>
  </si>
  <si>
    <t>Краснодонецкое сельское поселение</t>
  </si>
  <si>
    <t>60606435</t>
  </si>
  <si>
    <t>Литвиновское сельское поселение</t>
  </si>
  <si>
    <t>60606445</t>
  </si>
  <si>
    <t>Нижнепоповское сельское поселение</t>
  </si>
  <si>
    <t>60606450</t>
  </si>
  <si>
    <t>Рудаковское сельское поселение</t>
  </si>
  <si>
    <t>60606440</t>
  </si>
  <si>
    <t>Синегорское сельское поселение</t>
  </si>
  <si>
    <t>60606459</t>
  </si>
  <si>
    <t>Шолоховское городское поселение</t>
  </si>
  <si>
    <t>60606102</t>
  </si>
  <si>
    <t>Боковский район</t>
  </si>
  <si>
    <t>60607000</t>
  </si>
  <si>
    <t>Боковское сельское поселение</t>
  </si>
  <si>
    <t>60607411</t>
  </si>
  <si>
    <t>Верхнечирское сельское поселение</t>
  </si>
  <si>
    <t>60607422</t>
  </si>
  <si>
    <t>Грачевское сельское поселение</t>
  </si>
  <si>
    <t>60607433</t>
  </si>
  <si>
    <t>Земцовское сельское поселение</t>
  </si>
  <si>
    <t>60607455</t>
  </si>
  <si>
    <t>Каргинское сельское поселение</t>
  </si>
  <si>
    <t>60607444</t>
  </si>
  <si>
    <t>Краснозоринское сельское поселение</t>
  </si>
  <si>
    <t>60607448</t>
  </si>
  <si>
    <t>Краснокутское сельское поселение</t>
  </si>
  <si>
    <t>60607450</t>
  </si>
  <si>
    <t>Верхнедонской район</t>
  </si>
  <si>
    <t>60608000</t>
  </si>
  <si>
    <t>Верхняковское сельское поселение</t>
  </si>
  <si>
    <t>60608405</t>
  </si>
  <si>
    <t>60</t>
  </si>
  <si>
    <t>Казанское сельское поселение</t>
  </si>
  <si>
    <t>60608412</t>
  </si>
  <si>
    <t>61</t>
  </si>
  <si>
    <t>Казансколопатинское сельское поселение</t>
  </si>
  <si>
    <t>60608413</t>
  </si>
  <si>
    <t>62</t>
  </si>
  <si>
    <t>Мешковское сельское поселение</t>
  </si>
  <si>
    <t>60608428</t>
  </si>
  <si>
    <t>63</t>
  </si>
  <si>
    <t>Мещеряковское сельское поселение</t>
  </si>
  <si>
    <t>60608432</t>
  </si>
  <si>
    <t>64</t>
  </si>
  <si>
    <t>Мигулинское сельское поселение</t>
  </si>
  <si>
    <t>60608436</t>
  </si>
  <si>
    <t>65</t>
  </si>
  <si>
    <t>Нижнебыковское сельское поселение</t>
  </si>
  <si>
    <t>60608440</t>
  </si>
  <si>
    <t>Солонцовское сельское поселение</t>
  </si>
  <si>
    <t>60608446</t>
  </si>
  <si>
    <t>67</t>
  </si>
  <si>
    <t>Тубянское сельское поселение</t>
  </si>
  <si>
    <t>60608448</t>
  </si>
  <si>
    <t>Шумилинское сельское поселение</t>
  </si>
  <si>
    <t>60608458</t>
  </si>
  <si>
    <t>69</t>
  </si>
  <si>
    <t>Веселовский район</t>
  </si>
  <si>
    <t>60609000</t>
  </si>
  <si>
    <t>Верхнесоленовское сельское поселение</t>
  </si>
  <si>
    <t>60609409</t>
  </si>
  <si>
    <t>70</t>
  </si>
  <si>
    <t>71</t>
  </si>
  <si>
    <t>Веселовское сельское поселение</t>
  </si>
  <si>
    <t>60609411</t>
  </si>
  <si>
    <t>72</t>
  </si>
  <si>
    <t>Краснооктябрьское сельское поселение</t>
  </si>
  <si>
    <t>60609432</t>
  </si>
  <si>
    <t>73</t>
  </si>
  <si>
    <t>Позднеевское сельское поселение</t>
  </si>
  <si>
    <t>60609458</t>
  </si>
  <si>
    <t>74</t>
  </si>
  <si>
    <t>Волгодонской район</t>
  </si>
  <si>
    <t>60612000</t>
  </si>
  <si>
    <t>75</t>
  </si>
  <si>
    <t>Добровольское сельское поселение</t>
  </si>
  <si>
    <t>60612405</t>
  </si>
  <si>
    <t>76</t>
  </si>
  <si>
    <t>Дубенцовское сельское поселение</t>
  </si>
  <si>
    <t>60612408</t>
  </si>
  <si>
    <t>77</t>
  </si>
  <si>
    <t>Победенское сельское поселение</t>
  </si>
  <si>
    <t>60612425</t>
  </si>
  <si>
    <t>78</t>
  </si>
  <si>
    <t>Потаповское сельское поселение</t>
  </si>
  <si>
    <t>60612428</t>
  </si>
  <si>
    <t>79</t>
  </si>
  <si>
    <t>Прогрессовское сельское поселение</t>
  </si>
  <si>
    <t>60612430</t>
  </si>
  <si>
    <t>80</t>
  </si>
  <si>
    <t>Романовское сельское поселение</t>
  </si>
  <si>
    <t>60612432</t>
  </si>
  <si>
    <t>81</t>
  </si>
  <si>
    <t>Рябичевское сельское поселение</t>
  </si>
  <si>
    <t>60612435</t>
  </si>
  <si>
    <t>82</t>
  </si>
  <si>
    <t>Город Азов</t>
  </si>
  <si>
    <t>60704000</t>
  </si>
  <si>
    <t>городской округ</t>
  </si>
  <si>
    <t>83</t>
  </si>
  <si>
    <t>Город Батайск</t>
  </si>
  <si>
    <t>60707000</t>
  </si>
  <si>
    <t>84</t>
  </si>
  <si>
    <t>Город Волгодонск</t>
  </si>
  <si>
    <t>60712000</t>
  </si>
  <si>
    <t>85</t>
  </si>
  <si>
    <t>Город Гуково</t>
  </si>
  <si>
    <t>60715000</t>
  </si>
  <si>
    <t>86</t>
  </si>
  <si>
    <t>Город Донецк</t>
  </si>
  <si>
    <t>60717000</t>
  </si>
  <si>
    <t>87</t>
  </si>
  <si>
    <t>Город Зверево</t>
  </si>
  <si>
    <t>60718000</t>
  </si>
  <si>
    <t>88</t>
  </si>
  <si>
    <t>Город Каменск-Шахтинский</t>
  </si>
  <si>
    <t>60719000</t>
  </si>
  <si>
    <t>89</t>
  </si>
  <si>
    <t>Город Новочеркасск</t>
  </si>
  <si>
    <t>60727000</t>
  </si>
  <si>
    <t>90</t>
  </si>
  <si>
    <t>Город Новошахтинск</t>
  </si>
  <si>
    <t>60730000</t>
  </si>
  <si>
    <t>91</t>
  </si>
  <si>
    <t>Город Таганрог</t>
  </si>
  <si>
    <t>60737000</t>
  </si>
  <si>
    <t>93</t>
  </si>
  <si>
    <t>Город Шахты</t>
  </si>
  <si>
    <t>60740000</t>
  </si>
  <si>
    <t>94</t>
  </si>
  <si>
    <t>Дубовский район</t>
  </si>
  <si>
    <t>60613000</t>
  </si>
  <si>
    <t>Андреевское сельское поселение</t>
  </si>
  <si>
    <t>60613405</t>
  </si>
  <si>
    <t>95</t>
  </si>
  <si>
    <t>Барабанщиковское сельское поселение</t>
  </si>
  <si>
    <t>60613410</t>
  </si>
  <si>
    <t>96</t>
  </si>
  <si>
    <t>Вербовологовское сельское поселение</t>
  </si>
  <si>
    <t>60613415</t>
  </si>
  <si>
    <t>97</t>
  </si>
  <si>
    <t>60613417</t>
  </si>
  <si>
    <t>98</t>
  </si>
  <si>
    <t>Гуреевское сельское поселение</t>
  </si>
  <si>
    <t>60613420</t>
  </si>
  <si>
    <t>99</t>
  </si>
  <si>
    <t>100</t>
  </si>
  <si>
    <t>Дубовское сельское поселение</t>
  </si>
  <si>
    <t>60613425</t>
  </si>
  <si>
    <t>101</t>
  </si>
  <si>
    <t>Жуковское сельское поселение</t>
  </si>
  <si>
    <t>60613430</t>
  </si>
  <si>
    <t>102</t>
  </si>
  <si>
    <t>Комиссаровское сельское поселение</t>
  </si>
  <si>
    <t>60613440</t>
  </si>
  <si>
    <t>103</t>
  </si>
  <si>
    <t>Малолученское сельское поселение</t>
  </si>
  <si>
    <t>60613448</t>
  </si>
  <si>
    <t>104</t>
  </si>
  <si>
    <t>Мирненское сельское поселение</t>
  </si>
  <si>
    <t>60613452</t>
  </si>
  <si>
    <t>105</t>
  </si>
  <si>
    <t>Присальское сельское поселение</t>
  </si>
  <si>
    <t>60613460</t>
  </si>
  <si>
    <t>106</t>
  </si>
  <si>
    <t>60613464</t>
  </si>
  <si>
    <t>107</t>
  </si>
  <si>
    <t>Семичанское сельское поселение</t>
  </si>
  <si>
    <t>60613471</t>
  </si>
  <si>
    <t>108</t>
  </si>
  <si>
    <t>Егорлыкский район</t>
  </si>
  <si>
    <t>60615000</t>
  </si>
  <si>
    <t>Балко-Грузское сельское поселение</t>
  </si>
  <si>
    <t>60615410</t>
  </si>
  <si>
    <t>109</t>
  </si>
  <si>
    <t>Войновское сельское поселение</t>
  </si>
  <si>
    <t>60615415</t>
  </si>
  <si>
    <t>110</t>
  </si>
  <si>
    <t>111</t>
  </si>
  <si>
    <t>Егорлыкское сельское поселение</t>
  </si>
  <si>
    <t>60615417</t>
  </si>
  <si>
    <t>112</t>
  </si>
  <si>
    <t>60615425</t>
  </si>
  <si>
    <t>113</t>
  </si>
  <si>
    <t>Кавалерское сельское поселение</t>
  </si>
  <si>
    <t>60615436</t>
  </si>
  <si>
    <t>114</t>
  </si>
  <si>
    <t>Новороговское сельское поселение</t>
  </si>
  <si>
    <t>60615447</t>
  </si>
  <si>
    <t>115</t>
  </si>
  <si>
    <t>Объединенное сельское поселение</t>
  </si>
  <si>
    <t>60615458</t>
  </si>
  <si>
    <t>116</t>
  </si>
  <si>
    <t>Роговское сельское поселение</t>
  </si>
  <si>
    <t>60615462</t>
  </si>
  <si>
    <t>117</t>
  </si>
  <si>
    <t>Шаумяновское сельское поселение</t>
  </si>
  <si>
    <t>60615480</t>
  </si>
  <si>
    <t>118</t>
  </si>
  <si>
    <t>Заветинский район</t>
  </si>
  <si>
    <t>60617000</t>
  </si>
  <si>
    <t>119</t>
  </si>
  <si>
    <t>Заветинское сельское поселение</t>
  </si>
  <si>
    <t>60617411</t>
  </si>
  <si>
    <t>120</t>
  </si>
  <si>
    <t>Киселевское сельское поселение</t>
  </si>
  <si>
    <t>60617428</t>
  </si>
  <si>
    <t>121</t>
  </si>
  <si>
    <t>Кичкинское сельское поселение</t>
  </si>
  <si>
    <t>60617430</t>
  </si>
  <si>
    <t>122</t>
  </si>
  <si>
    <t>Никольское сельское поселение</t>
  </si>
  <si>
    <t>60617422</t>
  </si>
  <si>
    <t>123</t>
  </si>
  <si>
    <t>Савдянское сельское поселение</t>
  </si>
  <si>
    <t>60617445</t>
  </si>
  <si>
    <t>124</t>
  </si>
  <si>
    <t>Тюльпановское сельское поселение</t>
  </si>
  <si>
    <t>60617432</t>
  </si>
  <si>
    <t>125</t>
  </si>
  <si>
    <t>Федосеевское сельское поселение</t>
  </si>
  <si>
    <t>60617466</t>
  </si>
  <si>
    <t>126</t>
  </si>
  <si>
    <t>Фоминское сельское поселение</t>
  </si>
  <si>
    <t>60617434</t>
  </si>
  <si>
    <t>127</t>
  </si>
  <si>
    <t>Шебалинское сельское поселение</t>
  </si>
  <si>
    <t>60617470</t>
  </si>
  <si>
    <t>128</t>
  </si>
  <si>
    <t>Зерноградский район</t>
  </si>
  <si>
    <t>60618000</t>
  </si>
  <si>
    <t>Большеталовское сельское поселение</t>
  </si>
  <si>
    <t>60618405</t>
  </si>
  <si>
    <t>129</t>
  </si>
  <si>
    <t>Гуляй-Борисовское сельское поселение</t>
  </si>
  <si>
    <t>60618410</t>
  </si>
  <si>
    <t>130</t>
  </si>
  <si>
    <t>Донское сельское поселение</t>
  </si>
  <si>
    <t>60618415</t>
  </si>
  <si>
    <t>131</t>
  </si>
  <si>
    <t>132</t>
  </si>
  <si>
    <t>Зерноградское городское поселение</t>
  </si>
  <si>
    <t>60618101</t>
  </si>
  <si>
    <t>133</t>
  </si>
  <si>
    <t>Конзаводское сельское поселение</t>
  </si>
  <si>
    <t>60618440</t>
  </si>
  <si>
    <t>134</t>
  </si>
  <si>
    <t>Красноармейское сельское поселение</t>
  </si>
  <si>
    <t>60618445</t>
  </si>
  <si>
    <t>135</t>
  </si>
  <si>
    <t>60618450</t>
  </si>
  <si>
    <t>136</t>
  </si>
  <si>
    <t>Мечетинское сельское поселение</t>
  </si>
  <si>
    <t>60618455</t>
  </si>
  <si>
    <t>137</t>
  </si>
  <si>
    <t>Россошинское сельское поселение</t>
  </si>
  <si>
    <t>60618460</t>
  </si>
  <si>
    <t>138</t>
  </si>
  <si>
    <t>Зимовниковский район</t>
  </si>
  <si>
    <t>60619000</t>
  </si>
  <si>
    <t>Верхнесеребряковское сельское поселение</t>
  </si>
  <si>
    <t>60619405</t>
  </si>
  <si>
    <t>139</t>
  </si>
  <si>
    <t>Гашунское сельское поселение</t>
  </si>
  <si>
    <t>60619410</t>
  </si>
  <si>
    <t>140</t>
  </si>
  <si>
    <t>Глубочанское сельское поселение</t>
  </si>
  <si>
    <t>60619415</t>
  </si>
  <si>
    <t>141</t>
  </si>
  <si>
    <t>142</t>
  </si>
  <si>
    <t>Зимовниковское сельское поселение</t>
  </si>
  <si>
    <t>60619417</t>
  </si>
  <si>
    <t>143</t>
  </si>
  <si>
    <t>Камышевское сельское поселение</t>
  </si>
  <si>
    <t>60619420</t>
  </si>
  <si>
    <t>144</t>
  </si>
  <si>
    <t>Кировское сельское поселение</t>
  </si>
  <si>
    <t>60619425</t>
  </si>
  <si>
    <t>145</t>
  </si>
  <si>
    <t>Кутейниковское сельское поселение</t>
  </si>
  <si>
    <t>60619430</t>
  </si>
  <si>
    <t>146</t>
  </si>
  <si>
    <t>60619432</t>
  </si>
  <si>
    <t>147</t>
  </si>
  <si>
    <t>Мокрогашунское сельское поселение</t>
  </si>
  <si>
    <t>60619435</t>
  </si>
  <si>
    <t>148</t>
  </si>
  <si>
    <t>Савоськинское сельское поселение</t>
  </si>
  <si>
    <t>60619445</t>
  </si>
  <si>
    <t>149</t>
  </si>
  <si>
    <t>Северное сельское поселение</t>
  </si>
  <si>
    <t>60619450</t>
  </si>
  <si>
    <t>150</t>
  </si>
  <si>
    <t>Кагальницкий район</t>
  </si>
  <si>
    <t>60622000</t>
  </si>
  <si>
    <t>Иваново-Шамшевское сельское поселение</t>
  </si>
  <si>
    <t>60622412</t>
  </si>
  <si>
    <t>151</t>
  </si>
  <si>
    <t>152</t>
  </si>
  <si>
    <t>60622414</t>
  </si>
  <si>
    <t>153</t>
  </si>
  <si>
    <t>Калининское сельское поселение</t>
  </si>
  <si>
    <t>60622417</t>
  </si>
  <si>
    <t>154</t>
  </si>
  <si>
    <t>60622420</t>
  </si>
  <si>
    <t>155</t>
  </si>
  <si>
    <t>Мокробатайское сельское поселение</t>
  </si>
  <si>
    <t>60622423</t>
  </si>
  <si>
    <t>156</t>
  </si>
  <si>
    <t>Новобатайское сельское поселение</t>
  </si>
  <si>
    <t>60622425</t>
  </si>
  <si>
    <t>157</t>
  </si>
  <si>
    <t>Родниковское сельское поселение</t>
  </si>
  <si>
    <t>60622430</t>
  </si>
  <si>
    <t>158</t>
  </si>
  <si>
    <t>Хомутовское сельское поселение</t>
  </si>
  <si>
    <t>60622442</t>
  </si>
  <si>
    <t>159</t>
  </si>
  <si>
    <t>Каменский район</t>
  </si>
  <si>
    <t>60623000</t>
  </si>
  <si>
    <t>Астаховское сельское поселение</t>
  </si>
  <si>
    <t>60623405</t>
  </si>
  <si>
    <t>160</t>
  </si>
  <si>
    <t>Богдановское сельское поселение</t>
  </si>
  <si>
    <t>60623410</t>
  </si>
  <si>
    <t>161</t>
  </si>
  <si>
    <t>Волченское сельское поселение</t>
  </si>
  <si>
    <t>60623415</t>
  </si>
  <si>
    <t>162</t>
  </si>
  <si>
    <t>Глубокинское городское поселение</t>
  </si>
  <si>
    <t>60623151</t>
  </si>
  <si>
    <t>городское поселение, в состав которого входит поселок</t>
  </si>
  <si>
    <t>163</t>
  </si>
  <si>
    <t>Груциновское сельское поселение</t>
  </si>
  <si>
    <t>60623460</t>
  </si>
  <si>
    <t>164</t>
  </si>
  <si>
    <t>Гусевское сельское поселение</t>
  </si>
  <si>
    <t>60623420</t>
  </si>
  <si>
    <t>165</t>
  </si>
  <si>
    <t>Калитвенское сельское поселение</t>
  </si>
  <si>
    <t>60623425</t>
  </si>
  <si>
    <t>166</t>
  </si>
  <si>
    <t>167</t>
  </si>
  <si>
    <t>Красновское сельское поселение</t>
  </si>
  <si>
    <t>60623430</t>
  </si>
  <si>
    <t>168</t>
  </si>
  <si>
    <t>Малокаменское сельское поселение</t>
  </si>
  <si>
    <t>60623440</t>
  </si>
  <si>
    <t>169</t>
  </si>
  <si>
    <t>Пиховкинское сельское поселение</t>
  </si>
  <si>
    <t>60623455</t>
  </si>
  <si>
    <t>170</t>
  </si>
  <si>
    <t>Старостаничное сельское поселение</t>
  </si>
  <si>
    <t>60623465</t>
  </si>
  <si>
    <t>171</t>
  </si>
  <si>
    <t>Уляшкинское сельское поселение</t>
  </si>
  <si>
    <t>60623470</t>
  </si>
  <si>
    <t>172</t>
  </si>
  <si>
    <t>Кашарский район</t>
  </si>
  <si>
    <t>60624000</t>
  </si>
  <si>
    <t>Верхнемакеевское сельское поселение</t>
  </si>
  <si>
    <t>60624410</t>
  </si>
  <si>
    <t>173</t>
  </si>
  <si>
    <t>Верхнесвечниковское сельское поселение</t>
  </si>
  <si>
    <t>60624415</t>
  </si>
  <si>
    <t>174</t>
  </si>
  <si>
    <t>Вяжинское сельское поселение</t>
  </si>
  <si>
    <t>60624420</t>
  </si>
  <si>
    <t>175</t>
  </si>
  <si>
    <t>Индустриальное сельское поселение</t>
  </si>
  <si>
    <t>60624425</t>
  </si>
  <si>
    <t>176</t>
  </si>
  <si>
    <t>177</t>
  </si>
  <si>
    <t>Кашарское сельское поселение</t>
  </si>
  <si>
    <t>60624430</t>
  </si>
  <si>
    <t>178</t>
  </si>
  <si>
    <t>Киевское сельское поселение</t>
  </si>
  <si>
    <t>60624435</t>
  </si>
  <si>
    <t>179</t>
  </si>
  <si>
    <t>Первомайское сельское поселение</t>
  </si>
  <si>
    <t>60624450</t>
  </si>
  <si>
    <t>180</t>
  </si>
  <si>
    <t>Поповское сельское поселение</t>
  </si>
  <si>
    <t>60624455</t>
  </si>
  <si>
    <t>181</t>
  </si>
  <si>
    <t>Талловеровское сельское поселение</t>
  </si>
  <si>
    <t>60624470</t>
  </si>
  <si>
    <t>182</t>
  </si>
  <si>
    <t>Фомино-Свечниковское сельское поселение</t>
  </si>
  <si>
    <t>60624475</t>
  </si>
  <si>
    <t>183</t>
  </si>
  <si>
    <t>Константиновский район</t>
  </si>
  <si>
    <t>60625000</t>
  </si>
  <si>
    <t>Авиловское сельское поселение</t>
  </si>
  <si>
    <t>60625405</t>
  </si>
  <si>
    <t>184</t>
  </si>
  <si>
    <t>Богоявленское сельское поселение</t>
  </si>
  <si>
    <t>60625410</t>
  </si>
  <si>
    <t>185</t>
  </si>
  <si>
    <t>Гапкинское сельское поселение</t>
  </si>
  <si>
    <t>60625415</t>
  </si>
  <si>
    <t>186</t>
  </si>
  <si>
    <t>187</t>
  </si>
  <si>
    <t>Константиновское городское поселение</t>
  </si>
  <si>
    <t>60625101</t>
  </si>
  <si>
    <t>188</t>
  </si>
  <si>
    <t>Николаевское сельское поселение</t>
  </si>
  <si>
    <t>60625420</t>
  </si>
  <si>
    <t>189</t>
  </si>
  <si>
    <t>Почтовское сельское поселение</t>
  </si>
  <si>
    <t>60625425</t>
  </si>
  <si>
    <t>190</t>
  </si>
  <si>
    <t>Стычновское сельское поселение</t>
  </si>
  <si>
    <t>60625436</t>
  </si>
  <si>
    <t>191</t>
  </si>
  <si>
    <t>Красносулинский район</t>
  </si>
  <si>
    <t>60626000</t>
  </si>
  <si>
    <t>Божковское сельское поселение</t>
  </si>
  <si>
    <t>60626405</t>
  </si>
  <si>
    <t>192</t>
  </si>
  <si>
    <t>Владимировское сельское поселение</t>
  </si>
  <si>
    <t>60626410</t>
  </si>
  <si>
    <t>193</t>
  </si>
  <si>
    <t>Горненское городское поселение</t>
  </si>
  <si>
    <t>60626102</t>
  </si>
  <si>
    <t>194</t>
  </si>
  <si>
    <t>Гуково-Гнилушевское сельское поселение</t>
  </si>
  <si>
    <t>60626415</t>
  </si>
  <si>
    <t>195</t>
  </si>
  <si>
    <t>Долотинское сельское поселение</t>
  </si>
  <si>
    <t>60626420</t>
  </si>
  <si>
    <t>196</t>
  </si>
  <si>
    <t>60626425</t>
  </si>
  <si>
    <t>197</t>
  </si>
  <si>
    <t>Ковалевское сельское поселение</t>
  </si>
  <si>
    <t>60626430</t>
  </si>
  <si>
    <t>198</t>
  </si>
  <si>
    <t>60626435</t>
  </si>
  <si>
    <t>199</t>
  </si>
  <si>
    <t>200</t>
  </si>
  <si>
    <t>Красносулинское городское поселение</t>
  </si>
  <si>
    <t>60626101</t>
  </si>
  <si>
    <t>201</t>
  </si>
  <si>
    <t>Михайловское сельское поселение</t>
  </si>
  <si>
    <t>60626440</t>
  </si>
  <si>
    <t>202</t>
  </si>
  <si>
    <t>Пролетарское сельское поселение</t>
  </si>
  <si>
    <t>60626445</t>
  </si>
  <si>
    <t>203</t>
  </si>
  <si>
    <t>Садковское сельское поселение</t>
  </si>
  <si>
    <t>60626450</t>
  </si>
  <si>
    <t>204</t>
  </si>
  <si>
    <t>Табунщиковское сельское поселение</t>
  </si>
  <si>
    <t>60626455</t>
  </si>
  <si>
    <t>205</t>
  </si>
  <si>
    <t>Углеродовское городское поселение</t>
  </si>
  <si>
    <t>60626165</t>
  </si>
  <si>
    <t>206</t>
  </si>
  <si>
    <t>Ударниковское сельское поселение</t>
  </si>
  <si>
    <t>60626460</t>
  </si>
  <si>
    <t>207</t>
  </si>
  <si>
    <t>Куйбышевский район</t>
  </si>
  <si>
    <t>60627000</t>
  </si>
  <si>
    <t>Кринично-Лугское сельское поселение</t>
  </si>
  <si>
    <t>60627404</t>
  </si>
  <si>
    <t>208</t>
  </si>
  <si>
    <t>209</t>
  </si>
  <si>
    <t>Куйбышевское сельское поселение</t>
  </si>
  <si>
    <t>60627405</t>
  </si>
  <si>
    <t>210</t>
  </si>
  <si>
    <t>Лысогорское сельское поселение</t>
  </si>
  <si>
    <t>60627410</t>
  </si>
  <si>
    <t>211</t>
  </si>
  <si>
    <t>Мартыновский район</t>
  </si>
  <si>
    <t>60630000</t>
  </si>
  <si>
    <t>Большеорловское сельское поселение</t>
  </si>
  <si>
    <t>60630405</t>
  </si>
  <si>
    <t>212</t>
  </si>
  <si>
    <t>Зеленолугское сельское поселение</t>
  </si>
  <si>
    <t>60630407</t>
  </si>
  <si>
    <t>213</t>
  </si>
  <si>
    <t>Ильиновское сельское поселение</t>
  </si>
  <si>
    <t>60630412</t>
  </si>
  <si>
    <t>214</t>
  </si>
  <si>
    <t>Комаровское сельское поселение</t>
  </si>
  <si>
    <t>60630423</t>
  </si>
  <si>
    <t>215</t>
  </si>
  <si>
    <t>Малоорловское сельское поселение</t>
  </si>
  <si>
    <t>60630434</t>
  </si>
  <si>
    <t>216</t>
  </si>
  <si>
    <t>217</t>
  </si>
  <si>
    <t>Мартыновское сельское поселение</t>
  </si>
  <si>
    <t>60630439</t>
  </si>
  <si>
    <t>218</t>
  </si>
  <si>
    <t>Новоселовское сельское поселение</t>
  </si>
  <si>
    <t>60630456</t>
  </si>
  <si>
    <t>219</t>
  </si>
  <si>
    <t>Рубашкинское сельское поселение</t>
  </si>
  <si>
    <t>60630467</t>
  </si>
  <si>
    <t>220</t>
  </si>
  <si>
    <t>Южненское сельское поселение</t>
  </si>
  <si>
    <t>60630489</t>
  </si>
  <si>
    <t>221</t>
  </si>
  <si>
    <t>Матвеево-Курганский район</t>
  </si>
  <si>
    <t>60631000</t>
  </si>
  <si>
    <t>Алексеевское сельское поселение</t>
  </si>
  <si>
    <t>60631405</t>
  </si>
  <si>
    <t>222</t>
  </si>
  <si>
    <t>Анастасиевское сельское поселение</t>
  </si>
  <si>
    <t>60631410</t>
  </si>
  <si>
    <t>223</t>
  </si>
  <si>
    <t>Большекирсановское сельское поселение</t>
  </si>
  <si>
    <t>60631415</t>
  </si>
  <si>
    <t>224</t>
  </si>
  <si>
    <t>Екатериновское сельское поселение</t>
  </si>
  <si>
    <t>60631420</t>
  </si>
  <si>
    <t>225</t>
  </si>
  <si>
    <t>Малокирсановское сельское поселение</t>
  </si>
  <si>
    <t>60631440</t>
  </si>
  <si>
    <t>226</t>
  </si>
  <si>
    <t>227</t>
  </si>
  <si>
    <t>Матвеево-Курганское сельское поселение</t>
  </si>
  <si>
    <t>60631445</t>
  </si>
  <si>
    <t>228</t>
  </si>
  <si>
    <t>Новониколаевское сельское поселение</t>
  </si>
  <si>
    <t>60631450</t>
  </si>
  <si>
    <t>229</t>
  </si>
  <si>
    <t>Ряженское сельское поселение</t>
  </si>
  <si>
    <t>60631465</t>
  </si>
  <si>
    <t>230</t>
  </si>
  <si>
    <t>Миллеровский район</t>
  </si>
  <si>
    <t>60632000</t>
  </si>
  <si>
    <t>Верхнеталовское сельское поселение</t>
  </si>
  <si>
    <t>60632402</t>
  </si>
  <si>
    <t>231</t>
  </si>
  <si>
    <t>Волошинское сельское поселение</t>
  </si>
  <si>
    <t>60632405</t>
  </si>
  <si>
    <t>232</t>
  </si>
  <si>
    <t>Дегтевское сельское поселение</t>
  </si>
  <si>
    <t>60632415</t>
  </si>
  <si>
    <t>233</t>
  </si>
  <si>
    <t>Колодезянское сельское поселение</t>
  </si>
  <si>
    <t>60632420</t>
  </si>
  <si>
    <t>234</t>
  </si>
  <si>
    <t>Криворожское сельское поселение</t>
  </si>
  <si>
    <t>60632425</t>
  </si>
  <si>
    <t>235</t>
  </si>
  <si>
    <t>Мальчевское сельское поселение</t>
  </si>
  <si>
    <t>60632435</t>
  </si>
  <si>
    <t>236</t>
  </si>
  <si>
    <t>237</t>
  </si>
  <si>
    <t>Миллеровское городское поселение</t>
  </si>
  <si>
    <t>60632101</t>
  </si>
  <si>
    <t>238</t>
  </si>
  <si>
    <t>Ольхово-Рогское сельское поселение</t>
  </si>
  <si>
    <t>60632455</t>
  </si>
  <si>
    <t>239</t>
  </si>
  <si>
    <t>60632460</t>
  </si>
  <si>
    <t>240</t>
  </si>
  <si>
    <t>Сулинское сельское поселение</t>
  </si>
  <si>
    <t>60632467</t>
  </si>
  <si>
    <t>241</t>
  </si>
  <si>
    <t>Титовское сельское поселение</t>
  </si>
  <si>
    <t>60632470</t>
  </si>
  <si>
    <t>242</t>
  </si>
  <si>
    <t>Треневское сельское поселение</t>
  </si>
  <si>
    <t>60632430</t>
  </si>
  <si>
    <t>243</t>
  </si>
  <si>
    <t>Туриловское сельское поселение</t>
  </si>
  <si>
    <t>60632475</t>
  </si>
  <si>
    <t>244</t>
  </si>
  <si>
    <t>Милютинский район</t>
  </si>
  <si>
    <t>60633000</t>
  </si>
  <si>
    <t>Лукичевское сельское поселение</t>
  </si>
  <si>
    <t>60633420</t>
  </si>
  <si>
    <t>245</t>
  </si>
  <si>
    <t>Маньково-Березовское сельское поселение</t>
  </si>
  <si>
    <t>60633428</t>
  </si>
  <si>
    <t>246</t>
  </si>
  <si>
    <t>247</t>
  </si>
  <si>
    <t>Милютинское сельское поселение</t>
  </si>
  <si>
    <t>60633433</t>
  </si>
  <si>
    <t>248</t>
  </si>
  <si>
    <t>Николо-Березовское сельское поселение</t>
  </si>
  <si>
    <t>60633444</t>
  </si>
  <si>
    <t>249</t>
  </si>
  <si>
    <t>Орловское сельское поселение</t>
  </si>
  <si>
    <t>60633466</t>
  </si>
  <si>
    <t>250</t>
  </si>
  <si>
    <t>Светочниковское сельское поселение</t>
  </si>
  <si>
    <t>60633477</t>
  </si>
  <si>
    <t>251</t>
  </si>
  <si>
    <t>Селивановское сельское поселение</t>
  </si>
  <si>
    <t>60633480</t>
  </si>
  <si>
    <t>252</t>
  </si>
  <si>
    <t>Морозовский район</t>
  </si>
  <si>
    <t>60634000</t>
  </si>
  <si>
    <t>Вознесенское сельское поселение</t>
  </si>
  <si>
    <t>60634415</t>
  </si>
  <si>
    <t>253</t>
  </si>
  <si>
    <t>Вольно-Донское сельское поселение</t>
  </si>
  <si>
    <t>60634420</t>
  </si>
  <si>
    <t>254</t>
  </si>
  <si>
    <t>Гагаринское сельское поселение</t>
  </si>
  <si>
    <t>60634423</t>
  </si>
  <si>
    <t>255</t>
  </si>
  <si>
    <t>Грузиновское сельское поселение</t>
  </si>
  <si>
    <t>60634425</t>
  </si>
  <si>
    <t>256</t>
  </si>
  <si>
    <t>Знаменское сельское поселение</t>
  </si>
  <si>
    <t>60634430</t>
  </si>
  <si>
    <t>257</t>
  </si>
  <si>
    <t>Костино-Быстрянское сельское поселение</t>
  </si>
  <si>
    <t>60634440</t>
  </si>
  <si>
    <t>258</t>
  </si>
  <si>
    <t>259</t>
  </si>
  <si>
    <t>Морозовское городское поселение</t>
  </si>
  <si>
    <t>60634101</t>
  </si>
  <si>
    <t>260</t>
  </si>
  <si>
    <t>Парамоновское сельское поселение</t>
  </si>
  <si>
    <t>60634460</t>
  </si>
  <si>
    <t>261</t>
  </si>
  <si>
    <t>Широко-Атамановское сельское поселение</t>
  </si>
  <si>
    <t>60634405</t>
  </si>
  <si>
    <t>262</t>
  </si>
  <si>
    <t>Мясниковский район</t>
  </si>
  <si>
    <t>60635000</t>
  </si>
  <si>
    <t>Большесальское сельское поселение</t>
  </si>
  <si>
    <t>60635405</t>
  </si>
  <si>
    <t>263</t>
  </si>
  <si>
    <t>60635420</t>
  </si>
  <si>
    <t>264</t>
  </si>
  <si>
    <t>Краснокрымское сельское поселение</t>
  </si>
  <si>
    <t>60635424</t>
  </si>
  <si>
    <t>265</t>
  </si>
  <si>
    <t>Крымское сельское поселение</t>
  </si>
  <si>
    <t>60635428</t>
  </si>
  <si>
    <t>266</t>
  </si>
  <si>
    <t>267</t>
  </si>
  <si>
    <t>Недвиговское сельское поселение</t>
  </si>
  <si>
    <t>60635447</t>
  </si>
  <si>
    <t>268</t>
  </si>
  <si>
    <t>Петровское сельское поселение</t>
  </si>
  <si>
    <t>60635436</t>
  </si>
  <si>
    <t>269</t>
  </si>
  <si>
    <t>Чалтырское сельское поселение</t>
  </si>
  <si>
    <t>60635452</t>
  </si>
  <si>
    <t>270</t>
  </si>
  <si>
    <t>Неклиновский район</t>
  </si>
  <si>
    <t>60636000</t>
  </si>
  <si>
    <t>Андреево-Мелентьевское сельское поселение</t>
  </si>
  <si>
    <t>60636428</t>
  </si>
  <si>
    <t>271</t>
  </si>
  <si>
    <t>Большенеклиновское сельское поселение</t>
  </si>
  <si>
    <t>60636404</t>
  </si>
  <si>
    <t>272</t>
  </si>
  <si>
    <t>Вареновское сельское поселение</t>
  </si>
  <si>
    <t>60636407</t>
  </si>
  <si>
    <t>273</t>
  </si>
  <si>
    <t>Васильево-Ханжоновское сельское поселение</t>
  </si>
  <si>
    <t>60636408</t>
  </si>
  <si>
    <t>274</t>
  </si>
  <si>
    <t>Лакедемоновское сельское поселение</t>
  </si>
  <si>
    <t>60636424</t>
  </si>
  <si>
    <t>275</t>
  </si>
  <si>
    <t>Натальевское сельское поселение</t>
  </si>
  <si>
    <t>60636432</t>
  </si>
  <si>
    <t>276</t>
  </si>
  <si>
    <t>277</t>
  </si>
  <si>
    <t>60636434</t>
  </si>
  <si>
    <t>278</t>
  </si>
  <si>
    <t>Новобессергеневское сельское поселение</t>
  </si>
  <si>
    <t>60636436</t>
  </si>
  <si>
    <t>279</t>
  </si>
  <si>
    <t>Носовское сельское поселение</t>
  </si>
  <si>
    <t>60636440</t>
  </si>
  <si>
    <t>280</t>
  </si>
  <si>
    <t>Платовское сельское поселение</t>
  </si>
  <si>
    <t>60636412</t>
  </si>
  <si>
    <t>281</t>
  </si>
  <si>
    <t>Покровское сельское поселение</t>
  </si>
  <si>
    <t>60636448</t>
  </si>
  <si>
    <t>282</t>
  </si>
  <si>
    <t>Поляковское сельское поселение</t>
  </si>
  <si>
    <t>60636420</t>
  </si>
  <si>
    <t>283</t>
  </si>
  <si>
    <t>Приморское сельское поселение</t>
  </si>
  <si>
    <t>60636452</t>
  </si>
  <si>
    <t>284</t>
  </si>
  <si>
    <t>Самбекское сельское поселение</t>
  </si>
  <si>
    <t>60636456</t>
  </si>
  <si>
    <t>285</t>
  </si>
  <si>
    <t>Синявское сельское поселение</t>
  </si>
  <si>
    <t>60636460</t>
  </si>
  <si>
    <t>286</t>
  </si>
  <si>
    <t>Советинское сельское поселение</t>
  </si>
  <si>
    <t>60636464</t>
  </si>
  <si>
    <t>287</t>
  </si>
  <si>
    <t>Троицкое сельское поселение</t>
  </si>
  <si>
    <t>60636468</t>
  </si>
  <si>
    <t>288</t>
  </si>
  <si>
    <t>Федоровское сельское поселение</t>
  </si>
  <si>
    <t>60636472</t>
  </si>
  <si>
    <t>289</t>
  </si>
  <si>
    <t>Обливский район</t>
  </si>
  <si>
    <t>60640000</t>
  </si>
  <si>
    <t>60640403</t>
  </si>
  <si>
    <t>290</t>
  </si>
  <si>
    <t>60640405</t>
  </si>
  <si>
    <t>291</t>
  </si>
  <si>
    <t>Караичевское сельское поселение</t>
  </si>
  <si>
    <t>60640425</t>
  </si>
  <si>
    <t>292</t>
  </si>
  <si>
    <t>Каштановское сельское поселение</t>
  </si>
  <si>
    <t>60640410</t>
  </si>
  <si>
    <t>293</t>
  </si>
  <si>
    <t>Нестеркинское сельское поселение</t>
  </si>
  <si>
    <t>60640440</t>
  </si>
  <si>
    <t>294</t>
  </si>
  <si>
    <t>295</t>
  </si>
  <si>
    <t>Обливское сельское поселение</t>
  </si>
  <si>
    <t>60640420</t>
  </si>
  <si>
    <t>296</t>
  </si>
  <si>
    <t>Солонецкое сельское поселение</t>
  </si>
  <si>
    <t>60640430</t>
  </si>
  <si>
    <t>297</t>
  </si>
  <si>
    <t>Октябрьский район</t>
  </si>
  <si>
    <t>60641000</t>
  </si>
  <si>
    <t>60641404</t>
  </si>
  <si>
    <t>298</t>
  </si>
  <si>
    <t>Артемовское сельское поселение</t>
  </si>
  <si>
    <t>60641405</t>
  </si>
  <si>
    <t>299</t>
  </si>
  <si>
    <t>Бессергеневское сельское поселение</t>
  </si>
  <si>
    <t>60641408</t>
  </si>
  <si>
    <t>300</t>
  </si>
  <si>
    <t>Каменоломненское городское поселение</t>
  </si>
  <si>
    <t>60641151</t>
  </si>
  <si>
    <t>301</t>
  </si>
  <si>
    <t>Керчикское сельское поселение</t>
  </si>
  <si>
    <t>60641415</t>
  </si>
  <si>
    <t>302</t>
  </si>
  <si>
    <t>Коммунарское сельское поселение</t>
  </si>
  <si>
    <t>60641425</t>
  </si>
  <si>
    <t>303</t>
  </si>
  <si>
    <t>60641430</t>
  </si>
  <si>
    <t>304</t>
  </si>
  <si>
    <t>Краснолучское сельское поселение</t>
  </si>
  <si>
    <t>60641427</t>
  </si>
  <si>
    <t>305</t>
  </si>
  <si>
    <t>Красюковское сельское поселение</t>
  </si>
  <si>
    <t>60641435</t>
  </si>
  <si>
    <t>306</t>
  </si>
  <si>
    <t>Кривянское сельское поселение</t>
  </si>
  <si>
    <t>60641440</t>
  </si>
  <si>
    <t>307</t>
  </si>
  <si>
    <t>Мокрологское сельское поселение</t>
  </si>
  <si>
    <t>60641445</t>
  </si>
  <si>
    <t>308</t>
  </si>
  <si>
    <t>309</t>
  </si>
  <si>
    <t>Персиановское сельское поселение</t>
  </si>
  <si>
    <t>60641450</t>
  </si>
  <si>
    <t>310</t>
  </si>
  <si>
    <t>Орловский район</t>
  </si>
  <si>
    <t>60642000</t>
  </si>
  <si>
    <t>Волочаевское сельское поселение</t>
  </si>
  <si>
    <t>60642411</t>
  </si>
  <si>
    <t>311</t>
  </si>
  <si>
    <t>60642422</t>
  </si>
  <si>
    <t>312</t>
  </si>
  <si>
    <t>Каменно-Балковское сельское поселение</t>
  </si>
  <si>
    <t>60642433</t>
  </si>
  <si>
    <t>313</t>
  </si>
  <si>
    <t>60642438</t>
  </si>
  <si>
    <t>314</t>
  </si>
  <si>
    <t>60642443</t>
  </si>
  <si>
    <t>315</t>
  </si>
  <si>
    <t>Курганенское сельское поселение</t>
  </si>
  <si>
    <t>60642444</t>
  </si>
  <si>
    <t>316</t>
  </si>
  <si>
    <t>Луганское сельское поселение</t>
  </si>
  <si>
    <t>60642460</t>
  </si>
  <si>
    <t>317</t>
  </si>
  <si>
    <t>Майорское сельское поселение</t>
  </si>
  <si>
    <t>60642445</t>
  </si>
  <si>
    <t>318</t>
  </si>
  <si>
    <t>319</t>
  </si>
  <si>
    <t>60642446</t>
  </si>
  <si>
    <t>320</t>
  </si>
  <si>
    <t>Островянское сельское поселение</t>
  </si>
  <si>
    <t>60642448</t>
  </si>
  <si>
    <t>321</t>
  </si>
  <si>
    <t>60642452</t>
  </si>
  <si>
    <t>322</t>
  </si>
  <si>
    <t>Песчанокопский район</t>
  </si>
  <si>
    <t>60644000</t>
  </si>
  <si>
    <t>Богородицкое сельское поселение</t>
  </si>
  <si>
    <t>60644411</t>
  </si>
  <si>
    <t>323</t>
  </si>
  <si>
    <t>60644422</t>
  </si>
  <si>
    <t>324</t>
  </si>
  <si>
    <t>Зареченское сельское поселение</t>
  </si>
  <si>
    <t>60644426</t>
  </si>
  <si>
    <t>325</t>
  </si>
  <si>
    <t>Краснополянское сельское поселение</t>
  </si>
  <si>
    <t>60644433</t>
  </si>
  <si>
    <t>326</t>
  </si>
  <si>
    <t>Летницкое сельское поселение</t>
  </si>
  <si>
    <t>60644444</t>
  </si>
  <si>
    <t>327</t>
  </si>
  <si>
    <t>328</t>
  </si>
  <si>
    <t>Песчанокопское сельское поселение</t>
  </si>
  <si>
    <t>60644455</t>
  </si>
  <si>
    <t>329</t>
  </si>
  <si>
    <t>Поливянское сельское поселение</t>
  </si>
  <si>
    <t>60644466</t>
  </si>
  <si>
    <t>330</t>
  </si>
  <si>
    <t>Развильненское сельское поселение</t>
  </si>
  <si>
    <t>60644477</t>
  </si>
  <si>
    <t>331</t>
  </si>
  <si>
    <t>Рассыпненское сельское поселение</t>
  </si>
  <si>
    <t>60644488</t>
  </si>
  <si>
    <t>332</t>
  </si>
  <si>
    <t>Пролетарский район</t>
  </si>
  <si>
    <t>60645000</t>
  </si>
  <si>
    <t>Буденновское сельское поселение</t>
  </si>
  <si>
    <t>60645405</t>
  </si>
  <si>
    <t>333</t>
  </si>
  <si>
    <t>Дальненское сельское поселение</t>
  </si>
  <si>
    <t>60645410</t>
  </si>
  <si>
    <t>334</t>
  </si>
  <si>
    <t>Ковринское сельское поселение</t>
  </si>
  <si>
    <t>60645415</t>
  </si>
  <si>
    <t>335</t>
  </si>
  <si>
    <t>Мокроельмутянское сельское поселение</t>
  </si>
  <si>
    <t>60645420</t>
  </si>
  <si>
    <t>336</t>
  </si>
  <si>
    <t>60645425</t>
  </si>
  <si>
    <t>337</t>
  </si>
  <si>
    <t>Огневское сельское поселение</t>
  </si>
  <si>
    <t>60645427</t>
  </si>
  <si>
    <t>338</t>
  </si>
  <si>
    <t>Опенкинское сельское поселение</t>
  </si>
  <si>
    <t>60645430</t>
  </si>
  <si>
    <t>339</t>
  </si>
  <si>
    <t>340</t>
  </si>
  <si>
    <t>Пролетарское городское поселение</t>
  </si>
  <si>
    <t>60645101</t>
  </si>
  <si>
    <t>341</t>
  </si>
  <si>
    <t>Суховское сельское поселение</t>
  </si>
  <si>
    <t>60645435</t>
  </si>
  <si>
    <t>342</t>
  </si>
  <si>
    <t>Уютненское сельское поселение</t>
  </si>
  <si>
    <t>60645448</t>
  </si>
  <si>
    <t>343</t>
  </si>
  <si>
    <t>Ремонтненский район</t>
  </si>
  <si>
    <t>60647000</t>
  </si>
  <si>
    <t>Валуевское сельское поселение</t>
  </si>
  <si>
    <t>60647411</t>
  </si>
  <si>
    <t>344</t>
  </si>
  <si>
    <t>Денисовское сельское поселение</t>
  </si>
  <si>
    <t>60647422</t>
  </si>
  <si>
    <t>345</t>
  </si>
  <si>
    <t>60647433</t>
  </si>
  <si>
    <t>346</t>
  </si>
  <si>
    <t>60647435</t>
  </si>
  <si>
    <t>347</t>
  </si>
  <si>
    <t>Кормовское сельское поселение</t>
  </si>
  <si>
    <t>60647437</t>
  </si>
  <si>
    <t>348</t>
  </si>
  <si>
    <t>Краснопартизанское сельское поселение</t>
  </si>
  <si>
    <t>60647444</t>
  </si>
  <si>
    <t>349</t>
  </si>
  <si>
    <t>60647455</t>
  </si>
  <si>
    <t>350</t>
  </si>
  <si>
    <t>Подгорненское сельское поселение</t>
  </si>
  <si>
    <t>60647466</t>
  </si>
  <si>
    <t>351</t>
  </si>
  <si>
    <t>Привольненское сельское поселение</t>
  </si>
  <si>
    <t>60647469</t>
  </si>
  <si>
    <t>352</t>
  </si>
  <si>
    <t>353</t>
  </si>
  <si>
    <t>Ремонтненское сельское поселение</t>
  </si>
  <si>
    <t>60647472</t>
  </si>
  <si>
    <t>354</t>
  </si>
  <si>
    <t>Родионово-Несветайский район</t>
  </si>
  <si>
    <t>60648000</t>
  </si>
  <si>
    <t>Барило-Крепинское сельское поселение</t>
  </si>
  <si>
    <t>60648410</t>
  </si>
  <si>
    <t>355</t>
  </si>
  <si>
    <t>Болдыревское сельское поселение</t>
  </si>
  <si>
    <t>60648415</t>
  </si>
  <si>
    <t>356</t>
  </si>
  <si>
    <t>Большекрепинское сельское поселение</t>
  </si>
  <si>
    <t>60648420</t>
  </si>
  <si>
    <t>357</t>
  </si>
  <si>
    <t>60648425</t>
  </si>
  <si>
    <t>358</t>
  </si>
  <si>
    <t>60648436</t>
  </si>
  <si>
    <t>359</t>
  </si>
  <si>
    <t>360</t>
  </si>
  <si>
    <t>Родионово-Несветайское сельское поселение</t>
  </si>
  <si>
    <t>60648447</t>
  </si>
  <si>
    <t>361</t>
  </si>
  <si>
    <t>Сальский район</t>
  </si>
  <si>
    <t>60650000</t>
  </si>
  <si>
    <t>60650410</t>
  </si>
  <si>
    <t>362</t>
  </si>
  <si>
    <t>Гигантовское сельское поселение</t>
  </si>
  <si>
    <t>60650412</t>
  </si>
  <si>
    <t>363</t>
  </si>
  <si>
    <t>60650415</t>
  </si>
  <si>
    <t>364</t>
  </si>
  <si>
    <t>Ивановское сельское поселение</t>
  </si>
  <si>
    <t>60650420</t>
  </si>
  <si>
    <t>365</t>
  </si>
  <si>
    <t>Кручено-Балковское сельское поселение</t>
  </si>
  <si>
    <t>60650425</t>
  </si>
  <si>
    <t>366</t>
  </si>
  <si>
    <t>60650430</t>
  </si>
  <si>
    <t>367</t>
  </si>
  <si>
    <t>Новоегорлыкское сельское поселение</t>
  </si>
  <si>
    <t>60650435</t>
  </si>
  <si>
    <t>368</t>
  </si>
  <si>
    <t>Рыбасовское сельское поселение</t>
  </si>
  <si>
    <t>60650442</t>
  </si>
  <si>
    <t>369</t>
  </si>
  <si>
    <t>370</t>
  </si>
  <si>
    <t>Сальское городское поселение</t>
  </si>
  <si>
    <t>60650101</t>
  </si>
  <si>
    <t>371</t>
  </si>
  <si>
    <t>Сандатовское сельское поселение</t>
  </si>
  <si>
    <t>60650445</t>
  </si>
  <si>
    <t>372</t>
  </si>
  <si>
    <t>Юловское сельское поселение</t>
  </si>
  <si>
    <t>60650460</t>
  </si>
  <si>
    <t>373</t>
  </si>
  <si>
    <t>Семикаракорский район</t>
  </si>
  <si>
    <t>60651000</t>
  </si>
  <si>
    <t>Бакланниковское сельское поселение</t>
  </si>
  <si>
    <t>60651404</t>
  </si>
  <si>
    <t>374</t>
  </si>
  <si>
    <t>Большемечетновское сельское поселение</t>
  </si>
  <si>
    <t>60651405</t>
  </si>
  <si>
    <t>375</t>
  </si>
  <si>
    <t>Задоно-Кагальницкое сельское поселение</t>
  </si>
  <si>
    <t>60651410</t>
  </si>
  <si>
    <t>376</t>
  </si>
  <si>
    <t>Золоторевское сельское поселение</t>
  </si>
  <si>
    <t>60651415</t>
  </si>
  <si>
    <t>377</t>
  </si>
  <si>
    <t>Кочетовское сельское поселение</t>
  </si>
  <si>
    <t>60651420</t>
  </si>
  <si>
    <t>378</t>
  </si>
  <si>
    <t>Кузнецовское сельское поселение</t>
  </si>
  <si>
    <t>60651425</t>
  </si>
  <si>
    <t>379</t>
  </si>
  <si>
    <t>Новозолотовское сельское поселение</t>
  </si>
  <si>
    <t>60651430</t>
  </si>
  <si>
    <t>380</t>
  </si>
  <si>
    <t>381</t>
  </si>
  <si>
    <t>Семикаракорское городское поселение</t>
  </si>
  <si>
    <t>60651101</t>
  </si>
  <si>
    <t>382</t>
  </si>
  <si>
    <t>Сусатское сельское поселение</t>
  </si>
  <si>
    <t>60651440</t>
  </si>
  <si>
    <t>383</t>
  </si>
  <si>
    <t>Топилинское сельское поселение</t>
  </si>
  <si>
    <t>60651450</t>
  </si>
  <si>
    <t>384</t>
  </si>
  <si>
    <t>Советский район</t>
  </si>
  <si>
    <t>60652000</t>
  </si>
  <si>
    <t>Калач-Куртлакское сельское поселение</t>
  </si>
  <si>
    <t>60652414</t>
  </si>
  <si>
    <t>385</t>
  </si>
  <si>
    <t>386</t>
  </si>
  <si>
    <t>Советское сельское поселение</t>
  </si>
  <si>
    <t>60652426</t>
  </si>
  <si>
    <t>387</t>
  </si>
  <si>
    <t>Чирское сельское поселение</t>
  </si>
  <si>
    <t>60652437</t>
  </si>
  <si>
    <t>388</t>
  </si>
  <si>
    <t>Тарасовский район</t>
  </si>
  <si>
    <t>60653000</t>
  </si>
  <si>
    <t>Большинское сельское поселение</t>
  </si>
  <si>
    <t>60653405</t>
  </si>
  <si>
    <t>389</t>
  </si>
  <si>
    <t>Войковское сельское поселение</t>
  </si>
  <si>
    <t>60653410</t>
  </si>
  <si>
    <t>390</t>
  </si>
  <si>
    <t>Дячкинское сельское поселение</t>
  </si>
  <si>
    <t>60653415</t>
  </si>
  <si>
    <t>391</t>
  </si>
  <si>
    <t>Ефремово-Степановское сельское поселение</t>
  </si>
  <si>
    <t>60653420</t>
  </si>
  <si>
    <t>392</t>
  </si>
  <si>
    <t>Зеленовское сельское поселение</t>
  </si>
  <si>
    <t>60653425</t>
  </si>
  <si>
    <t>393</t>
  </si>
  <si>
    <t>Колушкинское сельское поселение</t>
  </si>
  <si>
    <t>60653430</t>
  </si>
  <si>
    <t>394</t>
  </si>
  <si>
    <t>60653435</t>
  </si>
  <si>
    <t>395</t>
  </si>
  <si>
    <t>Курно-Липовское сельское поселение</t>
  </si>
  <si>
    <t>60653440</t>
  </si>
  <si>
    <t>396</t>
  </si>
  <si>
    <t>Митякинское сельское поселение</t>
  </si>
  <si>
    <t>60653445</t>
  </si>
  <si>
    <t>397</t>
  </si>
  <si>
    <t>398</t>
  </si>
  <si>
    <t>Тарасовское сельское поселение</t>
  </si>
  <si>
    <t>60653453</t>
  </si>
  <si>
    <t>399</t>
  </si>
  <si>
    <t>Тацинский район</t>
  </si>
  <si>
    <t>60654000</t>
  </si>
  <si>
    <t>Быстрогорское сельское поселение</t>
  </si>
  <si>
    <t>60654407</t>
  </si>
  <si>
    <t>400</t>
  </si>
  <si>
    <t>Верхнеобливское сельское поселение</t>
  </si>
  <si>
    <t>60654411</t>
  </si>
  <si>
    <t>401</t>
  </si>
  <si>
    <t>Ермаковское сельское поселение</t>
  </si>
  <si>
    <t>60654422</t>
  </si>
  <si>
    <t>402</t>
  </si>
  <si>
    <t>Жирновское сельское поселение</t>
  </si>
  <si>
    <t>60654424</t>
  </si>
  <si>
    <t>403</t>
  </si>
  <si>
    <t>Зазерское сельское поселение</t>
  </si>
  <si>
    <t>60654433</t>
  </si>
  <si>
    <t>404</t>
  </si>
  <si>
    <t>Ковылкинское сельское поселение</t>
  </si>
  <si>
    <t>60654444</t>
  </si>
  <si>
    <t>405</t>
  </si>
  <si>
    <t>60654448</t>
  </si>
  <si>
    <t>406</t>
  </si>
  <si>
    <t>Скосырское сельское поселение</t>
  </si>
  <si>
    <t>60654456</t>
  </si>
  <si>
    <t>407</t>
  </si>
  <si>
    <t>60654460</t>
  </si>
  <si>
    <t>408</t>
  </si>
  <si>
    <t>409</t>
  </si>
  <si>
    <t>Тацинское сельское поселение</t>
  </si>
  <si>
    <t>60654465</t>
  </si>
  <si>
    <t>410</t>
  </si>
  <si>
    <t>Углегорское сельское поселение</t>
  </si>
  <si>
    <t>60654467</t>
  </si>
  <si>
    <t>411</t>
  </si>
  <si>
    <t>Усть-Донецкий район</t>
  </si>
  <si>
    <t>60655000</t>
  </si>
  <si>
    <t>Апаринское сельское поселение</t>
  </si>
  <si>
    <t>60655405</t>
  </si>
  <si>
    <t>412</t>
  </si>
  <si>
    <t>Верхнекудрюченское сельское поселение</t>
  </si>
  <si>
    <t>60655410</t>
  </si>
  <si>
    <t>413</t>
  </si>
  <si>
    <t>60655423</t>
  </si>
  <si>
    <t>414</t>
  </si>
  <si>
    <t>Мелиховское сельское поселение</t>
  </si>
  <si>
    <t>60655428</t>
  </si>
  <si>
    <t>415</t>
  </si>
  <si>
    <t>Нижнекундрюченское сельское поселение</t>
  </si>
  <si>
    <t>60655432</t>
  </si>
  <si>
    <t>416</t>
  </si>
  <si>
    <t>Пухляковское сельское поселение</t>
  </si>
  <si>
    <t>60655440</t>
  </si>
  <si>
    <t>417</t>
  </si>
  <si>
    <t>Раздорское сельское поселение</t>
  </si>
  <si>
    <t>60655450</t>
  </si>
  <si>
    <t>418</t>
  </si>
  <si>
    <t>419</t>
  </si>
  <si>
    <t>Усть-Донецкое городское поселение</t>
  </si>
  <si>
    <t>60655151</t>
  </si>
  <si>
    <t>420</t>
  </si>
  <si>
    <t>Целинский район</t>
  </si>
  <si>
    <t>60656000</t>
  </si>
  <si>
    <t>60656420</t>
  </si>
  <si>
    <t>421</t>
  </si>
  <si>
    <t>Лопанское сельское поселение</t>
  </si>
  <si>
    <t>60656425</t>
  </si>
  <si>
    <t>422</t>
  </si>
  <si>
    <t>60656430</t>
  </si>
  <si>
    <t>423</t>
  </si>
  <si>
    <t>Новоцелинское сельское поселение</t>
  </si>
  <si>
    <t>60656432</t>
  </si>
  <si>
    <t>424</t>
  </si>
  <si>
    <t>Ольшанское сельское поселение</t>
  </si>
  <si>
    <t>60656435</t>
  </si>
  <si>
    <t>425</t>
  </si>
  <si>
    <t>Среднеегорлыкское сельское поселение</t>
  </si>
  <si>
    <t>60656440</t>
  </si>
  <si>
    <t>426</t>
  </si>
  <si>
    <t>Хлеборобное сельское поселение</t>
  </si>
  <si>
    <t>60656450</t>
  </si>
  <si>
    <t>427</t>
  </si>
  <si>
    <t>428</t>
  </si>
  <si>
    <t>Целинское сельское поселение</t>
  </si>
  <si>
    <t>60656455</t>
  </si>
  <si>
    <t>429</t>
  </si>
  <si>
    <t>60656460</t>
  </si>
  <si>
    <t>430</t>
  </si>
  <si>
    <t>Цимлянский район</t>
  </si>
  <si>
    <t>60657000</t>
  </si>
  <si>
    <t>60657420</t>
  </si>
  <si>
    <t>431</t>
  </si>
  <si>
    <t>Красноярское сельское поселение</t>
  </si>
  <si>
    <t>60657430</t>
  </si>
  <si>
    <t>432</t>
  </si>
  <si>
    <t>Лозновское сельское поселение</t>
  </si>
  <si>
    <t>60657433</t>
  </si>
  <si>
    <t>433</t>
  </si>
  <si>
    <t>Маркинское сельское поселение</t>
  </si>
  <si>
    <t>60657435</t>
  </si>
  <si>
    <t>434</t>
  </si>
  <si>
    <t>Новоцимлянское сельское поселение</t>
  </si>
  <si>
    <t>60657440</t>
  </si>
  <si>
    <t>435</t>
  </si>
  <si>
    <t>Саркеловское сельское поселение</t>
  </si>
  <si>
    <t>60657444</t>
  </si>
  <si>
    <t>436</t>
  </si>
  <si>
    <t>437</t>
  </si>
  <si>
    <t>Цимлянское городское поселение</t>
  </si>
  <si>
    <t>60657101</t>
  </si>
  <si>
    <t>438</t>
  </si>
  <si>
    <t>Чертковский район</t>
  </si>
  <si>
    <t>60658000</t>
  </si>
  <si>
    <t>Алексеево-Лозовское сельское поселение</t>
  </si>
  <si>
    <t>60658404</t>
  </si>
  <si>
    <t>439</t>
  </si>
  <si>
    <t>60658416</t>
  </si>
  <si>
    <t>440</t>
  </si>
  <si>
    <t>Зубрилинское сельское поселение</t>
  </si>
  <si>
    <t>60658420</t>
  </si>
  <si>
    <t>441</t>
  </si>
  <si>
    <t>60658424</t>
  </si>
  <si>
    <t>442</t>
  </si>
  <si>
    <t>Маньковское сельское поселение</t>
  </si>
  <si>
    <t>60658428</t>
  </si>
  <si>
    <t>443</t>
  </si>
  <si>
    <t>Михайлово-Александровское сельское поселение</t>
  </si>
  <si>
    <t>60658432</t>
  </si>
  <si>
    <t>444</t>
  </si>
  <si>
    <t>Нагибинское сельское поселение</t>
  </si>
  <si>
    <t>60658434</t>
  </si>
  <si>
    <t>445</t>
  </si>
  <si>
    <t>Ольховчанское сельское поселение</t>
  </si>
  <si>
    <t>60658436</t>
  </si>
  <si>
    <t>446</t>
  </si>
  <si>
    <t>Осиковское сельское поселение</t>
  </si>
  <si>
    <t>60658438</t>
  </si>
  <si>
    <t>447</t>
  </si>
  <si>
    <t>Сетрковское сельское поселение</t>
  </si>
  <si>
    <t>60658444</t>
  </si>
  <si>
    <t>448</t>
  </si>
  <si>
    <t>Сохрановское сельское поселение</t>
  </si>
  <si>
    <t>60658448</t>
  </si>
  <si>
    <t>449</t>
  </si>
  <si>
    <t>450</t>
  </si>
  <si>
    <t>Чертковское сельское поселение</t>
  </si>
  <si>
    <t>60658454</t>
  </si>
  <si>
    <t>451</t>
  </si>
  <si>
    <t>Шептуховское сельское поселение</t>
  </si>
  <si>
    <t>60658456</t>
  </si>
  <si>
    <t>452</t>
  </si>
  <si>
    <t>Щедровское сельское поселение</t>
  </si>
  <si>
    <t>60658460</t>
  </si>
  <si>
    <t>453</t>
  </si>
  <si>
    <t>Шолоховский район</t>
  </si>
  <si>
    <t>60659000</t>
  </si>
  <si>
    <t>Базковское сельское поселение</t>
  </si>
  <si>
    <t>60659405</t>
  </si>
  <si>
    <t>454</t>
  </si>
  <si>
    <t>Вешенское сельское поселение</t>
  </si>
  <si>
    <t>60659410</t>
  </si>
  <si>
    <t>455</t>
  </si>
  <si>
    <t>Дубровское сельское поселение</t>
  </si>
  <si>
    <t>60659415</t>
  </si>
  <si>
    <t>456</t>
  </si>
  <si>
    <t>Дударевское сельское поселение</t>
  </si>
  <si>
    <t>60659420</t>
  </si>
  <si>
    <t>457</t>
  </si>
  <si>
    <t>60659425</t>
  </si>
  <si>
    <t>458</t>
  </si>
  <si>
    <t>Колундаевское сельское поселение</t>
  </si>
  <si>
    <t>60659430</t>
  </si>
  <si>
    <t>459</t>
  </si>
  <si>
    <t>Кружилинское сельское поселение</t>
  </si>
  <si>
    <t>60659435</t>
  </si>
  <si>
    <t>460</t>
  </si>
  <si>
    <t>Меркуловское сельское поселение</t>
  </si>
  <si>
    <t>60659440</t>
  </si>
  <si>
    <t>461</t>
  </si>
  <si>
    <t>Терновское сельское поселение</t>
  </si>
  <si>
    <t>60659460</t>
  </si>
  <si>
    <t>462</t>
  </si>
  <si>
    <t>463</t>
  </si>
  <si>
    <t>NUMBER_POINT</t>
  </si>
  <si>
    <t>INVP_NAME</t>
  </si>
  <si>
    <t>INVP_ID</t>
  </si>
  <si>
    <t>L_START_DATE</t>
  </si>
  <si>
    <t>L_END_DATE</t>
  </si>
  <si>
    <t>L_DECISION_NAME</t>
  </si>
  <si>
    <t>L_DECISION_TYPE</t>
  </si>
  <si>
    <t>L_DECISION_NMBR</t>
  </si>
  <si>
    <t>L_DECISION_DATE</t>
  </si>
  <si>
    <t>TER_NAME</t>
  </si>
  <si>
    <t>Территория 1</t>
  </si>
  <si>
    <t>ID_TARIFF_NAME</t>
  </si>
  <si>
    <t>TARIFF_NAME</t>
  </si>
  <si>
    <t>VED_NAME</t>
  </si>
  <si>
    <t>4189702</t>
  </si>
  <si>
    <t>4189703</t>
  </si>
  <si>
    <t>4189704</t>
  </si>
  <si>
    <t>ID</t>
  </si>
  <si>
    <t>LINK_NAME</t>
  </si>
  <si>
    <t>https://portal.eias.ru/Portal/DownloadPage.aspx?type=12&amp;guid=????????-????-????-????-????????????</t>
  </si>
  <si>
    <t>ALL</t>
  </si>
  <si>
    <t>https://eias.fstrf.ru/disclo/get_file?p_guid=????????-????-????-????-????????????</t>
  </si>
  <si>
    <t>Форма</t>
  </si>
  <si>
    <t>Листы</t>
  </si>
  <si>
    <t>optOrganization</t>
  </si>
  <si>
    <t>optROiV</t>
  </si>
  <si>
    <t>optHEAT</t>
  </si>
  <si>
    <t>optCOLDVSNA</t>
  </si>
  <si>
    <t>optVOTV</t>
  </si>
  <si>
    <t>optHOTVSNA</t>
  </si>
  <si>
    <t>optTKO</t>
  </si>
  <si>
    <t>optORG</t>
  </si>
  <si>
    <t>optPRICE</t>
  </si>
  <si>
    <t>optBALANCE</t>
  </si>
  <si>
    <t>optQUARTER</t>
  </si>
  <si>
    <t>optINVEST</t>
  </si>
  <si>
    <t>optTERMS</t>
  </si>
  <si>
    <t>optREQUEST</t>
  </si>
  <si>
    <t>modSave</t>
  </si>
  <si>
    <t>Расчетные листы</t>
  </si>
  <si>
    <t>Скрытые листы</t>
  </si>
  <si>
    <t>Instruction</t>
  </si>
  <si>
    <t>DATA_FORMS</t>
  </si>
  <si>
    <t>modUpdTemplLogger</t>
  </si>
  <si>
    <t>DATA_NPA</t>
  </si>
  <si>
    <t>TITLE</t>
  </si>
  <si>
    <t>TEHSHEET</t>
  </si>
  <si>
    <t>TERRITORY</t>
  </si>
  <si>
    <t>TSH_et_union_hor</t>
  </si>
  <si>
    <t>DIFFERENTIATION</t>
  </si>
  <si>
    <t>modP_T_TERMS</t>
  </si>
  <si>
    <t>DIFFERENTIATION_TARIFF</t>
  </si>
  <si>
    <t>modMainProcedures</t>
  </si>
  <si>
    <t>DIFFERENTIATION_TKO</t>
  </si>
  <si>
    <t>modB_FHD</t>
  </si>
  <si>
    <t>ORG_INFO</t>
  </si>
  <si>
    <t>modB_FHD20</t>
  </si>
  <si>
    <t>ORG_VD</t>
  </si>
  <si>
    <t>modB_KNE</t>
  </si>
  <si>
    <t>ORG_VD_TKO</t>
  </si>
  <si>
    <t>modIP_MAIN</t>
  </si>
  <si>
    <t>ORG_TERRITORY</t>
  </si>
  <si>
    <t>modIP_QRE</t>
  </si>
  <si>
    <t>P_T_TERMS</t>
  </si>
  <si>
    <t>modIP_DETAILED</t>
  </si>
  <si>
    <t>TARIFF_A</t>
  </si>
  <si>
    <t>TSH_et_union_vert</t>
  </si>
  <si>
    <t>TARIFF_B</t>
  </si>
  <si>
    <t>modROIV</t>
  </si>
  <si>
    <t>TARIFF_F</t>
  </si>
  <si>
    <t>modDIFFERENTIATION_TKO</t>
  </si>
  <si>
    <t>TARIFF_C</t>
  </si>
  <si>
    <t>modTARIFF_HEAT</t>
  </si>
  <si>
    <t>TARIFF_E1</t>
  </si>
  <si>
    <t>modTARIFF_COLDVSNA</t>
  </si>
  <si>
    <t>TARIFF_E2</t>
  </si>
  <si>
    <t>modIP_FIN_PLAN</t>
  </si>
  <si>
    <t>TARIFF_D</t>
  </si>
  <si>
    <t>REESTR_IP</t>
  </si>
  <si>
    <t>TARIFF_G</t>
  </si>
  <si>
    <t>modfrmListIP</t>
  </si>
  <si>
    <t>Лист5</t>
  </si>
  <si>
    <t>modfrmActivity</t>
  </si>
  <si>
    <t>Лист6</t>
  </si>
  <si>
    <t>REESTR_DS</t>
  </si>
  <si>
    <t>Лист7</t>
  </si>
  <si>
    <t>REESTR_VED</t>
  </si>
  <si>
    <t>Лист14</t>
  </si>
  <si>
    <t>TSH_REESTR_MO</t>
  </si>
  <si>
    <t>P_PROCEDURE_TC</t>
  </si>
  <si>
    <t>TSH_REESTR_MO_FILTER</t>
  </si>
  <si>
    <t>R_B_Purch</t>
  </si>
  <si>
    <t>REESTR_LINK</t>
  </si>
  <si>
    <t>Q_PH</t>
  </si>
  <si>
    <t>modDIFFERENTIATION_TARIFF</t>
  </si>
  <si>
    <t>Q_TP</t>
  </si>
  <si>
    <t>modDIFFERENTIATION</t>
  </si>
  <si>
    <t>Q_LIMIT</t>
  </si>
  <si>
    <t>modTERRITORY</t>
  </si>
  <si>
    <t>R_Offer</t>
  </si>
  <si>
    <t>modQ_PH</t>
  </si>
  <si>
    <t>TARIFF_A_COLDVSNA</t>
  </si>
  <si>
    <t>modORG_INFO</t>
  </si>
  <si>
    <t>TARIFF_B_COLDVSNA</t>
  </si>
  <si>
    <t>modORG_VD</t>
  </si>
  <si>
    <t>TARIFF_C_COLDVSNA</t>
  </si>
  <si>
    <t>modORG_TERRITORY</t>
  </si>
  <si>
    <t>TARIFF_D_COLDVSNA</t>
  </si>
  <si>
    <t>modfrmSelectTerritory</t>
  </si>
  <si>
    <t>TARIFF_E_COLDVSNA</t>
  </si>
  <si>
    <t>modQ_TP</t>
  </si>
  <si>
    <t>B_FHD</t>
  </si>
  <si>
    <t>modQ_LIMIT</t>
  </si>
  <si>
    <t>B_FHD20</t>
  </si>
  <si>
    <t>modListTempFilter</t>
  </si>
  <si>
    <t>B_FHD_TKO</t>
  </si>
  <si>
    <t>modCheckCyan</t>
  </si>
  <si>
    <t>B_FHD_TKO_TRANS</t>
  </si>
  <si>
    <t>modHTTP</t>
  </si>
  <si>
    <t>B_KNE</t>
  </si>
  <si>
    <t>modfrmRezimChoose</t>
  </si>
  <si>
    <t>IP_MAIN</t>
  </si>
  <si>
    <t>modSheetMain</t>
  </si>
  <si>
    <t>IP_DETAILED</t>
  </si>
  <si>
    <t>REESTR_VT</t>
  </si>
  <si>
    <t>IP_FIN_PLAN</t>
  </si>
  <si>
    <t>modfrmReportMode</t>
  </si>
  <si>
    <t>IP_QRE</t>
  </si>
  <si>
    <t>modfrmReestrObj</t>
  </si>
  <si>
    <t>TARIFF_A_HOTVSNA</t>
  </si>
  <si>
    <t>AllSheetsInThisWorkbook</t>
  </si>
  <si>
    <t>TARIFF_B_HOTVSNA</t>
  </si>
  <si>
    <t>modInstruction</t>
  </si>
  <si>
    <t>TARIFF_C_HOTVSNA</t>
  </si>
  <si>
    <t>modRegion</t>
  </si>
  <si>
    <t>TARIFF_A_VOTV</t>
  </si>
  <si>
    <t>modReestr</t>
  </si>
  <si>
    <t>TARIFF_B_VOTV</t>
  </si>
  <si>
    <t>modfrmReestr</t>
  </si>
  <si>
    <t>TARIFF_C_VOTV</t>
  </si>
  <si>
    <t>modUpdTemplMain</t>
  </si>
  <si>
    <t>ED</t>
  </si>
  <si>
    <t>TSH_REESTR_ORG</t>
  </si>
  <si>
    <t>CHANGE_INFO</t>
  </si>
  <si>
    <t>modClassifierValidate</t>
  </si>
  <si>
    <t>ListComm</t>
  </si>
  <si>
    <t>modCHECK</t>
  </si>
  <si>
    <t>CHECK</t>
  </si>
  <si>
    <t>modHyp</t>
  </si>
  <si>
    <t>ROIV_INFO</t>
  </si>
  <si>
    <t>modServiceModule</t>
  </si>
  <si>
    <t>ROIV_ORG</t>
  </si>
  <si>
    <t>modInfo</t>
  </si>
  <si>
    <t>ROIV_CASE</t>
  </si>
  <si>
    <t>modTITLE</t>
  </si>
  <si>
    <t>ROIV_OTV</t>
  </si>
  <si>
    <t>modList02</t>
  </si>
  <si>
    <t>Лист1</t>
  </si>
  <si>
    <t>modED</t>
  </si>
  <si>
    <t>modList05</t>
  </si>
  <si>
    <t>modList06</t>
  </si>
  <si>
    <t>modCHANGE_INFO</t>
  </si>
  <si>
    <t>modList11</t>
  </si>
  <si>
    <t>modList12</t>
  </si>
  <si>
    <t>modfrmDateChoose</t>
  </si>
  <si>
    <t>modComm</t>
  </si>
  <si>
    <t>modThisWorkbook</t>
  </si>
  <si>
    <t>modfrmReestrMR</t>
  </si>
  <si>
    <t>modfrmCheckUpdates</t>
  </si>
  <si>
    <t>Титульный</t>
  </si>
  <si>
    <t>Для выбора того или иного источника публикации выполните двойной щелчок по синей ячейке напротив соответствующего источника._x000D_
ВНИМАНИЕ! Если Вы снимаете галочку с пункта, то будут скрыты и очищены соответствующие строки на листе "Форма 1.0.2"!_x000D_
_x000D_
Опубликование перечисленных в шаблоне показателей на сайте организации в сети Интернет и в печатных изданиях не обязательно, если данный шаблон предоставлен по системе ЕИАС (региональный сегмент).</t>
  </si>
  <si>
    <t>Обязательное опубликование на официальном сайте органа исполнительной власти субъекта Российской Федерации в области государственного регулирования цен (тарифов), и (или) на официальном сайте органа местного самоуправления поселения или городского округа в случае их наделения в соответствии с законом субъекта Российской Федерации полномочиями по государственному регулированию цен (тарифов)предусмотрено пунктом 3 (а) постановления Правительства №6 от 17.01.2013г.</t>
  </si>
  <si>
    <t>Задайте период регулирования, выбрав даты начала и окончания периода регулирования из календаря (иконка справа от указанной ячейки), либо введите дату непосредственно в ячейку в формате - 'ДД.ММ.ГГГГ'</t>
  </si>
  <si>
    <t>Шаблон заполняется раздельно по каждому виду тарифа</t>
  </si>
  <si>
    <t>В зависимости от указанного вида деятельности будут доступны для заполнения поля 'Производство', 'Передача' и 'Сбыт'</t>
  </si>
  <si>
    <t>Если выбрано 'да', на листах с разбивкой по потребителям доступны для заполнения графы для двухставочного ставочного тарифа по группам потребителей</t>
  </si>
  <si>
    <t>Если выбрано 'да', значения тарифов для групп потребителей на листах с разбивкой по потребителям заполнятся автоматически значениями первой группы</t>
  </si>
  <si>
    <t>Если выбрано значение «да» - в шаблоне будет сформирован лист «Форма 1.0.2» для уведомления органа регулирования о публикации информации в печатных изданиях</t>
  </si>
  <si>
    <t xml:space="preserve">По умолчанию установлено значение «первичное раскрытие информации» Это означает, что информация раскрывается в соответствии с установленными сроком и периодичностью. В случае если в уже отправленном шаблоне обнаружена ошибка или произошло изменение информации, исправленный шаблон необходимо отправить с типом отчета «изменения в раскрытой ранее информации». </t>
  </si>
  <si>
    <t>Укажите является ли данное юридическое лицо подразделением(филиалом) другой организации</t>
  </si>
  <si>
    <t>Ссылки на публикации</t>
  </si>
  <si>
    <t>Вводите адрес сайта,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</si>
  <si>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Обосновывающие материалы необходимо загружать с помощью "ЕИАС Мониторинг". Ссылка на инструкцию по загрузке обосновывающих материалов расположена на листе 'Инструкция' в п.'Методология заполнения'._x000D_
_x000D_
Ввводите ссылку,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</si>
  <si>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Если для какого-либо пункта графы 'Наименование источника (сайта или печатного издания)' информация не раскрывалась, то в соответствующем поле укажите - 'не раскрывалась'</t>
  </si>
  <si>
    <t>Список МО</t>
  </si>
  <si>
    <t>В случае, если тариф не дифференцируется по системам теплоснабжения, перечислите все муниципальные районы, в которых организация осуществляет услуги теплоснабжения и сфере оказания услуг по передаче тепловой энергии</t>
  </si>
  <si>
    <t>В случае, если тариф не дифференцируется по системам теплоснабжения, перечислите все муниципальные образования, в которых организация осуществляет услуги теплоснабжения и сфере оказания услуг по передаче тепловой энергии</t>
  </si>
  <si>
    <t>Признак дифференциации тарифа</t>
  </si>
  <si>
    <t>В случае, если тариф не дифференцируется по системам теплоснабжения, укажите "1"._x000D_
Введите значение от 1 до 100, чтобы указать очередной условный порядковый номер системы теплоснабжения</t>
  </si>
  <si>
    <t>Стандарты</t>
  </si>
  <si>
    <t>В качестве примечания Вы можете указать единицу измерения</t>
  </si>
  <si>
    <t>Для корректного формирования Таблицы 25 Формы 1.10 необходимо задать разбивку по диаметрам и способу прокладки тепловых сетей</t>
  </si>
  <si>
    <t>Перечень тарифов</t>
  </si>
  <si>
    <t>Укажите «Да» в поле «Да/Нет», если дифференциация используется._x000D_
В поле «Описание» 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</si>
  <si>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Признаки дифференциации указываются в соответствии с п.6 ст.32 ФЗ РФ от 07.12.2011 №416-ФЗ</t>
  </si>
  <si>
    <t>Укажите «Да» в поле «Да/Нет», если дифференциация используется. В поле «Описание» укажите название ЦС ГВС или любое другое описание</t>
  </si>
  <si>
    <t>Территории</t>
  </si>
  <si>
    <t>Наименование территории действия тарифа для целей идентификации</t>
  </si>
  <si>
    <t>Муниципальные районы и муниципальные образования, на территории которых действует тариф</t>
  </si>
  <si>
    <t>Инструкция</t>
  </si>
  <si>
    <t>Нет доступных обновлений, версия отчёта актуальна</t>
  </si>
</sst>
</file>

<file path=xl/styles.xml><?xml version="1.0" encoding="utf-8"?>
<styleSheet xmlns="http://schemas.openxmlformats.org/spreadsheetml/2006/main" xmlns:mc="http://schemas.openxmlformats.org/markup-compatibility/2006" xmlns:x14ac="http://schemas.microsoft.com/office/spreadsheetml/2009/9/ac" mc:Ignorable="x14ac">
  <numFmts count="11">
    <numFmt numFmtId="41" formatCode="_(* #,##0_);_(* (#,##0);_(* &quot;-&quot;_);_(@_)"/>
    <numFmt numFmtId="43" formatCode="_(* #,##0.00_);_(* (#,##0.00);_(* &quot;-&quot;??_);_(@_)"/>
    <numFmt numFmtId="44" formatCode="_(&quot;$&quot;* #,##0.00_);_(&quot;$&quot;* (#,##0.00);_(&quot;$&quot;* &quot;-&quot;??_);_(@_)"/>
    <numFmt numFmtId="164" formatCode="#,##0.000"/>
    <numFmt numFmtId="165" formatCode="000000"/>
    <numFmt numFmtId="166" formatCode="#,##0.0000"/>
    <numFmt numFmtId="167" formatCode="dd\.mm\.yyyy"/>
    <numFmt numFmtId="168" formatCode="h:mm;@"/>
    <numFmt numFmtId="169" formatCode="&quot;$&quot;#,##0_);[Red]\(&quot;$&quot;#,##0\)"/>
    <numFmt numFmtId="170" formatCode="_-* #,##0.00[$€-1]_-;\-* #,##0.00[$€-1]_-;_-* &quot;-&quot;??[$€-1]_-"/>
    <numFmt numFmtId="171" formatCode="#,##0.0"/>
  </numFmts>
  <fonts count="130">
    <font>
      <sz val="9"/>
      <color rgb="FF000000"/>
      <name val="Tahoma"/>
    </font>
    <font>
      <sz val="11"/>
      <color theme="1"/>
      <name val="Calibri"/>
      <scheme val="minor"/>
    </font>
    <font>
      <sz val="11"/>
      <color theme="0"/>
      <name val="Calibri"/>
      <scheme val="minor"/>
    </font>
    <font>
      <sz val="11"/>
      <color rgb="FF9C0006"/>
      <name val="Calibri"/>
      <scheme val="minor"/>
    </font>
    <font>
      <b/>
      <sz val="11"/>
      <color rgb="FFFA7D00"/>
      <name val="Calibri"/>
      <scheme val="minor"/>
    </font>
    <font>
      <b/>
      <sz val="11"/>
      <color theme="0"/>
      <name val="Calibri"/>
      <scheme val="minor"/>
    </font>
    <font>
      <sz val="11"/>
      <color indexed="0"/>
      <name val="Calibri"/>
      <family val="2"/>
    </font>
    <font>
      <i/>
      <sz val="11"/>
      <color rgb="FF7F7F7F"/>
      <name val="Calibri"/>
      <scheme val="minor"/>
    </font>
    <font>
      <sz val="11"/>
      <color rgb="FF006100"/>
      <name val="Calibri"/>
      <scheme val="minor"/>
    </font>
    <font>
      <b/>
      <sz val="15"/>
      <color theme="3"/>
      <name val="Calibri"/>
      <scheme val="minor"/>
    </font>
    <font>
      <b/>
      <sz val="13"/>
      <color theme="3"/>
      <name val="Calibri"/>
      <scheme val="minor"/>
    </font>
    <font>
      <b/>
      <sz val="11"/>
      <color theme="3"/>
      <name val="Calibri"/>
      <scheme val="minor"/>
    </font>
    <font>
      <sz val="11"/>
      <color rgb="FF3F3F76"/>
      <name val="Calibri"/>
      <scheme val="minor"/>
    </font>
    <font>
      <sz val="11"/>
      <color rgb="FFFA7D00"/>
      <name val="Calibri"/>
      <scheme val="minor"/>
    </font>
    <font>
      <sz val="11"/>
      <color rgb="FF9C6500"/>
      <name val="Calibri"/>
      <scheme val="minor"/>
    </font>
    <font>
      <sz val="12"/>
      <color auto="1"/>
      <name val="Arial"/>
    </font>
    <font>
      <b/>
      <sz val="11"/>
      <color rgb="FF3F3F3F"/>
      <name val="Calibri"/>
      <scheme val="minor"/>
    </font>
    <font>
      <b/>
      <sz val="18"/>
      <color theme="3"/>
      <name val="Cambria"/>
      <scheme val="major"/>
    </font>
    <font>
      <b/>
      <sz val="11"/>
      <color theme="1"/>
      <name val="Calibri"/>
      <scheme val="minor"/>
    </font>
    <font>
      <sz val="11"/>
      <color rgb="FFFF0000"/>
      <name val="Calibri"/>
      <scheme val="minor"/>
    </font>
    <font>
      <sz val="10"/>
      <color auto="1"/>
      <name val="Helv"/>
    </font>
    <font>
      <sz val="8"/>
      <color auto="1"/>
      <name val="Arial"/>
    </font>
    <font>
      <sz val="10"/>
      <color auto="1"/>
      <name val="Tahoma"/>
    </font>
    <font>
      <sz val="9"/>
      <color auto="1"/>
      <name val="Tahoma"/>
    </font>
    <font>
      <sz val="8"/>
      <color auto="1"/>
      <name val="Palatino"/>
    </font>
    <font>
      <u/>
      <sz val="10"/>
      <color rgb="FF800080"/>
      <name val="Arial Cyr"/>
    </font>
    <font>
      <u/>
      <sz val="10"/>
      <color rgb="FF0000FF"/>
      <name val="Arial Cyr"/>
    </font>
    <font>
      <sz val="8"/>
      <color auto="1"/>
      <name val="Helv"/>
    </font>
    <font>
      <sz val="11"/>
      <color auto="1"/>
      <name val="Tahoma"/>
    </font>
    <font>
      <sz val="11"/>
      <color rgb="FF333399"/>
      <name val="Calibri"/>
    </font>
    <font>
      <b/>
      <u/>
      <sz val="11"/>
      <color rgb="FF0000FF"/>
      <name val="Arial"/>
    </font>
    <font>
      <u/>
      <sz val="9"/>
      <color rgb="FF0000FF"/>
      <name val="Tahoma"/>
    </font>
    <font>
      <u/>
      <sz val="9"/>
      <color rgb="FF000080"/>
      <name val="Tahoma"/>
    </font>
    <font>
      <b/>
      <u/>
      <sz val="9"/>
      <color rgb="FF0000FF"/>
      <name val="Tahoma"/>
    </font>
    <font>
      <u/>
      <sz val="9"/>
      <color rgb="FF333399"/>
      <name val="Tahoma"/>
    </font>
    <font>
      <b/>
      <sz val="14"/>
      <color auto="1"/>
      <name val="Franklin Gothic Medium"/>
    </font>
    <font>
      <b/>
      <sz val="9"/>
      <color auto="1"/>
      <name val="Tahoma"/>
    </font>
    <font>
      <sz val="11"/>
      <color rgb="FF000000"/>
      <name val="Calibri"/>
    </font>
    <font>
      <sz val="10"/>
      <color auto="1"/>
      <name val="Arial Cyr"/>
    </font>
    <font>
      <sz val="9"/>
      <color rgb="FF00FF00"/>
      <name val="Tahoma"/>
    </font>
    <font>
      <sz val="9"/>
      <color rgb="FFFFFFFF"/>
      <name val="Tahoma"/>
    </font>
    <font>
      <sz val="9"/>
      <color rgb="FFCC0000"/>
      <name val="Tahoma"/>
    </font>
    <font>
      <sz val="16"/>
      <color auto="1"/>
      <name val="Tahoma"/>
    </font>
    <font>
      <sz val="16"/>
      <color rgb="FFFFFFFF"/>
      <name val="Tahoma"/>
    </font>
    <font>
      <sz val="9"/>
      <color rgb="FFBCBCBC"/>
      <name val="Tahoma"/>
    </font>
    <font>
      <sz val="11"/>
      <color rgb="FFBCBCBC"/>
      <name val="Wingdings 2"/>
    </font>
    <font>
      <b/>
      <u/>
      <sz val="9"/>
      <color auto="1"/>
      <name val="Tahoma"/>
    </font>
    <font>
      <sz val="11"/>
      <color auto="1"/>
      <name val="Webdings2"/>
    </font>
    <font>
      <sz val="9"/>
      <color rgb="FF000080"/>
      <name val="Tahoma"/>
    </font>
    <font>
      <b/>
      <sz val="11"/>
      <color rgb="FF000000"/>
      <name val="Calibri"/>
    </font>
    <font>
      <sz val="11"/>
      <color auto="1"/>
      <name val="Wingdings 2"/>
    </font>
    <font>
      <b/>
      <sz val="9"/>
      <color rgb="FFFFFFFF"/>
      <name val="Tahoma"/>
    </font>
    <font>
      <b/>
      <u/>
      <sz val="9"/>
      <color rgb="FF000080"/>
      <name val="Tahoma"/>
    </font>
    <font>
      <sz val="8"/>
      <color auto="1"/>
      <name val="Tahoma"/>
    </font>
    <font>
      <sz val="9"/>
      <color theme="0"/>
      <name val="Tahoma"/>
    </font>
    <font>
      <sz val="1"/>
      <color theme="0"/>
      <name val="Tahoma"/>
    </font>
    <font>
      <b/>
      <sz val="1"/>
      <color theme="0"/>
      <name val="Calibri"/>
    </font>
    <font>
      <sz val="8"/>
      <color rgb="FFBCBCBC"/>
      <name val="Tahoma"/>
    </font>
    <font>
      <sz val="12"/>
      <color rgb="FF000000"/>
      <name val="Tahoma"/>
    </font>
    <font>
      <sz val="9"/>
      <color rgb="FFFF0000"/>
      <name val="Tahoma"/>
    </font>
    <font>
      <sz val="5"/>
      <color rgb="FFFF0000"/>
      <name val="Tahoma"/>
    </font>
    <font>
      <sz val="11"/>
      <color theme="0"/>
      <name val="Wingdings 2"/>
    </font>
    <font>
      <sz val="5"/>
      <color theme="0"/>
      <name val="Tahoma"/>
    </font>
    <font>
      <sz val="3"/>
      <color rgb="FFFFFFFF"/>
      <name val="Tahoma"/>
    </font>
    <font>
      <sz val="3"/>
      <color rgb="FFCC0000"/>
      <name val="Tahoma"/>
    </font>
    <font>
      <sz val="3"/>
      <color auto="1"/>
      <name val="Tahoma"/>
    </font>
    <font>
      <sz val="3"/>
      <color rgb="FF000000"/>
      <name val="Tahoma"/>
    </font>
    <font>
      <sz val="3"/>
      <color rgb="FF993300"/>
      <name val="Tahoma"/>
    </font>
    <font>
      <sz val="1"/>
      <color rgb="FFFFFFFF"/>
      <name val="Tahoma"/>
    </font>
    <font>
      <sz val="18"/>
      <color auto="1"/>
      <name val="Tahoma"/>
    </font>
    <font>
      <sz val="18"/>
      <color rgb="FF000000"/>
      <name val="Tahoma"/>
    </font>
    <font>
      <sz val="11"/>
      <color rgb="FF000000"/>
      <name val="Tahoma"/>
    </font>
    <font>
      <sz val="1"/>
      <color rgb="FF000000"/>
      <name val="Tahoma"/>
    </font>
    <font>
      <sz val="15"/>
      <color rgb="FF000000"/>
      <name val="Tahoma"/>
    </font>
    <font>
      <sz val="11"/>
      <color theme="0"/>
      <name val="Webdings2"/>
    </font>
    <font>
      <u/>
      <sz val="1"/>
      <color rgb="FF333399"/>
      <name val="Tahoma"/>
    </font>
    <font>
      <sz val="15"/>
      <color auto="1"/>
      <name val="Tahoma"/>
    </font>
    <font>
      <sz val="1"/>
      <color auto="1"/>
      <name val="Tahoma"/>
    </font>
    <font>
      <b/>
      <sz val="9"/>
      <color rgb="FF000080"/>
      <name val="Tahoma"/>
    </font>
    <font>
      <sz val="12"/>
      <color theme="0"/>
      <name val="Tahoma"/>
    </font>
    <font>
      <sz val="9"/>
      <color theme="1"/>
      <name val="Tahoma"/>
    </font>
    <font>
      <sz val="9"/>
      <color rgb="FF0066CC"/>
      <name val="Tahoma"/>
    </font>
    <font>
      <b/>
      <sz val="10"/>
      <color theme="1"/>
      <name val="Tahoma"/>
    </font>
    <font>
      <sz val="10"/>
      <color theme="1"/>
      <name val="Tahoma"/>
    </font>
    <font>
      <sz val="3"/>
      <color rgb="FFBCBCBC"/>
      <name val="Tahoma"/>
    </font>
    <font>
      <sz val="1"/>
      <color rgb="FFBCBCBC"/>
      <name val="Tahoma"/>
    </font>
    <font>
      <sz val="12"/>
      <color auto="1"/>
      <name val="Marlett"/>
    </font>
    <font>
      <sz val="9"/>
      <color rgb="FFBCBCBC"/>
      <name val="Wingdings 2"/>
    </font>
    <font>
      <sz val="12"/>
      <color auto="1"/>
      <name val="Tahoma"/>
    </font>
    <font>
      <sz val="15"/>
      <color theme="0"/>
      <name val="Tahoma"/>
    </font>
    <font>
      <sz val="1"/>
      <color rgb="FFFF0000"/>
      <name val="Tahoma"/>
    </font>
    <font>
      <b/>
      <sz val="11"/>
      <color theme="0"/>
      <name val="Calibri"/>
    </font>
    <font>
      <sz val="11"/>
      <color theme="0"/>
      <name val="Tahoma"/>
    </font>
    <font>
      <sz val="3"/>
      <color theme="0"/>
      <name val="Tahoma"/>
    </font>
    <font>
      <b/>
      <sz val="3"/>
      <color auto="1"/>
      <name val="Tahoma"/>
    </font>
    <font>
      <b/>
      <sz val="9"/>
      <color rgb="FF0070C0"/>
      <name val="Tahoma"/>
    </font>
    <font>
      <sz val="7"/>
      <color auto="1"/>
      <name val="Tahoma"/>
    </font>
    <font>
      <sz val="7"/>
      <color rgb="FFFFFFFF"/>
      <name val="Tahoma"/>
    </font>
    <font>
      <sz val="7"/>
      <color theme="0" tint="-0.5"/>
      <name val="Tahoma"/>
    </font>
    <font>
      <sz val="8"/>
      <color theme="0"/>
      <name val="Tahoma"/>
    </font>
    <font>
      <sz val="7"/>
      <color rgb="FF000000"/>
      <name val="Tahoma"/>
    </font>
    <font>
      <b/>
      <sz val="9"/>
      <color theme="0"/>
      <name val="Tahoma"/>
    </font>
    <font>
      <b/>
      <sz val="1"/>
      <color theme="0"/>
      <name val="Tahoma"/>
    </font>
    <font>
      <sz val="19"/>
      <color theme="0"/>
      <name val="Tahoma"/>
    </font>
    <font>
      <sz val="8"/>
      <color rgb="FFFFFFFF"/>
      <name val="Tahoma"/>
    </font>
    <font>
      <b/>
      <sz val="1"/>
      <color auto="1"/>
      <name val="Tahoma"/>
    </font>
    <font>
      <b/>
      <sz val="1"/>
      <color rgb="FF000080"/>
      <name val="Tahoma"/>
    </font>
    <font>
      <b/>
      <sz val="10"/>
      <color auto="1"/>
      <name val="Tahoma"/>
    </font>
    <font>
      <b/>
      <sz val="9"/>
      <color rgb="FF000000"/>
      <name val="Tahoma"/>
    </font>
    <font>
      <sz val="10"/>
      <color rgb="FF000000"/>
      <name val="Arial"/>
    </font>
    <font>
      <sz val="8"/>
      <color rgb="FF000080"/>
      <name val="Tahoma"/>
    </font>
    <font>
      <sz val="1"/>
      <color auto="1"/>
      <name val="Webdings2"/>
    </font>
    <font>
      <sz val="1"/>
      <color theme="0"/>
      <name val="Webdings2"/>
    </font>
    <font>
      <b/>
      <sz val="9"/>
      <color auto="1"/>
      <name val="Calibri"/>
    </font>
    <font>
      <sz val="1"/>
      <color rgb="FF000080"/>
      <name val="Tahoma"/>
    </font>
    <font>
      <sz val="9"/>
      <color theme="0"/>
      <name val="Webdings2"/>
    </font>
    <font>
      <sz val="1"/>
      <color theme="0"/>
      <name val="Wingdings 2"/>
    </font>
    <font>
      <sz val="18"/>
      <color theme="0"/>
      <name val="Tahoma"/>
    </font>
    <font>
      <sz val="9"/>
      <color auto="1"/>
      <name val="Wingdings 2"/>
    </font>
    <font>
      <sz val="9"/>
      <color rgb="FFFFFFFF"/>
      <name val="Wingdings 2"/>
    </font>
    <font>
      <b/>
      <u/>
      <sz val="11"/>
      <color rgb="FF0000FF"/>
      <name val="Tahoma"/>
    </font>
    <font>
      <sz val="11"/>
      <color rgb="FFFFFFFF"/>
      <name val="Tahoma"/>
    </font>
    <font>
      <u/>
      <sz val="20"/>
      <color rgb="FF003366"/>
      <name val="Tahoma"/>
    </font>
    <font>
      <b/>
      <sz val="10"/>
      <color rgb="FF000000"/>
      <name val="Tahoma"/>
    </font>
    <font>
      <sz val="11"/>
      <color rgb="FF000000"/>
      <name val="Marlett"/>
    </font>
    <font>
      <sz val="10"/>
      <color rgb="FF000000"/>
      <name val="Tahoma"/>
    </font>
    <font>
      <sz val="14"/>
      <color rgb="FFBCBCBC"/>
      <name val="Calibri"/>
    </font>
    <font>
      <sz val="9"/>
      <color rgb="FF333399"/>
      <name val="Tahoma"/>
    </font>
    <font>
      <b/>
      <sz val="8"/>
      <color rgb="FFC0C0C0"/>
      <name val="Wingdings 2"/>
    </font>
    <font>
      <u/>
      <sz val="9"/>
      <color auto="1"/>
      <name val="Tahoma"/>
    </font>
  </fonts>
  <fills count="59">
    <fill>
      <patternFill patternType="none"/>
    </fill>
    <fill>
      <patternFill patternType="gray125"/>
    </fill>
    <fill>
      <patternFill patternType="solid">
        <fgColor theme="4" tint="0.8"/>
      </patternFill>
    </fill>
    <fill>
      <patternFill patternType="solid">
        <fgColor theme="5" tint="0.8"/>
      </patternFill>
    </fill>
    <fill>
      <patternFill patternType="solid">
        <fgColor theme="6" tint="0.8"/>
      </patternFill>
    </fill>
    <fill>
      <patternFill patternType="solid">
        <fgColor theme="7" tint="0.8"/>
      </patternFill>
    </fill>
    <fill>
      <patternFill patternType="solid">
        <fgColor theme="8" tint="0.8"/>
      </patternFill>
    </fill>
    <fill>
      <patternFill patternType="solid">
        <fgColor theme="9" tint="0.8"/>
      </patternFill>
    </fill>
    <fill>
      <patternFill patternType="solid">
        <fgColor theme="4" tint="0.6"/>
      </patternFill>
    </fill>
    <fill>
      <patternFill patternType="solid">
        <fgColor theme="5" tint="0.6"/>
      </patternFill>
    </fill>
    <fill>
      <patternFill patternType="solid">
        <fgColor theme="6" tint="0.6"/>
      </patternFill>
    </fill>
    <fill>
      <patternFill patternType="solid">
        <fgColor theme="7" tint="0.6"/>
      </patternFill>
    </fill>
    <fill>
      <patternFill patternType="solid">
        <fgColor theme="8" tint="0.6"/>
      </patternFill>
    </fill>
    <fill>
      <patternFill patternType="solid">
        <fgColor theme="9" tint="0.6"/>
      </patternFill>
    </fill>
    <fill>
      <patternFill patternType="solid">
        <fgColor theme="4" tint="0.4"/>
      </patternFill>
    </fill>
    <fill>
      <patternFill patternType="solid">
        <fgColor theme="5" tint="0.4"/>
      </patternFill>
    </fill>
    <fill>
      <patternFill patternType="solid">
        <fgColor theme="6" tint="0.4"/>
      </patternFill>
    </fill>
    <fill>
      <patternFill patternType="solid">
        <fgColor theme="7" tint="0.4"/>
      </patternFill>
    </fill>
    <fill>
      <patternFill patternType="solid">
        <fgColor theme="8" tint="0.4"/>
      </patternFill>
    </fill>
    <fill>
      <patternFill patternType="solid">
        <fgColor theme="9" tint="0.4"/>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rgb="FFFFFF99"/>
      </patternFill>
    </fill>
    <fill>
      <patternFill patternType="solid">
        <fgColor rgb="FFC0C0C0"/>
      </patternFill>
    </fill>
    <fill>
      <patternFill patternType="solid">
        <fgColor rgb="FF969696"/>
      </patternFill>
    </fill>
    <fill>
      <patternFill patternType="solid">
        <fgColor rgb="FF00FF00"/>
      </patternFill>
    </fill>
    <fill>
      <patternFill patternType="solid">
        <fgColor rgb="FFFFFFFF"/>
      </patternFill>
    </fill>
    <fill>
      <patternFill patternType="solid">
        <fgColor rgb="FFD7EAD3"/>
      </patternFill>
    </fill>
    <fill>
      <patternFill patternType="solid">
        <fgColor rgb="FFFFFFC0"/>
      </patternFill>
    </fill>
    <fill>
      <patternFill patternType="lightDown">
        <fgColor rgb="FFC0C0C0"/>
      </patternFill>
    </fill>
    <fill>
      <patternFill patternType="solid">
        <fgColor rgb="FFFFB7B7"/>
      </patternFill>
    </fill>
    <fill>
      <patternFill patternType="solid">
        <fgColor rgb="FFE3FAFD"/>
      </patternFill>
    </fill>
    <fill>
      <patternFill patternType="solid">
        <fgColor rgb="FFB7E4FF"/>
      </patternFill>
    </fill>
    <fill>
      <patternFill patternType="solid">
        <fgColor theme="0"/>
      </patternFill>
    </fill>
    <fill>
      <patternFill patternType="solid">
        <fgColor rgb="FF8DB4E2"/>
      </patternFill>
    </fill>
    <fill>
      <patternFill patternType="solid">
        <fgColor theme="2" tint="-0.1"/>
      </patternFill>
    </fill>
    <fill>
      <patternFill patternType="solid">
        <fgColor theme="9" tint="-0.25"/>
      </patternFill>
    </fill>
    <fill>
      <patternFill patternType="solid">
        <fgColor theme="0" tint="-0.15"/>
      </patternFill>
    </fill>
    <fill>
      <patternFill patternType="solid">
        <fgColor rgb="FF0066CC"/>
      </patternFill>
    </fill>
    <fill>
      <patternFill patternType="solid">
        <fgColor rgb="FFFFFF00"/>
      </patternFill>
    </fill>
    <fill>
      <patternFill patternType="solid">
        <fgColor rgb="FFFF9900"/>
      </patternFill>
    </fill>
    <fill>
      <patternFill patternType="solid">
        <fgColor rgb="FF808000"/>
      </patternFill>
    </fill>
    <fill>
      <patternFill patternType="solid">
        <fgColor rgb="FFCC99FF"/>
      </patternFill>
    </fill>
    <fill>
      <patternFill patternType="lightDown">
        <fgColor rgb="FFB7E4FF"/>
        <bgColor rgb="FFFFFFFF"/>
      </patternFill>
    </fill>
    <fill>
      <patternFill patternType="solid">
        <fgColor rgb="FFD3DBDB"/>
      </patternFill>
    </fill>
    <fill>
      <patternFill patternType="solid">
        <fgColor rgb="FFCCCCFF"/>
      </patternFill>
    </fill>
    <fill>
      <patternFill patternType="solid">
        <fgColor rgb="FFBCBCBC"/>
      </patternFill>
    </fill>
    <fill>
      <patternFill patternType="solid">
        <fgColor rgb="FFEAEBEE"/>
      </patternFill>
    </fill>
  </fills>
  <borders count="78">
    <border>
      <left/>
      <right/>
      <top/>
      <bottom/>
    </border>
    <border>
      <left style="thin">
        <color rgb="FF7F7F7F"/>
      </left>
      <right style="thin">
        <color rgb="FF7F7F7F"/>
      </right>
      <top style="thin">
        <color rgb="FF7F7F7F"/>
      </top>
      <bottom style="thin">
        <color rgb="FF7F7F7F"/>
      </bottom>
    </border>
    <border>
      <left style="double">
        <color rgb="FF3F3F3F"/>
      </left>
      <right style="double">
        <color rgb="FF3F3F3F"/>
      </right>
      <top style="double">
        <color rgb="FF3F3F3F"/>
      </top>
      <bottom style="double">
        <color rgb="FF3F3F3F"/>
      </bottom>
    </border>
    <border>
      <left/>
      <right/>
      <top/>
      <bottom style="thick">
        <color theme="4"/>
      </bottom>
    </border>
    <border>
      <left/>
      <right/>
      <top/>
      <bottom style="thick">
        <color theme="4" tint="0.5"/>
      </bottom>
    </border>
    <border>
      <left/>
      <right/>
      <top/>
      <bottom style="medium">
        <color theme="4" tint="0.4"/>
      </bottom>
    </border>
    <border>
      <left/>
      <right/>
      <top/>
      <bottom style="double">
        <color rgb="FFFF8001"/>
      </bottom>
    </border>
    <border>
      <left style="thin">
        <color rgb="FFB2B2B2"/>
      </left>
      <right style="thin">
        <color rgb="FFB2B2B2"/>
      </right>
      <top style="thin">
        <color rgb="FFB2B2B2"/>
      </top>
      <bottom style="thin">
        <color rgb="FFB2B2B2"/>
      </bottom>
    </border>
    <border>
      <left style="thin">
        <color rgb="FF3F3F3F"/>
      </left>
      <right style="thin">
        <color rgb="FF3F3F3F"/>
      </right>
      <top style="thin">
        <color rgb="FF3F3F3F"/>
      </top>
      <bottom style="thin">
        <color rgb="FF3F3F3F"/>
      </bottom>
    </border>
    <border>
      <left/>
      <right/>
      <top style="thin">
        <color theme="4"/>
      </top>
      <bottom style="double">
        <color theme="4"/>
      </bottom>
    </border>
    <border>
      <left style="thin">
        <color rgb="FF808080"/>
      </left>
      <right style="thin">
        <color rgb="FF808080"/>
      </right>
      <top style="thin">
        <color rgb="FF808080"/>
      </top>
      <bottom style="thin">
        <color rgb="FF808080"/>
      </bottom>
    </border>
    <border>
      <left style="thick">
        <color rgb="FF808080"/>
      </left>
      <right style="thick">
        <color rgb="FF808080"/>
      </right>
      <top style="thick">
        <color rgb="FF808080"/>
      </top>
      <bottom style="thick">
        <color rgb="FF808080"/>
      </bottom>
    </border>
    <border>
      <left style="thin">
        <color rgb="FF000000"/>
      </left>
      <right style="thin">
        <color rgb="FF000000"/>
      </right>
      <top style="thin">
        <color rgb="FF000000"/>
      </top>
      <bottom style="thin">
        <color rgb="FF000000"/>
      </bottom>
    </border>
    <border>
      <left style="thin">
        <color rgb="FFBCBCBC"/>
      </left>
      <right style="thin">
        <color rgb="FFBCBCBC"/>
      </right>
      <top style="thin">
        <color rgb="FFBCBCBC"/>
      </top>
      <bottom style="thin">
        <color rgb="FFBCBCBC"/>
      </bottom>
    </border>
    <border>
      <left style="thin">
        <color rgb="FFC0C0C0"/>
      </left>
      <right style="thin">
        <color rgb="FFC0C0C0"/>
      </right>
      <top style="thin">
        <color rgb="FFC0C0C0"/>
      </top>
      <bottom style="thin">
        <color rgb="FFC0C0C0"/>
      </bottom>
    </border>
    <border>
      <left/>
      <right style="thin">
        <color rgb="FFC0C0C0"/>
      </right>
      <top style="thin">
        <color rgb="FFC0C0C0"/>
      </top>
      <bottom style="thin">
        <color rgb="FFC0C0C0"/>
      </bottom>
    </border>
    <border>
      <left style="thin">
        <color rgb="FFC0C0C0"/>
      </left>
      <right/>
      <top style="thin">
        <color rgb="FFC0C0C0"/>
      </top>
      <bottom style="thin">
        <color rgb="FFC0C0C0"/>
      </bottom>
    </border>
    <border>
      <left/>
      <right/>
      <top style="thin">
        <color rgb="FFC0C0C0"/>
      </top>
      <bottom style="thin">
        <color rgb="FFC0C0C0"/>
      </bottom>
    </border>
    <border>
      <left style="thin">
        <color rgb="FFD3DBDB"/>
      </left>
      <right style="thin">
        <color rgb="FFD3DBDB"/>
      </right>
      <top style="thin">
        <color rgb="FFD3DBDB"/>
      </top>
      <bottom style="thin">
        <color rgb="FFD3DBDB"/>
      </bottom>
    </border>
    <border>
      <left style="thin">
        <color rgb="FFC0C0C0"/>
      </left>
      <right style="thin">
        <color rgb="FFC0C0C0"/>
      </right>
      <top style="thin">
        <color rgb="FFC0C0C0"/>
      </top>
      <bottom/>
    </border>
    <border>
      <left/>
      <right/>
      <top style="dotted">
        <color rgb="FF000000"/>
      </top>
      <bottom style="dotted">
        <color rgb="FF000000"/>
      </bottom>
    </border>
    <border>
      <left/>
      <right/>
      <top style="thin">
        <color rgb="FFC0C0C0"/>
      </top>
      <bottom/>
    </border>
    <border>
      <left/>
      <right style="thin">
        <color rgb="FFC0C0C0"/>
      </right>
      <top style="thin">
        <color rgb="FFC0C0C0"/>
      </top>
      <bottom/>
    </border>
    <border>
      <left/>
      <right/>
      <top style="thin">
        <color rgb="FFD3DBDB"/>
      </top>
      <bottom/>
    </border>
    <border>
      <left style="thin">
        <color rgb="FFC0C0C0"/>
      </left>
      <right/>
      <top/>
      <bottom/>
    </border>
    <border>
      <left style="thin">
        <color rgb="FFC0C0C0"/>
      </left>
      <right style="thin">
        <color rgb="FFC0C0C0"/>
      </right>
      <top/>
      <bottom style="thin">
        <color rgb="FFC0C0C0"/>
      </bottom>
    </border>
    <border>
      <left/>
      <right style="thin">
        <color rgb="FFC0C0C0"/>
      </right>
      <top/>
      <bottom/>
    </border>
    <border>
      <left style="thin">
        <color rgb="FFC0C0C0"/>
      </left>
      <right style="thin">
        <color rgb="FFC0C0C0"/>
      </right>
      <top style="thin">
        <color rgb="FFC0C0C0"/>
      </top>
      <bottom style="thin">
        <color rgb="FFBCBCBC"/>
      </bottom>
    </border>
    <border>
      <left style="hair">
        <color rgb="FFC0C0C0"/>
      </left>
      <right/>
      <top style="hair">
        <color rgb="FFC0C0C0"/>
      </top>
      <bottom style="hair">
        <color rgb="FFC0C0C0"/>
      </bottom>
    </border>
    <border>
      <left/>
      <right/>
      <top/>
      <bottom style="thin">
        <color rgb="FFC0C0C0"/>
      </bottom>
    </border>
    <border>
      <left style="thin">
        <color theme="0" tint="-0.25"/>
      </left>
      <right style="thin">
        <color rgb="FFC0C0C0"/>
      </right>
      <top style="thin">
        <color rgb="FFC0C0C0"/>
      </top>
      <bottom style="thin">
        <color rgb="FFC0C0C0"/>
      </bottom>
    </border>
    <border>
      <left/>
      <right style="thin">
        <color rgb="FFC0C0C0"/>
      </right>
      <top/>
      <bottom style="thin">
        <color rgb="FFC0C0C0"/>
      </bottom>
    </border>
    <border>
      <left style="thin">
        <color rgb="FFC0C0C0"/>
      </left>
      <right/>
      <top/>
      <bottom style="thin">
        <color rgb="FFC0C0C0"/>
      </bottom>
    </border>
    <border>
      <left style="thin">
        <color theme="0" tint="-0.25"/>
      </left>
      <right style="thin">
        <color theme="0" tint="-0.25"/>
      </right>
      <top style="thin">
        <color theme="0" tint="-0.25"/>
      </top>
      <bottom style="thin">
        <color theme="0" tint="-0.25"/>
      </bottom>
    </border>
    <border>
      <left style="thin">
        <color theme="0" tint="-0.25"/>
      </left>
      <right style="thin">
        <color theme="0" tint="-0.25"/>
      </right>
      <top/>
      <bottom style="thin">
        <color theme="0" tint="-0.25"/>
      </bottom>
    </border>
    <border>
      <left style="thin">
        <color theme="0" tint="-0.25"/>
      </left>
      <right/>
      <top style="thin">
        <color theme="0" tint="-0.25"/>
      </top>
      <bottom style="thin">
        <color theme="0" tint="-0.25"/>
      </bottom>
    </border>
    <border>
      <left style="thin">
        <color theme="0" tint="-0.25"/>
      </left>
      <right/>
      <top/>
      <bottom style="thin">
        <color theme="0" tint="-0.25"/>
      </bottom>
    </border>
    <border>
      <left style="thin">
        <color theme="0" tint="-0.25"/>
      </left>
      <right style="thin">
        <color theme="0" tint="-0.25"/>
      </right>
      <top style="thin">
        <color theme="0" tint="-0.25"/>
      </top>
      <bottom/>
    </border>
    <border>
      <left style="thin">
        <color rgb="FFC0C0C0"/>
      </left>
      <right style="thin">
        <color rgb="FFC0C0C0"/>
      </right>
      <top/>
      <bottom/>
    </border>
    <border>
      <left style="thin">
        <color rgb="FFC0C0C0"/>
      </left>
      <right/>
      <top style="thin">
        <color rgb="FFC0C0C0"/>
      </top>
      <bottom/>
    </border>
    <border>
      <left style="thin">
        <color rgb="FFBCBCBC"/>
      </left>
      <right/>
      <top/>
      <bottom/>
    </border>
    <border>
      <left/>
      <right/>
      <top/>
      <bottom style="thin">
        <color rgb="FFBCBCBC"/>
      </bottom>
    </border>
    <border>
      <left style="thin">
        <color theme="0" tint="-0.25"/>
      </left>
      <right style="thin">
        <color theme="0" tint="-0.25"/>
      </right>
      <top/>
      <bottom/>
    </border>
    <border>
      <left/>
      <right/>
      <top style="thin">
        <color rgb="FFBCBCBC"/>
      </top>
      <bottom style="thin">
        <color rgb="FFBCBCBC"/>
      </bottom>
    </border>
    <border>
      <left style="thin">
        <color rgb="FFC0C0C0"/>
      </left>
      <right/>
      <top style="thin">
        <color rgb="FFBCBCBC"/>
      </top>
      <bottom style="thin">
        <color rgb="FFC0C0C0"/>
      </bottom>
    </border>
    <border>
      <left/>
      <right/>
      <top style="thin">
        <color rgb="FFBCBCBC"/>
      </top>
      <bottom style="thin">
        <color rgb="FFC0C0C0"/>
      </bottom>
    </border>
    <border>
      <left/>
      <right/>
      <top style="thin">
        <color rgb="FFD3DBDB"/>
      </top>
      <bottom style="thin">
        <color rgb="FFD3DBDB"/>
      </bottom>
    </border>
    <border>
      <left style="thin">
        <color rgb="FFD3DBDB"/>
      </left>
      <right/>
      <top style="thin">
        <color rgb="FFD3DBDB"/>
      </top>
      <bottom style="thin">
        <color rgb="FFD3DBDB"/>
      </bottom>
    </border>
    <border>
      <left style="thin">
        <color theme="0" tint="-0.35"/>
      </left>
      <right style="thin">
        <color theme="0" tint="-0.35"/>
      </right>
      <top style="thin">
        <color theme="0" tint="-0.35"/>
      </top>
      <bottom style="thin">
        <color theme="0" tint="-0.35"/>
      </bottom>
    </border>
    <border>
      <left style="thin">
        <color rgb="FFBCBCBC"/>
      </left>
      <right/>
      <top style="medium">
        <color rgb="FFBCBCBC"/>
      </top>
      <bottom style="thin">
        <color rgb="FFC0C0C0"/>
      </bottom>
    </border>
    <border>
      <left style="thin">
        <color rgb="FFBCBCBC"/>
      </left>
      <right/>
      <top style="medium">
        <color rgb="FFBCBCBC"/>
      </top>
      <bottom/>
    </border>
    <border>
      <left/>
      <right/>
      <top style="medium">
        <color rgb="FFBCBCBC"/>
      </top>
      <bottom/>
    </border>
    <border>
      <left/>
      <right/>
      <top/>
      <bottom style="medium">
        <color rgb="FFC0C0C0"/>
      </bottom>
    </border>
    <border>
      <left/>
      <right/>
      <top style="thin">
        <color rgb="FFC0C0C0"/>
      </top>
      <bottom style="medium">
        <color rgb="FFC0C0C0"/>
      </bottom>
    </border>
    <border>
      <left/>
      <right style="thin">
        <color theme="0" tint="-0.25"/>
      </right>
      <top style="thin">
        <color rgb="FFC0C0C0"/>
      </top>
      <bottom style="thin">
        <color rgb="FFC0C0C0"/>
      </bottom>
    </border>
    <border>
      <left/>
      <right style="thin">
        <color theme="0" tint="-0.25"/>
      </right>
      <top style="thin">
        <color rgb="FFC0C0C0"/>
      </top>
      <bottom style="medium">
        <color rgb="FFC0C0C0"/>
      </bottom>
    </border>
    <border>
      <left/>
      <right/>
      <top style="medium">
        <color rgb="FFBCBCBC"/>
      </top>
      <bottom style="thin">
        <color rgb="FFBCBCBC"/>
      </bottom>
    </border>
    <border>
      <left/>
      <right style="thin">
        <color rgb="FFBCBCBC"/>
      </right>
      <top style="medium">
        <color rgb="FFBCBCBC"/>
      </top>
      <bottom style="thin">
        <color rgb="FFBCBCBC"/>
      </bottom>
    </border>
    <border>
      <left/>
      <right/>
      <top style="medium">
        <color rgb="FFC0C0C0"/>
      </top>
      <bottom style="thin">
        <color rgb="FFC0C0C0"/>
      </bottom>
    </border>
    <border>
      <left style="thin">
        <color rgb="FFC0C0C0"/>
      </left>
      <right/>
      <top style="thin">
        <color rgb="FFC0C0C0"/>
      </top>
      <bottom style="medium">
        <color rgb="FFC0C0C0"/>
      </bottom>
    </border>
    <border>
      <left style="thin">
        <color theme="0" tint="-0.25"/>
      </left>
      <right style="thin">
        <color rgb="FFC0C0C0"/>
      </right>
      <top style="thin">
        <color rgb="FFC0C0C0"/>
      </top>
      <bottom/>
    </border>
    <border>
      <left style="thin">
        <color theme="0" tint="-0.25"/>
      </left>
      <right/>
      <top style="thin">
        <color rgb="FFC0C0C0"/>
      </top>
      <bottom style="thin">
        <color rgb="FFC0C0C0"/>
      </bottom>
    </border>
    <border>
      <left style="thin">
        <color theme="0" tint="-0.25"/>
      </left>
      <right/>
      <top style="thin">
        <color rgb="FFC0C0C0"/>
      </top>
      <bottom/>
    </border>
    <border>
      <left style="thin">
        <color rgb="FFBCBCBC"/>
      </left>
      <right/>
      <top style="thin">
        <color rgb="FFBCBCBC"/>
      </top>
      <bottom/>
    </border>
    <border>
      <left/>
      <right/>
      <top style="thin">
        <color rgb="FFBCBCBC"/>
      </top>
      <bottom/>
    </border>
    <border>
      <left style="thin">
        <color rgb="FFBCBCBC"/>
      </left>
      <right/>
      <top/>
      <bottom style="thin">
        <color rgb="FFBCBCBC"/>
      </bottom>
    </border>
    <border>
      <left/>
      <right style="thin">
        <color rgb="FFBCBCBC"/>
      </right>
      <top style="thin">
        <color rgb="FFBCBCBC"/>
      </top>
      <bottom/>
    </border>
    <border>
      <left/>
      <right style="thin">
        <color rgb="FFBCBCBC"/>
      </right>
      <top/>
      <bottom/>
    </border>
    <border>
      <left style="thin">
        <color rgb="FF999999"/>
      </left>
      <right/>
      <top style="thin">
        <color rgb="FF999999"/>
      </top>
      <bottom style="thin">
        <color rgb="FF999999"/>
      </bottom>
    </border>
    <border>
      <left/>
      <right/>
      <top style="thin">
        <color rgb="FF999999"/>
      </top>
      <bottom style="thin">
        <color rgb="FF999999"/>
      </bottom>
    </border>
    <border>
      <left/>
      <right style="thin">
        <color rgb="FF999999"/>
      </right>
      <top style="thin">
        <color rgb="FF999999"/>
      </top>
      <bottom style="thin">
        <color rgb="FF999999"/>
      </bottom>
    </border>
    <border>
      <left style="thin">
        <color rgb="FFC0C0C0"/>
      </left>
      <right/>
      <top style="thin">
        <color rgb="FFBCBCBC"/>
      </top>
      <bottom style="thin">
        <color rgb="FFBCBCBC"/>
      </bottom>
    </border>
    <border>
      <left/>
      <right style="thin">
        <color rgb="FFC0C0C0"/>
      </right>
      <top style="thin">
        <color rgb="FFBCBCBC"/>
      </top>
      <bottom style="thin">
        <color rgb="FFBCBCBC"/>
      </bottom>
    </border>
    <border>
      <left style="thin">
        <color rgb="FFBCBCBC"/>
      </left>
      <right/>
      <top style="thin">
        <color rgb="FFBCBCBC"/>
      </top>
      <bottom style="thin">
        <color rgb="FFBCBCBC"/>
      </bottom>
    </border>
    <border>
      <left/>
      <right style="thin">
        <color rgb="FFBCBCBC"/>
      </right>
      <top style="thin">
        <color rgb="FFBCBCBC"/>
      </top>
      <bottom style="thin">
        <color rgb="FFBCBCBC"/>
      </bottom>
    </border>
    <border>
      <left style="thin">
        <color rgb="FFC0C0C0"/>
      </left>
      <right style="thin">
        <color rgb="FFC0C0C0"/>
      </right>
      <top style="thin">
        <color rgb="FFBCBCBC"/>
      </top>
      <bottom style="thin">
        <color rgb="FFBCBCBC"/>
      </bottom>
    </border>
    <border>
      <left style="thin">
        <color rgb="FFBCBCBC"/>
      </left>
      <right/>
      <top style="thin">
        <color rgb="FFBCBCBC"/>
      </top>
      <bottom style="thin">
        <color rgb="FFC0C0C0"/>
      </bottom>
    </border>
    <border>
      <left style="thin">
        <color rgb="FFC0C0C0"/>
      </left>
      <right style="thin">
        <color rgb="FFC0C0C0"/>
      </right>
      <top style="thin">
        <color rgb="FFC0C0C0"/>
      </top>
      <bottom style="medium">
        <color rgb="FFC0C0C0"/>
      </bottom>
    </border>
  </borders>
  <cellStyleXfs count="80">
    <xf numFmtId="49" fontId="0" fillId="0" borderId="0" applyFont="1" applyFill="0" applyBorder="0">
      <alignment vertical="top"/>
    </xf>
    <xf numFmtId="0" fontId="1" fillId="2" borderId="0" applyFont="1" applyFill="1" applyBorder="0">
      <alignment vertical="top"/>
    </xf>
    <xf numFmtId="0" fontId="1" fillId="3" borderId="0" applyFont="1" applyFill="1" applyBorder="0">
      <alignment vertical="top"/>
    </xf>
    <xf numFmtId="0" fontId="1" fillId="4" borderId="0" applyFont="1" applyFill="1" applyBorder="0">
      <alignment vertical="top"/>
    </xf>
    <xf numFmtId="0" fontId="1" fillId="5" borderId="0" applyFont="1" applyFill="1" applyBorder="0">
      <alignment vertical="top"/>
    </xf>
    <xf numFmtId="0" fontId="1" fillId="6" borderId="0" applyFont="1" applyFill="1" applyBorder="0">
      <alignment vertical="top"/>
    </xf>
    <xf numFmtId="0" fontId="1" fillId="7" borderId="0" applyFont="1" applyFill="1" applyBorder="0">
      <alignment vertical="top"/>
    </xf>
    <xf numFmtId="0" fontId="1" fillId="8" borderId="0" applyFont="1" applyFill="1" applyBorder="0">
      <alignment vertical="top"/>
    </xf>
    <xf numFmtId="0" fontId="1" fillId="9" borderId="0" applyFont="1" applyFill="1" applyBorder="0">
      <alignment vertical="top"/>
    </xf>
    <xf numFmtId="0" fontId="1" fillId="10" borderId="0" applyFont="1" applyFill="1" applyBorder="0">
      <alignment vertical="top"/>
    </xf>
    <xf numFmtId="0" fontId="1" fillId="11" borderId="0" applyFont="1" applyFill="1" applyBorder="0">
      <alignment vertical="top"/>
    </xf>
    <xf numFmtId="0" fontId="1" fillId="12" borderId="0" applyFont="1" applyFill="1" applyBorder="0">
      <alignment vertical="top"/>
    </xf>
    <xf numFmtId="0" fontId="1" fillId="13" borderId="0" applyFont="1" applyFill="1" applyBorder="0">
      <alignment vertical="top"/>
    </xf>
    <xf numFmtId="0" fontId="2" fillId="14" borderId="0" applyFont="1" applyFill="1" applyBorder="0">
      <alignment vertical="top"/>
    </xf>
    <xf numFmtId="0" fontId="2" fillId="15" borderId="0" applyFont="1" applyFill="1" applyBorder="0">
      <alignment vertical="top"/>
    </xf>
    <xf numFmtId="0" fontId="2" fillId="16" borderId="0" applyFont="1" applyFill="1" applyBorder="0">
      <alignment vertical="top"/>
    </xf>
    <xf numFmtId="0" fontId="2" fillId="17" borderId="0" applyFont="1" applyFill="1" applyBorder="0">
      <alignment vertical="top"/>
    </xf>
    <xf numFmtId="0" fontId="2" fillId="18" borderId="0" applyFont="1" applyFill="1" applyBorder="0">
      <alignment vertical="top"/>
    </xf>
    <xf numFmtId="0" fontId="2" fillId="19" borderId="0" applyFont="1" applyFill="1" applyBorder="0">
      <alignment vertical="top"/>
    </xf>
    <xf numFmtId="0" fontId="2" fillId="20" borderId="0" applyFont="1" applyFill="1" applyBorder="0">
      <alignment vertical="top"/>
    </xf>
    <xf numFmtId="0" fontId="2" fillId="21" borderId="0" applyFont="1" applyFill="1" applyBorder="0">
      <alignment vertical="top"/>
    </xf>
    <xf numFmtId="0" fontId="2" fillId="22" borderId="0" applyFont="1" applyFill="1" applyBorder="0">
      <alignment vertical="top"/>
    </xf>
    <xf numFmtId="0" fontId="2" fillId="23" borderId="0" applyFont="1" applyFill="1" applyBorder="0">
      <alignment vertical="top"/>
    </xf>
    <xf numFmtId="0" fontId="2" fillId="24" borderId="0" applyFont="1" applyFill="1" applyBorder="0">
      <alignment vertical="top"/>
    </xf>
    <xf numFmtId="0" fontId="2" fillId="25" borderId="0" applyFont="1" applyFill="1" applyBorder="0">
      <alignment vertical="top"/>
    </xf>
    <xf numFmtId="0" fontId="3" fillId="26" borderId="0" applyFont="1" applyFill="1" applyBorder="0">
      <alignment vertical="top"/>
    </xf>
    <xf numFmtId="0" fontId="4" fillId="27" borderId="1" applyFont="1" applyFill="1" applyBorder="1">
      <alignment vertical="top"/>
    </xf>
    <xf numFmtId="0" fontId="5" fillId="28" borderId="2" applyFont="1" applyFill="1" applyBorder="1">
      <alignment vertical="top"/>
    </xf>
    <xf numFmtId="43" fontId="6" fillId="0" borderId="0" applyFont="0" applyFill="0" applyBorder="0" applyNumberFormat="1">
      <alignment vertical="top"/>
    </xf>
    <xf numFmtId="41" fontId="6" fillId="0" borderId="0" applyFont="0" applyFill="0" applyBorder="0" applyNumberFormat="1">
      <alignment vertical="top"/>
    </xf>
    <xf numFmtId="44" fontId="6" fillId="0" borderId="0" applyFont="0" applyFill="0" applyBorder="0" applyNumberFormat="1">
      <alignment vertical="top"/>
    </xf>
    <xf numFmtId="169" fontId="6" fillId="0" borderId="0" applyFont="0" applyFill="0" applyBorder="0" applyNumberFormat="1">
      <alignment vertical="top"/>
    </xf>
    <xf numFmtId="0" fontId="7" fillId="0" borderId="0" applyFont="1" applyFill="0" applyBorder="0">
      <alignment vertical="top"/>
    </xf>
    <xf numFmtId="0" fontId="8" fillId="29" borderId="0" applyFont="1" applyFill="1" applyBorder="0">
      <alignment vertical="top"/>
    </xf>
    <xf numFmtId="0" fontId="9" fillId="0" borderId="3" applyFont="1" applyFill="0" applyBorder="1">
      <alignment vertical="top"/>
    </xf>
    <xf numFmtId="0" fontId="10" fillId="0" borderId="4" applyFont="1" applyFill="0" applyBorder="1">
      <alignment vertical="top"/>
    </xf>
    <xf numFmtId="0" fontId="11" fillId="0" borderId="5" applyFont="1" applyFill="0" applyBorder="1">
      <alignment vertical="top"/>
    </xf>
    <xf numFmtId="0" fontId="11" fillId="0" borderId="0" applyFont="1" applyFill="0" applyBorder="0">
      <alignment vertical="top"/>
    </xf>
    <xf numFmtId="0" fontId="12" fillId="30" borderId="1" applyFont="1" applyFill="1" applyBorder="1">
      <alignment vertical="top"/>
    </xf>
    <xf numFmtId="0" fontId="13" fillId="0" borderId="6" applyFont="1" applyFill="0" applyBorder="1">
      <alignment vertical="top"/>
    </xf>
    <xf numFmtId="0" fontId="14" fillId="31" borderId="0" applyFont="1" applyFill="1" applyBorder="0">
      <alignment vertical="top"/>
    </xf>
    <xf numFmtId="0" fontId="15" fillId="0" borderId="0" applyFont="1" applyFill="0" applyBorder="0">
      <alignment vertical="top"/>
    </xf>
    <xf numFmtId="0" fontId="6" fillId="32" borderId="7" applyFont="0" applyFill="1" applyBorder="1">
      <alignment vertical="top"/>
    </xf>
    <xf numFmtId="0" fontId="16" fillId="27" borderId="8" applyFont="1" applyFill="1" applyBorder="1">
      <alignment vertical="top"/>
    </xf>
    <xf numFmtId="9" fontId="6" fillId="0" borderId="0" applyFont="0" applyFill="0" applyBorder="0" applyNumberFormat="1">
      <alignment vertical="top"/>
    </xf>
    <xf numFmtId="0" fontId="17" fillId="0" borderId="0" applyFont="1" applyFill="0" applyBorder="0">
      <alignment vertical="top"/>
    </xf>
    <xf numFmtId="0" fontId="18" fillId="0" borderId="9" applyFont="1" applyFill="0" applyBorder="1">
      <alignment vertical="top"/>
    </xf>
    <xf numFmtId="0" fontId="19" fillId="0" borderId="0" applyFont="1" applyFill="0" applyBorder="0">
      <alignment vertical="top"/>
    </xf>
    <xf numFmtId="0" fontId="20" fillId="0" borderId="0" applyFont="1" applyFill="0" applyBorder="0"/>
    <xf numFmtId="170" fontId="20" fillId="0" borderId="0" applyFont="1" applyFill="0" applyBorder="0" applyNumberFormat="1"/>
    <xf numFmtId="38" fontId="21" fillId="0" borderId="0" applyFont="1" applyFill="0" applyBorder="0" applyNumberFormat="1">
      <alignment vertical="top"/>
    </xf>
    <xf numFmtId="0" fontId="22" fillId="0" borderId="10" applyFont="1" applyFill="0" applyBorder="1">
      <alignment vertical="top"/>
      <protection locked="0"/>
    </xf>
    <xf numFmtId="171" fontId="23" fillId="33" borderId="0" applyFont="1" applyFill="1" applyBorder="0" applyNumberFormat="1">
      <protection locked="0"/>
    </xf>
    <xf numFmtId="0" fontId="24" fillId="0" borderId="0" applyFont="1" applyFill="0" applyBorder="0">
      <alignment vertical="center"/>
    </xf>
    <xf numFmtId="164" fontId="23" fillId="33" borderId="0" applyFont="1" applyFill="1" applyBorder="0" applyNumberFormat="1">
      <protection locked="0"/>
    </xf>
    <xf numFmtId="166" fontId="23" fillId="33" borderId="0" applyFont="1" applyFill="1" applyBorder="0" applyNumberFormat="1">
      <protection locked="0"/>
    </xf>
    <xf numFmtId="0" fontId="25" fillId="0" borderId="0" applyFont="1" applyFill="0" applyBorder="0">
      <alignment vertical="top"/>
    </xf>
    <xf numFmtId="0" fontId="22" fillId="34" borderId="10" applyFont="1" applyFill="1" applyBorder="1">
      <alignment vertical="top"/>
    </xf>
    <xf numFmtId="0" fontId="26" fillId="0" borderId="0" applyFont="1" applyFill="0" applyBorder="0">
      <alignment vertical="top"/>
    </xf>
    <xf numFmtId="0" fontId="27" fillId="0" borderId="0" applyFont="1" applyFill="0" applyBorder="0"/>
    <xf numFmtId="0" fontId="28" fillId="35" borderId="11" applyFont="1" applyFill="1" applyBorder="1">
      <alignment horizontal="center" vertical="center"/>
    </xf>
    <xf numFmtId="0" fontId="29" fillId="30" borderId="10" applyFont="1" applyFill="1" applyBorder="1">
      <alignment vertical="top"/>
    </xf>
    <xf numFmtId="0" fontId="30" fillId="0" borderId="0" applyFont="1" applyFill="0" applyBorder="0">
      <alignment vertical="top"/>
    </xf>
    <xf numFmtId="0" fontId="31" fillId="0" borderId="0" applyFont="1" applyFill="0" applyBorder="0">
      <alignment vertical="top"/>
    </xf>
    <xf numFmtId="0" fontId="32" fillId="0" borderId="0" applyFont="1" applyFill="0" applyBorder="0">
      <alignment vertical="top"/>
    </xf>
    <xf numFmtId="0" fontId="33" fillId="0" borderId="0" applyFont="1" applyFill="0" applyBorder="0">
      <alignment vertical="top"/>
    </xf>
    <xf numFmtId="0" fontId="34" fillId="0" borderId="0" applyFont="1" applyFill="0" applyBorder="0">
      <alignment vertical="top"/>
    </xf>
    <xf numFmtId="0" fontId="35" fillId="0" borderId="0" applyFont="1" applyFill="0" applyBorder="0">
      <alignment horizontal="center" vertical="center" wrapText="1"/>
    </xf>
    <xf numFmtId="0" fontId="36" fillId="0" borderId="0" applyFont="1" applyFill="0" applyBorder="0">
      <alignment horizontal="center" vertical="center" wrapText="1"/>
    </xf>
    <xf numFmtId="4" fontId="23" fillId="33" borderId="0" applyFont="1" applyFill="1" applyBorder="0" applyNumberFormat="1">
      <alignment horizontal="right"/>
    </xf>
    <xf numFmtId="49" fontId="23" fillId="0" borderId="0" applyFont="1" applyFill="0" applyBorder="0" applyNumberFormat="1">
      <alignment vertical="top"/>
    </xf>
    <xf numFmtId="0" fontId="1" fillId="0" borderId="0" applyFont="1" applyFill="0" applyBorder="0"/>
    <xf numFmtId="0" fontId="37" fillId="0" borderId="0" applyFont="1" applyFill="0" applyBorder="0"/>
    <xf numFmtId="49" fontId="0" fillId="0" borderId="0" applyFont="1" applyFill="0" applyBorder="0" applyNumberFormat="1">
      <alignment vertical="top"/>
    </xf>
    <xf numFmtId="0" fontId="38" fillId="0" borderId="0" applyFont="1" applyFill="0" applyBorder="0"/>
    <xf numFmtId="0" fontId="39" fillId="36" borderId="0" applyFont="1" applyFill="1" applyBorder="0">
      <alignment vertical="top"/>
    </xf>
    <xf numFmtId="49" fontId="39" fillId="0" borderId="0" applyFont="1" applyFill="0" applyBorder="0" applyNumberFormat="1">
      <alignment vertical="top"/>
    </xf>
    <xf numFmtId="0" fontId="22" fillId="0" borderId="0" applyFont="1" applyFill="0" applyBorder="0">
      <alignment wrapText="1"/>
    </xf>
    <xf numFmtId="49" fontId="23" fillId="36" borderId="0" applyFont="1" applyFill="1" applyBorder="0" applyNumberFormat="1">
      <alignment vertical="top"/>
    </xf>
    <xf numFmtId="49" fontId="0" fillId="37" borderId="0" applyFont="1" applyFill="1" applyBorder="0" applyNumberFormat="1">
      <alignment vertical="top"/>
    </xf>
  </cellStyleXfs>
  <cellXfs count="10562">
    <xf numFmtId="49" fontId="0" fillId="0" borderId="0" xfId="0" applyFont="1" applyNumberFormat="1">
      <alignment vertical="top"/>
    </xf>
    <xf numFmtId="49" fontId="0" fillId="0" borderId="0" xfId="0" applyFont="1" applyNumberFormat="1">
      <alignment vertical="top"/>
    </xf>
    <xf numFmtId="0" fontId="1" fillId="2" borderId="0" xfId="1" applyFont="1" applyFill="1">
      <alignment vertical="top"/>
    </xf>
    <xf numFmtId="0" fontId="1" fillId="3" borderId="0" xfId="2" applyFont="1" applyFill="1">
      <alignment vertical="top"/>
    </xf>
    <xf numFmtId="0" fontId="1" fillId="4" borderId="0" xfId="3" applyFont="1" applyFill="1">
      <alignment vertical="top"/>
    </xf>
    <xf numFmtId="0" fontId="1" fillId="5" borderId="0" xfId="4" applyFont="1" applyFill="1">
      <alignment vertical="top"/>
    </xf>
    <xf numFmtId="0" fontId="1" fillId="6" borderId="0" xfId="5" applyFont="1" applyFill="1">
      <alignment vertical="top"/>
    </xf>
    <xf numFmtId="0" fontId="1" fillId="7" borderId="0" xfId="6" applyFont="1" applyFill="1">
      <alignment vertical="top"/>
    </xf>
    <xf numFmtId="0" fontId="1" fillId="8" borderId="0" xfId="7" applyFont="1" applyFill="1">
      <alignment vertical="top"/>
    </xf>
    <xf numFmtId="0" fontId="1" fillId="9" borderId="0" xfId="8" applyFont="1" applyFill="1">
      <alignment vertical="top"/>
    </xf>
    <xf numFmtId="0" fontId="1" fillId="10" borderId="0" xfId="9" applyFont="1" applyFill="1">
      <alignment vertical="top"/>
    </xf>
    <xf numFmtId="0" fontId="1" fillId="11" borderId="0" xfId="10" applyFont="1" applyFill="1">
      <alignment vertical="top"/>
    </xf>
    <xf numFmtId="0" fontId="1" fillId="12" borderId="0" xfId="11" applyFont="1" applyFill="1">
      <alignment vertical="top"/>
    </xf>
    <xf numFmtId="0" fontId="1" fillId="13" borderId="0" xfId="12" applyFont="1" applyFill="1">
      <alignment vertical="top"/>
    </xf>
    <xf numFmtId="0" fontId="2" fillId="14" borderId="0" xfId="13" applyFont="1" applyFill="1">
      <alignment vertical="top"/>
    </xf>
    <xf numFmtId="0" fontId="2" fillId="15" borderId="0" xfId="14" applyFont="1" applyFill="1">
      <alignment vertical="top"/>
    </xf>
    <xf numFmtId="0" fontId="2" fillId="16" borderId="0" xfId="15" applyFont="1" applyFill="1">
      <alignment vertical="top"/>
    </xf>
    <xf numFmtId="0" fontId="2" fillId="17" borderId="0" xfId="16" applyFont="1" applyFill="1">
      <alignment vertical="top"/>
    </xf>
    <xf numFmtId="0" fontId="2" fillId="18" borderId="0" xfId="17" applyFont="1" applyFill="1">
      <alignment vertical="top"/>
    </xf>
    <xf numFmtId="0" fontId="2" fillId="19" borderId="0" xfId="18" applyFont="1" applyFill="1">
      <alignment vertical="top"/>
    </xf>
    <xf numFmtId="0" fontId="2" fillId="20" borderId="0" xfId="19" applyFont="1" applyFill="1">
      <alignment vertical="top"/>
    </xf>
    <xf numFmtId="0" fontId="2" fillId="21" borderId="0" xfId="20" applyFont="1" applyFill="1">
      <alignment vertical="top"/>
    </xf>
    <xf numFmtId="0" fontId="2" fillId="22" borderId="0" xfId="21" applyFont="1" applyFill="1">
      <alignment vertical="top"/>
    </xf>
    <xf numFmtId="0" fontId="2" fillId="23" borderId="0" xfId="22" applyFont="1" applyFill="1">
      <alignment vertical="top"/>
    </xf>
    <xf numFmtId="0" fontId="2" fillId="24" borderId="0" xfId="23" applyFont="1" applyFill="1">
      <alignment vertical="top"/>
    </xf>
    <xf numFmtId="0" fontId="2" fillId="25" borderId="0" xfId="24" applyFont="1" applyFill="1">
      <alignment vertical="top"/>
    </xf>
    <xf numFmtId="0" fontId="3" fillId="26" borderId="0" xfId="25" applyFont="1" applyFill="1">
      <alignment vertical="top"/>
    </xf>
    <xf numFmtId="0" fontId="4" fillId="27" borderId="1" xfId="26" applyFont="1" applyFill="1" applyBorder="1">
      <alignment vertical="top"/>
    </xf>
    <xf numFmtId="0" fontId="5" fillId="28" borderId="2" xfId="27" applyFont="1" applyFill="1" applyBorder="1">
      <alignment vertical="top"/>
    </xf>
    <xf numFmtId="43" fontId="6" fillId="0" borderId="0" xfId="28" applyNumberFormat="1">
      <alignment vertical="top"/>
    </xf>
    <xf numFmtId="41" fontId="6" fillId="0" borderId="0" xfId="29" applyNumberFormat="1">
      <alignment vertical="top"/>
    </xf>
    <xf numFmtId="44" fontId="6" fillId="0" borderId="0" xfId="30" applyNumberFormat="1">
      <alignment vertical="top"/>
    </xf>
    <xf numFmtId="169" fontId="6" fillId="0" borderId="0" xfId="31" applyNumberFormat="1">
      <alignment vertical="top"/>
    </xf>
    <xf numFmtId="0" fontId="7" fillId="0" borderId="0" xfId="32" applyFont="1">
      <alignment vertical="top"/>
    </xf>
    <xf numFmtId="0" fontId="8" fillId="29" borderId="0" xfId="33" applyFont="1" applyFill="1">
      <alignment vertical="top"/>
    </xf>
    <xf numFmtId="0" fontId="9" fillId="0" borderId="3" xfId="34" applyFont="1" applyBorder="1">
      <alignment vertical="top"/>
    </xf>
    <xf numFmtId="0" fontId="10" fillId="0" borderId="4" xfId="35" applyFont="1" applyBorder="1">
      <alignment vertical="top"/>
    </xf>
    <xf numFmtId="0" fontId="11" fillId="0" borderId="5" xfId="36" applyFont="1" applyBorder="1">
      <alignment vertical="top"/>
    </xf>
    <xf numFmtId="0" fontId="11" fillId="0" borderId="0" xfId="37" applyFont="1">
      <alignment vertical="top"/>
    </xf>
    <xf numFmtId="0" fontId="12" fillId="30" borderId="1" xfId="38" applyFont="1" applyFill="1" applyBorder="1">
      <alignment vertical="top"/>
    </xf>
    <xf numFmtId="0" fontId="13" fillId="0" borderId="6" xfId="39" applyFont="1" applyBorder="1">
      <alignment vertical="top"/>
    </xf>
    <xf numFmtId="0" fontId="14" fillId="31" borderId="0" xfId="40" applyFont="1" applyFill="1">
      <alignment vertical="top"/>
    </xf>
    <xf numFmtId="0" fontId="15" fillId="0" borderId="0" xfId="41" applyFont="1">
      <alignment vertical="top"/>
    </xf>
    <xf numFmtId="0" fontId="6" fillId="32" borderId="7" xfId="42" applyFill="1" applyBorder="1">
      <alignment vertical="top"/>
    </xf>
    <xf numFmtId="0" fontId="16" fillId="27" borderId="8" xfId="43" applyFont="1" applyFill="1" applyBorder="1">
      <alignment vertical="top"/>
    </xf>
    <xf numFmtId="9" fontId="6" fillId="0" borderId="0" xfId="44" applyNumberFormat="1">
      <alignment vertical="top"/>
    </xf>
    <xf numFmtId="0" fontId="17" fillId="0" borderId="0" xfId="45" applyFont="1">
      <alignment vertical="top"/>
    </xf>
    <xf numFmtId="0" fontId="18" fillId="0" borderId="9" xfId="46" applyFont="1" applyBorder="1">
      <alignment vertical="top"/>
    </xf>
    <xf numFmtId="0" fontId="19" fillId="0" borderId="0" xfId="47" applyFont="1">
      <alignment vertical="top"/>
    </xf>
    <xf numFmtId="0" fontId="20" fillId="0" borderId="0" xfId="48" applyFont="1"/>
    <xf numFmtId="170" fontId="20" fillId="0" borderId="0" xfId="49" applyFont="1" applyNumberFormat="1"/>
    <xf numFmtId="38" fontId="21" fillId="0" borderId="0" xfId="50" applyFont="1" applyNumberFormat="1">
      <alignment vertical="top"/>
    </xf>
    <xf numFmtId="0" fontId="22" fillId="0" borderId="10" xfId="51" applyFont="1" applyBorder="1">
      <alignment vertical="top"/>
      <protection locked="0"/>
    </xf>
    <xf numFmtId="171" fontId="23" fillId="33" borderId="0" xfId="52" applyFont="1" applyFill="1" applyNumberFormat="1">
      <protection locked="0"/>
    </xf>
    <xf numFmtId="0" fontId="24" fillId="0" borderId="0" xfId="53" applyFont="1">
      <alignment vertical="center"/>
    </xf>
    <xf numFmtId="164" fontId="23" fillId="33" borderId="0" xfId="54" applyFont="1" applyFill="1" applyNumberFormat="1">
      <protection locked="0"/>
    </xf>
    <xf numFmtId="166" fontId="23" fillId="33" borderId="0" xfId="55" applyFont="1" applyFill="1" applyNumberFormat="1">
      <protection locked="0"/>
    </xf>
    <xf numFmtId="0" fontId="25" fillId="0" borderId="0" xfId="56" applyFont="1">
      <alignment vertical="top"/>
    </xf>
    <xf numFmtId="0" fontId="22" fillId="34" borderId="10" xfId="57" applyFont="1" applyFill="1" applyBorder="1">
      <alignment vertical="top"/>
    </xf>
    <xf numFmtId="0" fontId="26" fillId="0" borderId="0" xfId="58" applyFont="1">
      <alignment vertical="top"/>
    </xf>
    <xf numFmtId="0" fontId="27" fillId="0" borderId="0" xfId="59" applyFont="1"/>
    <xf numFmtId="0" fontId="28" fillId="35" borderId="11" xfId="60" applyFont="1" applyFill="1" applyBorder="1">
      <alignment horizontal="center" vertical="center"/>
    </xf>
    <xf numFmtId="0" fontId="29" fillId="30" borderId="10" xfId="61" applyFont="1" applyFill="1" applyBorder="1">
      <alignment vertical="top"/>
    </xf>
    <xf numFmtId="0" fontId="30" fillId="0" borderId="0" xfId="62" applyFont="1">
      <alignment vertical="top"/>
    </xf>
    <xf numFmtId="0" fontId="31" fillId="0" borderId="0" xfId="63" applyFont="1">
      <alignment vertical="top"/>
    </xf>
    <xf numFmtId="0" fontId="32" fillId="0" borderId="0" xfId="64" applyFont="1">
      <alignment vertical="top"/>
    </xf>
    <xf numFmtId="0" fontId="33" fillId="0" borderId="0" xfId="65" applyFont="1">
      <alignment vertical="top"/>
    </xf>
    <xf numFmtId="0" fontId="34" fillId="0" borderId="0" xfId="66" applyFont="1">
      <alignment vertical="top"/>
    </xf>
    <xf numFmtId="0" fontId="35" fillId="0" borderId="0" xfId="67" applyFont="1">
      <alignment horizontal="center" vertical="center" wrapText="1"/>
    </xf>
    <xf numFmtId="0" fontId="36" fillId="0" borderId="0" xfId="68" applyFont="1">
      <alignment horizontal="center" vertical="center" wrapText="1"/>
    </xf>
    <xf numFmtId="4" fontId="23" fillId="33" borderId="0" xfId="69" applyFont="1" applyFill="1" applyNumberFormat="1">
      <alignment horizontal="right"/>
    </xf>
    <xf numFmtId="49" fontId="23" fillId="0" borderId="0" xfId="70" applyFont="1" applyNumberFormat="1">
      <alignment vertical="top"/>
    </xf>
    <xf numFmtId="0" fontId="1" fillId="0" borderId="0" xfId="71" applyFont="1"/>
    <xf numFmtId="0" fontId="37" fillId="0" borderId="0" xfId="72" applyFont="1"/>
    <xf numFmtId="49" fontId="0" fillId="0" borderId="0" xfId="73" applyFont="1" applyNumberFormat="1">
      <alignment vertical="top"/>
    </xf>
    <xf numFmtId="0" fontId="38" fillId="0" borderId="0" xfId="74" applyFont="1"/>
    <xf numFmtId="0" fontId="39" fillId="36" borderId="0" xfId="75" applyFont="1" applyFill="1">
      <alignment vertical="top"/>
    </xf>
    <xf numFmtId="49" fontId="39" fillId="0" borderId="0" xfId="76" applyFont="1" applyNumberFormat="1">
      <alignment vertical="top"/>
    </xf>
    <xf numFmtId="0" fontId="22" fillId="0" borderId="0" xfId="77" applyFont="1">
      <alignment wrapText="1"/>
    </xf>
    <xf numFmtId="49" fontId="23" fillId="36" borderId="0" xfId="78" applyFont="1" applyFill="1" applyNumberFormat="1">
      <alignment vertical="top"/>
    </xf>
    <xf numFmtId="49" fontId="0" fillId="37" borderId="0" xfId="79" applyFont="1" applyFill="1" applyNumberFormat="1">
      <alignment vertical="top"/>
    </xf>
    <xf numFmtId="49" fontId="0" fillId="0" borderId="0" xfId="0" applyFont="1" applyNumberFormat="1">
      <alignment vertical="top"/>
    </xf>
    <xf numFmtId="0" fontId="1" fillId="2" borderId="0" xfId="1" applyFont="1" applyFill="1" applyNumberFormat="1">
      <alignment vertical="top"/>
    </xf>
    <xf numFmtId="0" fontId="1" fillId="3" borderId="0" xfId="2" applyFont="1" applyFill="1" applyNumberFormat="1">
      <alignment vertical="top"/>
    </xf>
    <xf numFmtId="0" fontId="1" fillId="4" borderId="0" xfId="3" applyFont="1" applyFill="1" applyNumberFormat="1">
      <alignment vertical="top"/>
    </xf>
    <xf numFmtId="0" fontId="1" fillId="5" borderId="0" xfId="4" applyFont="1" applyFill="1" applyNumberFormat="1">
      <alignment vertical="top"/>
    </xf>
    <xf numFmtId="0" fontId="1" fillId="6" borderId="0" xfId="5" applyFont="1" applyFill="1" applyNumberFormat="1">
      <alignment vertical="top"/>
    </xf>
    <xf numFmtId="0" fontId="1" fillId="7" borderId="0" xfId="6" applyFont="1" applyFill="1" applyNumberFormat="1">
      <alignment vertical="top"/>
    </xf>
    <xf numFmtId="0" fontId="1" fillId="8" borderId="0" xfId="7" applyFont="1" applyFill="1" applyNumberFormat="1">
      <alignment vertical="top"/>
    </xf>
    <xf numFmtId="0" fontId="1" fillId="9" borderId="0" xfId="8" applyFont="1" applyFill="1" applyNumberFormat="1">
      <alignment vertical="top"/>
    </xf>
    <xf numFmtId="0" fontId="1" fillId="10" borderId="0" xfId="9" applyFont="1" applyFill="1" applyNumberFormat="1">
      <alignment vertical="top"/>
    </xf>
    <xf numFmtId="0" fontId="1" fillId="11" borderId="0" xfId="10" applyFont="1" applyFill="1" applyNumberFormat="1">
      <alignment vertical="top"/>
    </xf>
    <xf numFmtId="0" fontId="1" fillId="12" borderId="0" xfId="11" applyFont="1" applyFill="1" applyNumberFormat="1">
      <alignment vertical="top"/>
    </xf>
    <xf numFmtId="0" fontId="1" fillId="13" borderId="0" xfId="12" applyFont="1" applyFill="1" applyNumberFormat="1">
      <alignment vertical="top"/>
    </xf>
    <xf numFmtId="0" fontId="2" fillId="14" borderId="0" xfId="13" applyFont="1" applyFill="1" applyNumberFormat="1">
      <alignment vertical="top"/>
    </xf>
    <xf numFmtId="0" fontId="2" fillId="15" borderId="0" xfId="14" applyFont="1" applyFill="1" applyNumberFormat="1">
      <alignment vertical="top"/>
    </xf>
    <xf numFmtId="0" fontId="2" fillId="16" borderId="0" xfId="15" applyFont="1" applyFill="1" applyNumberFormat="1">
      <alignment vertical="top"/>
    </xf>
    <xf numFmtId="0" fontId="2" fillId="17" borderId="0" xfId="16" applyFont="1" applyFill="1" applyNumberFormat="1">
      <alignment vertical="top"/>
    </xf>
    <xf numFmtId="0" fontId="2" fillId="18" borderId="0" xfId="17" applyFont="1" applyFill="1" applyNumberFormat="1">
      <alignment vertical="top"/>
    </xf>
    <xf numFmtId="0" fontId="2" fillId="19" borderId="0" xfId="18" applyFont="1" applyFill="1" applyNumberFormat="1">
      <alignment vertical="top"/>
    </xf>
    <xf numFmtId="0" fontId="2" fillId="20" borderId="0" xfId="19" applyFont="1" applyFill="1" applyNumberFormat="1">
      <alignment vertical="top"/>
    </xf>
    <xf numFmtId="0" fontId="2" fillId="21" borderId="0" xfId="20" applyFont="1" applyFill="1" applyNumberFormat="1">
      <alignment vertical="top"/>
    </xf>
    <xf numFmtId="0" fontId="2" fillId="22" borderId="0" xfId="21" applyFont="1" applyFill="1" applyNumberFormat="1">
      <alignment vertical="top"/>
    </xf>
    <xf numFmtId="0" fontId="2" fillId="23" borderId="0" xfId="22" applyFont="1" applyFill="1" applyNumberFormat="1">
      <alignment vertical="top"/>
    </xf>
    <xf numFmtId="0" fontId="2" fillId="24" borderId="0" xfId="23" applyFont="1" applyFill="1" applyNumberFormat="1">
      <alignment vertical="top"/>
    </xf>
    <xf numFmtId="0" fontId="2" fillId="25" borderId="0" xfId="24" applyFont="1" applyFill="1" applyNumberFormat="1">
      <alignment vertical="top"/>
    </xf>
    <xf numFmtId="0" fontId="3" fillId="26" borderId="0" xfId="25" applyFont="1" applyFill="1" applyNumberFormat="1">
      <alignment vertical="top"/>
    </xf>
    <xf numFmtId="0" fontId="4" fillId="27" borderId="1" xfId="26" applyFont="1" applyFill="1" applyBorder="1" applyNumberFormat="1">
      <alignment vertical="top"/>
    </xf>
    <xf numFmtId="0" fontId="5" fillId="28" borderId="2" xfId="27" applyFont="1" applyFill="1" applyBorder="1" applyNumberFormat="1">
      <alignment vertical="top"/>
    </xf>
    <xf numFmtId="43" fontId="37" fillId="0" borderId="0" xfId="28" applyFont="1" applyNumberFormat="1">
      <alignment vertical="top"/>
    </xf>
    <xf numFmtId="41" fontId="37" fillId="0" borderId="0" xfId="29" applyFont="1" applyNumberFormat="1">
      <alignment vertical="top"/>
    </xf>
    <xf numFmtId="44" fontId="37" fillId="0" borderId="0" xfId="30" applyFont="1" applyNumberFormat="1">
      <alignment vertical="top"/>
    </xf>
    <xf numFmtId="169" fontId="37" fillId="0" borderId="0" xfId="31" applyFont="1" applyNumberFormat="1">
      <alignment vertical="top"/>
    </xf>
    <xf numFmtId="0" fontId="7" fillId="0" borderId="0" xfId="32" applyFont="1" applyNumberFormat="1">
      <alignment vertical="top"/>
    </xf>
    <xf numFmtId="0" fontId="8" fillId="29" borderId="0" xfId="33" applyFont="1" applyFill="1" applyNumberFormat="1">
      <alignment vertical="top"/>
    </xf>
    <xf numFmtId="0" fontId="9" fillId="0" borderId="3" xfId="34" applyFont="1" applyBorder="1" applyNumberFormat="1">
      <alignment vertical="top"/>
    </xf>
    <xf numFmtId="0" fontId="10" fillId="0" borderId="4" xfId="35" applyFont="1" applyBorder="1" applyNumberFormat="1">
      <alignment vertical="top"/>
    </xf>
    <xf numFmtId="0" fontId="11" fillId="0" borderId="5" xfId="36" applyFont="1" applyBorder="1" applyNumberFormat="1">
      <alignment vertical="top"/>
    </xf>
    <xf numFmtId="0" fontId="11" fillId="0" borderId="0" xfId="37" applyFont="1" applyNumberFormat="1">
      <alignment vertical="top"/>
    </xf>
    <xf numFmtId="0" fontId="12" fillId="30" borderId="1" xfId="38" applyFont="1" applyFill="1" applyBorder="1" applyNumberFormat="1">
      <alignment vertical="top"/>
    </xf>
    <xf numFmtId="0" fontId="13" fillId="0" borderId="6" xfId="39" applyFont="1" applyBorder="1" applyNumberFormat="1">
      <alignment vertical="top"/>
    </xf>
    <xf numFmtId="0" fontId="14" fillId="31" borderId="0" xfId="40" applyFont="1" applyFill="1" applyNumberFormat="1">
      <alignment vertical="top"/>
    </xf>
    <xf numFmtId="0" fontId="37" fillId="32" borderId="7" xfId="42" applyFont="1" applyFill="1" applyBorder="1" applyNumberFormat="1">
      <alignment vertical="top"/>
    </xf>
    <xf numFmtId="0" fontId="16" fillId="27" borderId="8" xfId="43" applyFont="1" applyFill="1" applyBorder="1" applyNumberFormat="1">
      <alignment vertical="top"/>
    </xf>
    <xf numFmtId="9" fontId="37" fillId="0" borderId="0" xfId="44" applyFont="1" applyNumberFormat="1">
      <alignment vertical="top"/>
    </xf>
    <xf numFmtId="0" fontId="17" fillId="0" borderId="0" xfId="45" applyFont="1" applyNumberFormat="1">
      <alignment vertical="top"/>
    </xf>
    <xf numFmtId="0" fontId="18" fillId="0" borderId="9" xfId="46" applyFont="1" applyBorder="1" applyNumberFormat="1">
      <alignment vertical="top"/>
    </xf>
    <xf numFmtId="0" fontId="19" fillId="0" borderId="0" xfId="47" applyFont="1" applyNumberFormat="1">
      <alignment vertical="top"/>
    </xf>
    <xf numFmtId="0" fontId="20" fillId="0" borderId="0" xfId="0" applyFont="1" applyNumberFormat="1"/>
    <xf numFmtId="0" fontId="22" fillId="0" borderId="10" xfId="51" applyFont="1" applyBorder="1" applyNumberFormat="1">
      <alignment vertical="top"/>
      <protection locked="0"/>
    </xf>
    <xf numFmtId="0" fontId="24" fillId="0" borderId="0" xfId="0" applyFont="1" applyNumberFormat="1">
      <alignment vertical="center"/>
    </xf>
    <xf numFmtId="0" fontId="25" fillId="0" borderId="0" xfId="56" applyFont="1" applyNumberFormat="1">
      <alignment vertical="top"/>
    </xf>
    <xf numFmtId="0" fontId="22" fillId="34" borderId="10" xfId="57" applyFont="1" applyFill="1" applyBorder="1" applyNumberFormat="1">
      <alignment vertical="top"/>
    </xf>
    <xf numFmtId="0" fontId="26" fillId="0" borderId="0" xfId="58" applyFont="1" applyNumberFormat="1">
      <alignment vertical="top"/>
    </xf>
    <xf numFmtId="0" fontId="27" fillId="0" borderId="0" xfId="59" applyFont="1" applyNumberFormat="1"/>
    <xf numFmtId="0" fontId="28" fillId="35" borderId="11" xfId="60" applyFont="1" applyFill="1" applyBorder="1" applyNumberFormat="1">
      <alignment horizontal="center" vertical="center"/>
    </xf>
    <xf numFmtId="0" fontId="29" fillId="30" borderId="10" xfId="61" applyFont="1" applyFill="1" applyBorder="1" applyNumberFormat="1">
      <alignment vertical="top"/>
    </xf>
    <xf numFmtId="0" fontId="30" fillId="0" borderId="0" xfId="62" applyFont="1" applyNumberFormat="1">
      <alignment vertical="top"/>
    </xf>
    <xf numFmtId="0" fontId="31" fillId="0" borderId="0" xfId="63" applyFont="1" applyNumberFormat="1">
      <alignment vertical="top"/>
    </xf>
    <xf numFmtId="0" fontId="32" fillId="0" borderId="0" xfId="64" applyFont="1" applyNumberFormat="1">
      <alignment vertical="top"/>
    </xf>
    <xf numFmtId="0" fontId="33" fillId="0" borderId="0" xfId="65" applyFont="1" applyNumberFormat="1">
      <alignment vertical="top"/>
    </xf>
    <xf numFmtId="0" fontId="34" fillId="0" borderId="0" xfId="66" applyFont="1" applyNumberFormat="1">
      <alignment vertical="top"/>
    </xf>
    <xf numFmtId="0" fontId="35" fillId="0" borderId="0" xfId="67" applyFont="1" applyNumberFormat="1">
      <alignment horizontal="center" vertical="center" wrapText="1"/>
    </xf>
    <xf numFmtId="0" fontId="36" fillId="0" borderId="0" xfId="68" applyFont="1" applyNumberFormat="1">
      <alignment horizontal="center" vertical="center" wrapText="1"/>
    </xf>
    <xf numFmtId="0" fontId="1" fillId="0" borderId="0" xfId="0" applyFont="1" applyNumberFormat="1"/>
    <xf numFmtId="0" fontId="37" fillId="0" borderId="0" xfId="0" applyFont="1" applyNumberFormat="1"/>
    <xf numFmtId="49" fontId="0" fillId="0" borderId="0" xfId="73" applyFont="1" applyNumberFormat="1">
      <alignment vertical="top"/>
    </xf>
    <xf numFmtId="0" fontId="38" fillId="0" borderId="0" xfId="0" applyFont="1" applyNumberFormat="1"/>
    <xf numFmtId="0" fontId="39" fillId="36" borderId="0" xfId="75" applyFont="1" applyFill="1" applyNumberFormat="1">
      <alignment vertical="top"/>
    </xf>
    <xf numFmtId="0" fontId="22" fillId="0" borderId="0" xfId="0" applyFont="1" applyNumberFormat="1">
      <alignment wrapText="1"/>
    </xf>
    <xf numFmtId="49" fontId="0" fillId="0" borderId="0" xfId="0" applyFont="1" applyNumberFormat="1">
      <alignment vertical="top"/>
    </xf>
    <xf numFmtId="0" fontId="1" fillId="2" borderId="0" xfId="1" applyFont="1" applyFill="1" applyNumberFormat="1">
      <alignment vertical="top"/>
    </xf>
    <xf numFmtId="0" fontId="1" fillId="3" borderId="0" xfId="2" applyFont="1" applyFill="1" applyNumberFormat="1">
      <alignment vertical="top"/>
    </xf>
    <xf numFmtId="0" fontId="1" fillId="4" borderId="0" xfId="3" applyFont="1" applyFill="1" applyNumberFormat="1">
      <alignment vertical="top"/>
    </xf>
    <xf numFmtId="0" fontId="1" fillId="5" borderId="0" xfId="4" applyFont="1" applyFill="1" applyNumberFormat="1">
      <alignment vertical="top"/>
    </xf>
    <xf numFmtId="0" fontId="1" fillId="6" borderId="0" xfId="5" applyFont="1" applyFill="1" applyNumberFormat="1">
      <alignment vertical="top"/>
    </xf>
    <xf numFmtId="0" fontId="1" fillId="7" borderId="0" xfId="6" applyFont="1" applyFill="1" applyNumberFormat="1">
      <alignment vertical="top"/>
    </xf>
    <xf numFmtId="0" fontId="1" fillId="8" borderId="0" xfId="7" applyFont="1" applyFill="1" applyNumberFormat="1">
      <alignment vertical="top"/>
    </xf>
    <xf numFmtId="0" fontId="1" fillId="9" borderId="0" xfId="8" applyFont="1" applyFill="1" applyNumberFormat="1">
      <alignment vertical="top"/>
    </xf>
    <xf numFmtId="0" fontId="1" fillId="10" borderId="0" xfId="9" applyFont="1" applyFill="1" applyNumberFormat="1">
      <alignment vertical="top"/>
    </xf>
    <xf numFmtId="0" fontId="1" fillId="11" borderId="0" xfId="10" applyFont="1" applyFill="1" applyNumberFormat="1">
      <alignment vertical="top"/>
    </xf>
    <xf numFmtId="0" fontId="1" fillId="12" borderId="0" xfId="11" applyFont="1" applyFill="1" applyNumberFormat="1">
      <alignment vertical="top"/>
    </xf>
    <xf numFmtId="0" fontId="1" fillId="13" borderId="0" xfId="12" applyFont="1" applyFill="1" applyNumberFormat="1">
      <alignment vertical="top"/>
    </xf>
    <xf numFmtId="0" fontId="2" fillId="14" borderId="0" xfId="13" applyFont="1" applyFill="1" applyNumberFormat="1">
      <alignment vertical="top"/>
    </xf>
    <xf numFmtId="0" fontId="2" fillId="15" borderId="0" xfId="14" applyFont="1" applyFill="1" applyNumberFormat="1">
      <alignment vertical="top"/>
    </xf>
    <xf numFmtId="0" fontId="2" fillId="16" borderId="0" xfId="15" applyFont="1" applyFill="1" applyNumberFormat="1">
      <alignment vertical="top"/>
    </xf>
    <xf numFmtId="0" fontId="2" fillId="17" borderId="0" xfId="16" applyFont="1" applyFill="1" applyNumberFormat="1">
      <alignment vertical="top"/>
    </xf>
    <xf numFmtId="0" fontId="2" fillId="18" borderId="0" xfId="17" applyFont="1" applyFill="1" applyNumberFormat="1">
      <alignment vertical="top"/>
    </xf>
    <xf numFmtId="0" fontId="2" fillId="19" borderId="0" xfId="18" applyFont="1" applyFill="1" applyNumberFormat="1">
      <alignment vertical="top"/>
    </xf>
    <xf numFmtId="0" fontId="2" fillId="20" borderId="0" xfId="19" applyFont="1" applyFill="1" applyNumberFormat="1">
      <alignment vertical="top"/>
    </xf>
    <xf numFmtId="0" fontId="2" fillId="21" borderId="0" xfId="20" applyFont="1" applyFill="1" applyNumberFormat="1">
      <alignment vertical="top"/>
    </xf>
    <xf numFmtId="0" fontId="2" fillId="22" borderId="0" xfId="21" applyFont="1" applyFill="1" applyNumberFormat="1">
      <alignment vertical="top"/>
    </xf>
    <xf numFmtId="0" fontId="2" fillId="23" borderId="0" xfId="22" applyFont="1" applyFill="1" applyNumberFormat="1">
      <alignment vertical="top"/>
    </xf>
    <xf numFmtId="0" fontId="2" fillId="24" borderId="0" xfId="23" applyFont="1" applyFill="1" applyNumberFormat="1">
      <alignment vertical="top"/>
    </xf>
    <xf numFmtId="0" fontId="2" fillId="25" borderId="0" xfId="24" applyFont="1" applyFill="1" applyNumberFormat="1">
      <alignment vertical="top"/>
    </xf>
    <xf numFmtId="0" fontId="3" fillId="26" borderId="0" xfId="25" applyFont="1" applyFill="1" applyNumberFormat="1">
      <alignment vertical="top"/>
    </xf>
    <xf numFmtId="0" fontId="4" fillId="27" borderId="1" xfId="26" applyFont="1" applyFill="1" applyBorder="1" applyNumberFormat="1">
      <alignment vertical="top"/>
    </xf>
    <xf numFmtId="0" fontId="5" fillId="28" borderId="2" xfId="27" applyFont="1" applyFill="1" applyBorder="1" applyNumberFormat="1">
      <alignment vertical="top"/>
    </xf>
    <xf numFmtId="43" fontId="37" fillId="0" borderId="0" xfId="28" applyFont="1" applyNumberFormat="1">
      <alignment vertical="top"/>
    </xf>
    <xf numFmtId="41" fontId="37" fillId="0" borderId="0" xfId="29" applyFont="1" applyNumberFormat="1">
      <alignment vertical="top"/>
    </xf>
    <xf numFmtId="44" fontId="37" fillId="0" borderId="0" xfId="30" applyFont="1" applyNumberFormat="1">
      <alignment vertical="top"/>
    </xf>
    <xf numFmtId="169" fontId="37" fillId="0" borderId="0" xfId="31" applyFont="1" applyNumberFormat="1">
      <alignment vertical="top"/>
    </xf>
    <xf numFmtId="0" fontId="7" fillId="0" borderId="0" xfId="32" applyFont="1" applyNumberFormat="1">
      <alignment vertical="top"/>
    </xf>
    <xf numFmtId="0" fontId="8" fillId="29" borderId="0" xfId="33" applyFont="1" applyFill="1" applyNumberFormat="1">
      <alignment vertical="top"/>
    </xf>
    <xf numFmtId="0" fontId="9" fillId="0" borderId="3" xfId="34" applyFont="1" applyBorder="1" applyNumberFormat="1">
      <alignment vertical="top"/>
    </xf>
    <xf numFmtId="0" fontId="10" fillId="0" borderId="4" xfId="35" applyFont="1" applyBorder="1" applyNumberFormat="1">
      <alignment vertical="top"/>
    </xf>
    <xf numFmtId="0" fontId="11" fillId="0" borderId="5" xfId="36" applyFont="1" applyBorder="1" applyNumberFormat="1">
      <alignment vertical="top"/>
    </xf>
    <xf numFmtId="0" fontId="11" fillId="0" borderId="0" xfId="37" applyFont="1" applyNumberFormat="1">
      <alignment vertical="top"/>
    </xf>
    <xf numFmtId="0" fontId="12" fillId="30" borderId="1" xfId="38" applyFont="1" applyFill="1" applyBorder="1" applyNumberFormat="1">
      <alignment vertical="top"/>
    </xf>
    <xf numFmtId="0" fontId="13" fillId="0" borderId="6" xfId="39" applyFont="1" applyBorder="1" applyNumberFormat="1">
      <alignment vertical="top"/>
    </xf>
    <xf numFmtId="0" fontId="14" fillId="31" borderId="0" xfId="40" applyFont="1" applyFill="1" applyNumberFormat="1">
      <alignment vertical="top"/>
    </xf>
    <xf numFmtId="0" fontId="37" fillId="32" borderId="7" xfId="42" applyFont="1" applyFill="1" applyBorder="1" applyNumberFormat="1">
      <alignment vertical="top"/>
    </xf>
    <xf numFmtId="0" fontId="16" fillId="27" borderId="8" xfId="43" applyFont="1" applyFill="1" applyBorder="1" applyNumberFormat="1">
      <alignment vertical="top"/>
    </xf>
    <xf numFmtId="9" fontId="37" fillId="0" borderId="0" xfId="44" applyFont="1" applyNumberFormat="1">
      <alignment vertical="top"/>
    </xf>
    <xf numFmtId="0" fontId="17" fillId="0" borderId="0" xfId="45" applyFont="1" applyNumberFormat="1">
      <alignment vertical="top"/>
    </xf>
    <xf numFmtId="0" fontId="18" fillId="0" borderId="9" xfId="46" applyFont="1" applyBorder="1" applyNumberFormat="1">
      <alignment vertical="top"/>
    </xf>
    <xf numFmtId="0" fontId="19" fillId="0" borderId="0" xfId="47" applyFont="1" applyNumberFormat="1">
      <alignment vertical="top"/>
    </xf>
    <xf numFmtId="0" fontId="20" fillId="0" borderId="0" xfId="0" applyFont="1" applyNumberFormat="1"/>
    <xf numFmtId="0" fontId="22" fillId="0" borderId="10" xfId="51" applyFont="1" applyBorder="1" applyNumberFormat="1">
      <alignment vertical="top"/>
      <protection locked="0"/>
    </xf>
    <xf numFmtId="0" fontId="24" fillId="0" borderId="0" xfId="0" applyFont="1" applyNumberFormat="1">
      <alignment vertical="center"/>
    </xf>
    <xf numFmtId="0" fontId="25" fillId="0" borderId="0" xfId="56" applyFont="1" applyNumberFormat="1">
      <alignment vertical="top"/>
    </xf>
    <xf numFmtId="0" fontId="22" fillId="34" borderId="10" xfId="57" applyFont="1" applyFill="1" applyBorder="1" applyNumberFormat="1">
      <alignment vertical="top"/>
    </xf>
    <xf numFmtId="0" fontId="26" fillId="0" borderId="0" xfId="58" applyFont="1" applyNumberFormat="1">
      <alignment vertical="top"/>
    </xf>
    <xf numFmtId="0" fontId="27" fillId="0" borderId="0" xfId="59" applyFont="1" applyNumberFormat="1"/>
    <xf numFmtId="0" fontId="28" fillId="35" borderId="11" xfId="60" applyFont="1" applyFill="1" applyBorder="1" applyNumberFormat="1">
      <alignment horizontal="center" vertical="center"/>
    </xf>
    <xf numFmtId="0" fontId="29" fillId="30" borderId="10" xfId="61" applyFont="1" applyFill="1" applyBorder="1" applyNumberFormat="1">
      <alignment vertical="top"/>
    </xf>
    <xf numFmtId="0" fontId="30" fillId="0" borderId="0" xfId="62" applyFont="1" applyNumberFormat="1">
      <alignment vertical="top"/>
    </xf>
    <xf numFmtId="0" fontId="31" fillId="0" borderId="0" xfId="63" applyFont="1" applyNumberFormat="1">
      <alignment vertical="top"/>
    </xf>
    <xf numFmtId="0" fontId="32" fillId="0" borderId="0" xfId="64" applyFont="1" applyNumberFormat="1">
      <alignment vertical="top"/>
    </xf>
    <xf numFmtId="0" fontId="33" fillId="0" borderId="0" xfId="65" applyFont="1" applyNumberFormat="1">
      <alignment vertical="top"/>
    </xf>
    <xf numFmtId="0" fontId="34" fillId="0" borderId="0" xfId="66" applyFont="1" applyNumberFormat="1">
      <alignment vertical="top"/>
    </xf>
    <xf numFmtId="0" fontId="35" fillId="0" borderId="0" xfId="67" applyFont="1" applyNumberFormat="1">
      <alignment horizontal="center" vertical="center" wrapText="1"/>
    </xf>
    <xf numFmtId="0" fontId="36" fillId="0" borderId="0" xfId="68" applyFont="1" applyNumberFormat="1">
      <alignment horizontal="center" vertical="center" wrapText="1"/>
    </xf>
    <xf numFmtId="0" fontId="1" fillId="0" borderId="0" xfId="0" applyFont="1" applyNumberFormat="1"/>
    <xf numFmtId="0" fontId="37" fillId="0" borderId="0" xfId="0" applyFont="1" applyNumberFormat="1"/>
    <xf numFmtId="49" fontId="0" fillId="0" borderId="0" xfId="73" applyFont="1" applyNumberFormat="1">
      <alignment vertical="top"/>
    </xf>
    <xf numFmtId="0" fontId="38" fillId="0" borderId="0" xfId="0" applyFont="1" applyNumberFormat="1"/>
    <xf numFmtId="0" fontId="39" fillId="36" borderId="0" xfId="75" applyFont="1" applyFill="1" applyNumberFormat="1">
      <alignment vertical="top"/>
    </xf>
    <xf numFmtId="0" fontId="22" fillId="0" borderId="0" xfId="0" applyFont="1" applyNumberFormat="1">
      <alignment wrapText="1"/>
    </xf>
    <xf numFmtId="0" fontId="23" fillId="0" borderId="0" xfId="0" applyFont="1" applyNumberFormat="1">
      <alignment vertical="top" wrapText="1"/>
    </xf>
    <xf numFmtId="49" fontId="0" fillId="0" borderId="0" xfId="0" applyFont="1" applyNumberFormat="1">
      <alignment vertical="top"/>
    </xf>
    <xf numFmtId="49" fontId="23" fillId="38" borderId="12" xfId="0" applyFont="1" applyFill="1" applyBorder="1" applyNumberFormat="1">
      <alignment horizontal="center" vertical="top"/>
    </xf>
    <xf numFmtId="49" fontId="0" fillId="0" borderId="0" xfId="0" applyFont="1" applyNumberFormat="1">
      <alignment vertical="top"/>
    </xf>
    <xf numFmtId="0" fontId="23" fillId="0" borderId="0" xfId="0" applyFont="1" applyNumberFormat="1"/>
    <xf numFmtId="0" fontId="23" fillId="37" borderId="0" xfId="0" applyFont="1" applyFill="1" applyNumberFormat="1"/>
    <xf numFmtId="0" fontId="40" fillId="0" borderId="0" xfId="0" applyFont="1" applyNumberFormat="1">
      <alignment vertical="center" wrapText="1"/>
    </xf>
    <xf numFmtId="0" fontId="41" fillId="0" borderId="0" xfId="0" applyFont="1" applyNumberFormat="1">
      <alignment vertical="center" wrapText="1"/>
    </xf>
    <xf numFmtId="0" fontId="23" fillId="37" borderId="0" xfId="0" applyFont="1" applyFill="1" applyNumberFormat="1">
      <alignment vertical="center" wrapText="1"/>
    </xf>
    <xf numFmtId="0" fontId="23" fillId="0" borderId="0" xfId="0" applyFont="1" applyNumberFormat="1">
      <alignment vertical="center" wrapText="1"/>
    </xf>
    <xf numFmtId="0" fontId="42" fillId="37" borderId="0" xfId="0" applyFont="1" applyFill="1" applyNumberFormat="1">
      <alignment vertical="center" wrapText="1"/>
    </xf>
    <xf numFmtId="0" fontId="23" fillId="37" borderId="0" xfId="0" applyFont="1" applyFill="1" applyNumberFormat="1">
      <alignment horizontal="right" vertical="center" wrapText="1" indent="1"/>
    </xf>
    <xf numFmtId="0" fontId="23" fillId="37" borderId="0" xfId="0" applyFont="1" applyFill="1" applyNumberFormat="1">
      <alignment horizontal="center" vertical="center" wrapText="1"/>
    </xf>
    <xf numFmtId="0" fontId="41" fillId="0" borderId="0" xfId="0" applyFont="1" applyNumberFormat="1">
      <alignment horizontal="center" vertical="center" wrapText="1"/>
    </xf>
    <xf numFmtId="0" fontId="43" fillId="37" borderId="0" xfId="0" applyFont="1" applyFill="1" applyNumberFormat="1">
      <alignment horizontal="center" vertical="center" wrapText="1"/>
    </xf>
    <xf numFmtId="0" fontId="23" fillId="0" borderId="0" xfId="0" applyFont="1" applyNumberFormat="1">
      <alignment vertical="center"/>
    </xf>
    <xf numFmtId="49" fontId="23" fillId="37" borderId="0" xfId="0" applyFont="1" applyFill="1" applyNumberFormat="1">
      <alignment horizontal="right" vertical="center" wrapText="1" indent="1"/>
    </xf>
    <xf numFmtId="49" fontId="42" fillId="37" borderId="0" xfId="0" applyFont="1" applyFill="1" applyNumberFormat="1">
      <alignment horizontal="center" vertical="center" wrapText="1"/>
    </xf>
    <xf numFmtId="0" fontId="23" fillId="0" borderId="0" xfId="0" applyFont="1" applyNumberFormat="1">
      <alignment vertical="center" wrapText="1"/>
    </xf>
    <xf numFmtId="0" fontId="23" fillId="37" borderId="0" xfId="0" applyFont="1" applyFill="1" applyNumberFormat="1">
      <alignment vertical="center" wrapText="1"/>
    </xf>
    <xf numFmtId="0" fontId="23" fillId="37" borderId="0" xfId="0" applyFont="1" applyFill="1" applyNumberFormat="1">
      <alignment horizontal="right" vertical="center" wrapText="1"/>
    </xf>
    <xf numFmtId="49" fontId="0" fillId="37" borderId="0" xfId="0" applyFont="1" applyFill="1" applyNumberFormat="1">
      <alignment horizontal="right" vertical="center" wrapText="1" indent="1"/>
    </xf>
    <xf numFmtId="49" fontId="44" fillId="37" borderId="0" xfId="0" applyFont="1" applyFill="1" applyNumberFormat="1">
      <alignment horizontal="center" vertical="center" wrapText="1"/>
    </xf>
    <xf numFmtId="49" fontId="0" fillId="0" borderId="0" xfId="0" applyFont="1" applyNumberFormat="1">
      <alignment vertical="top"/>
    </xf>
    <xf numFmtId="49" fontId="0" fillId="0" borderId="0" xfId="0" applyFont="1" applyNumberFormat="1">
      <alignment vertical="top"/>
    </xf>
    <xf numFmtId="0" fontId="45" fillId="37" borderId="0" xfId="0" applyFont="1" applyFill="1" applyNumberFormat="1">
      <alignment horizontal="center" vertical="center" wrapText="1"/>
    </xf>
    <xf numFmtId="0" fontId="45" fillId="0" borderId="0" xfId="0" applyFont="1" applyNumberFormat="1">
      <alignment horizontal="center" vertical="center"/>
    </xf>
    <xf numFmtId="0" fontId="45" fillId="37" borderId="0" xfId="0" applyFont="1" applyFill="1" applyNumberFormat="1">
      <alignment horizontal="center" vertical="center"/>
    </xf>
    <xf numFmtId="49" fontId="46" fillId="0" borderId="13" xfId="0" applyFont="1" applyBorder="1" applyNumberFormat="1">
      <alignment vertical="top" wrapText="1"/>
    </xf>
    <xf numFmtId="0" fontId="0" fillId="0" borderId="13" xfId="0" applyFont="1" applyBorder="1" applyNumberFormat="1">
      <alignment vertical="top" wrapText="1"/>
    </xf>
    <xf numFmtId="0" fontId="38" fillId="0" borderId="0" xfId="0" applyFont="1" applyNumberFormat="1"/>
    <xf numFmtId="0" fontId="23" fillId="37" borderId="0" xfId="0" applyFont="1" applyFill="1" applyNumberFormat="1">
      <alignment horizontal="center" vertical="center" wrapText="1"/>
    </xf>
    <xf numFmtId="0" fontId="47" fillId="37" borderId="0" xfId="0" applyFont="1" applyFill="1" applyNumberFormat="1">
      <alignment vertical="center" wrapText="1"/>
    </xf>
    <xf numFmtId="0" fontId="47" fillId="0" borderId="0" xfId="0" applyFont="1" applyNumberFormat="1">
      <alignment vertical="center" wrapText="1"/>
    </xf>
    <xf numFmtId="0" fontId="40" fillId="0" borderId="0" xfId="0" applyFont="1" applyNumberFormat="1">
      <alignment horizontal="left" vertical="center" wrapText="1"/>
    </xf>
    <xf numFmtId="49" fontId="40" fillId="0" borderId="0" xfId="0" applyFont="1" applyNumberFormat="1">
      <alignment horizontal="left" vertical="center" wrapText="1"/>
    </xf>
    <xf numFmtId="0" fontId="0" fillId="0" borderId="0" xfId="0" applyFont="1" applyNumberFormat="1">
      <alignment vertical="top"/>
    </xf>
    <xf numFmtId="49" fontId="23" fillId="0" borderId="0" xfId="0" applyFont="1" applyNumberFormat="1">
      <alignment vertical="center" wrapText="1"/>
    </xf>
    <xf numFmtId="49" fontId="23" fillId="0" borderId="0" xfId="0" applyFont="1" applyNumberFormat="1">
      <alignment vertical="top"/>
    </xf>
    <xf numFmtId="0" fontId="23" fillId="0" borderId="0" xfId="0" applyFont="1" applyNumberFormat="1">
      <alignment vertical="center" wrapText="1"/>
    </xf>
    <xf numFmtId="0" fontId="0" fillId="0" borderId="0" xfId="0" applyFont="1" applyNumberFormat="1">
      <alignment vertical="center"/>
    </xf>
    <xf numFmtId="0" fontId="23" fillId="37" borderId="14" xfId="0" applyFont="1" applyFill="1" applyBorder="1" applyNumberFormat="1">
      <alignment horizontal="center" vertical="center" wrapText="1"/>
    </xf>
    <xf numFmtId="49" fontId="23" fillId="39" borderId="14" xfId="0" applyFont="1" applyFill="1" applyBorder="1" applyNumberFormat="1">
      <alignment horizontal="left" vertical="center" wrapText="1"/>
      <protection locked="0"/>
    </xf>
    <xf numFmtId="49" fontId="48" fillId="40" borderId="15" xfId="0" applyFont="1" applyFill="1" applyBorder="1" applyNumberFormat="1">
      <alignment horizontal="left" vertical="center"/>
    </xf>
    <xf numFmtId="0" fontId="0" fillId="0" borderId="14" xfId="0" applyFont="1" applyBorder="1" applyNumberFormat="1">
      <alignment horizontal="center" vertical="center" wrapText="1"/>
    </xf>
    <xf numFmtId="0" fontId="23" fillId="40" borderId="16" xfId="0" applyFont="1" applyFill="1" applyBorder="1" applyNumberFormat="1">
      <alignment vertical="center" wrapText="1"/>
    </xf>
    <xf numFmtId="0" fontId="23" fillId="0" borderId="14" xfId="0" applyFont="1" applyBorder="1" applyNumberFormat="1">
      <alignment horizontal="center" vertical="center" wrapText="1"/>
    </xf>
    <xf numFmtId="0" fontId="49" fillId="0" borderId="0" xfId="0" applyFont="1" applyNumberFormat="1">
      <alignment vertical="center"/>
    </xf>
    <xf numFmtId="49" fontId="23" fillId="0" borderId="14" xfId="0" applyFont="1" applyBorder="1" applyNumberFormat="1">
      <alignment horizontal="center" vertical="center" wrapText="1"/>
    </xf>
    <xf numFmtId="0" fontId="23" fillId="37" borderId="14" xfId="0" applyFont="1" applyFill="1" applyBorder="1" applyNumberFormat="1">
      <alignment horizontal="center" vertical="center"/>
    </xf>
    <xf numFmtId="49" fontId="23" fillId="39" borderId="14" xfId="0" applyFont="1" applyFill="1" applyBorder="1" applyNumberFormat="1">
      <alignment horizontal="left" vertical="center" wrapText="1"/>
      <protection locked="0"/>
    </xf>
    <xf numFmtId="0" fontId="40" fillId="0" borderId="0" xfId="0" applyFont="1" applyNumberFormat="1">
      <alignment vertical="center" wrapText="1"/>
    </xf>
    <xf numFmtId="0" fontId="50" fillId="0" borderId="0" xfId="0" applyFont="1" applyNumberFormat="1">
      <alignment vertical="center" wrapText="1"/>
    </xf>
    <xf numFmtId="49" fontId="23" fillId="0" borderId="0" xfId="0" applyFont="1" applyNumberFormat="1">
      <alignment vertical="top"/>
    </xf>
    <xf numFmtId="49" fontId="40" fillId="0" borderId="0" xfId="0" applyFont="1" applyNumberFormat="1">
      <alignment vertical="top"/>
    </xf>
    <xf numFmtId="49" fontId="23" fillId="0" borderId="0" xfId="0" applyFont="1" applyNumberFormat="1">
      <alignment vertical="top"/>
    </xf>
    <xf numFmtId="49" fontId="45" fillId="0" borderId="0" xfId="0" applyFont="1" applyNumberFormat="1">
      <alignment horizontal="center" vertical="center"/>
    </xf>
    <xf numFmtId="49" fontId="23" fillId="0" borderId="0" xfId="0" applyFont="1" applyNumberFormat="1">
      <alignment vertical="top"/>
    </xf>
    <xf numFmtId="0" fontId="23" fillId="37" borderId="0" xfId="0" applyFont="1" applyFill="1" applyNumberFormat="1"/>
    <xf numFmtId="0" fontId="51" fillId="37" borderId="0" xfId="0" applyFont="1" applyFill="1" applyNumberFormat="1">
      <alignment horizontal="center" vertical="center" wrapText="1"/>
    </xf>
    <xf numFmtId="0" fontId="40" fillId="37" borderId="0" xfId="0" applyFont="1" applyFill="1" applyNumberFormat="1"/>
    <xf numFmtId="49" fontId="23" fillId="0" borderId="0" xfId="0" applyFont="1" applyNumberFormat="1">
      <alignment vertical="top"/>
    </xf>
    <xf numFmtId="49" fontId="45" fillId="0" borderId="0" xfId="0" applyFont="1" applyNumberFormat="1">
      <alignment horizontal="center" vertical="center" wrapText="1"/>
    </xf>
    <xf numFmtId="0" fontId="23" fillId="37" borderId="14" xfId="0" applyFont="1" applyFill="1" applyBorder="1" applyNumberFormat="1">
      <alignment horizontal="center" vertical="center" wrapText="1"/>
    </xf>
    <xf numFmtId="49" fontId="23" fillId="0" borderId="14" xfId="0" applyFont="1" applyBorder="1" applyNumberFormat="1">
      <alignment horizontal="center" vertical="center" wrapText="1"/>
    </xf>
    <xf numFmtId="49" fontId="52" fillId="40" borderId="17" xfId="0" applyFont="1" applyFill="1" applyBorder="1" applyNumberFormat="1">
      <alignment horizontal="center" vertical="top"/>
    </xf>
    <xf numFmtId="49" fontId="48" fillId="40" borderId="17" xfId="0" applyFont="1" applyFill="1" applyBorder="1" applyNumberFormat="1">
      <alignment horizontal="left" vertical="center"/>
    </xf>
    <xf numFmtId="49" fontId="23" fillId="0" borderId="0" xfId="0" applyFont="1" applyNumberFormat="1">
      <alignment horizontal="center" vertical="top"/>
    </xf>
    <xf numFmtId="0" fontId="49" fillId="0" borderId="0" xfId="0" applyFont="1" applyNumberFormat="1">
      <alignment vertical="center"/>
    </xf>
    <xf numFmtId="0" fontId="0" fillId="0" borderId="0" xfId="0" applyFont="1" applyNumberFormat="1">
      <alignment horizontal="center" vertical="center" wrapText="1"/>
    </xf>
    <xf numFmtId="49" fontId="23" fillId="0" borderId="0" xfId="0" applyFont="1" applyNumberFormat="1">
      <alignment horizontal="center" vertical="center" wrapText="1"/>
    </xf>
    <xf numFmtId="49" fontId="23" fillId="0" borderId="0" xfId="0" applyFont="1" applyNumberFormat="1">
      <alignment vertical="center" wrapText="1"/>
    </xf>
    <xf numFmtId="0" fontId="45" fillId="37" borderId="0" xfId="0" applyFont="1" applyFill="1" applyNumberFormat="1">
      <alignment horizontal="center" vertical="center" wrapText="1"/>
    </xf>
    <xf numFmtId="49" fontId="53" fillId="0" borderId="0" xfId="0" applyFont="1" applyNumberFormat="1">
      <alignment horizontal="right" vertical="top"/>
    </xf>
    <xf numFmtId="49" fontId="53" fillId="0" borderId="0" xfId="0" applyFont="1" applyNumberFormat="1">
      <alignment vertical="top"/>
    </xf>
    <xf numFmtId="0" fontId="23" fillId="0" borderId="0" xfId="0" applyFont="1" applyNumberFormat="1">
      <alignment horizontal="center" vertical="center" wrapText="1"/>
    </xf>
    <xf numFmtId="49" fontId="23" fillId="0" borderId="0" xfId="0" applyFont="1" applyNumberFormat="1">
      <alignment vertical="top"/>
    </xf>
    <xf numFmtId="0" fontId="0" fillId="0" borderId="0" xfId="0" applyFont="1" applyNumberFormat="1">
      <alignment vertical="center"/>
    </xf>
    <xf numFmtId="0" fontId="22" fillId="0" borderId="0" xfId="0" applyFont="1" applyNumberFormat="1">
      <alignment vertical="center" wrapText="1"/>
    </xf>
    <xf numFmtId="49" fontId="23" fillId="0" borderId="18" xfId="0" applyFont="1" applyBorder="1" applyNumberFormat="1">
      <alignment vertical="top"/>
    </xf>
    <xf numFmtId="0" fontId="38" fillId="0" borderId="0" xfId="0" applyFont="1" applyNumberFormat="1"/>
    <xf numFmtId="49" fontId="54" fillId="0" borderId="0" xfId="0" applyFont="1" applyNumberFormat="1">
      <alignment vertical="top"/>
    </xf>
    <xf numFmtId="0" fontId="54" fillId="0" borderId="0" xfId="0" applyFont="1" applyNumberFormat="1">
      <alignment vertical="center" wrapText="1"/>
    </xf>
    <xf numFmtId="49" fontId="0" fillId="37" borderId="14" xfId="0" applyFont="1" applyFill="1" applyBorder="1" applyNumberFormat="1">
      <alignment horizontal="center" vertical="center" wrapText="1"/>
    </xf>
    <xf numFmtId="0" fontId="40" fillId="0" borderId="0" xfId="0" applyFont="1" applyNumberFormat="1">
      <alignment horizontal="left" vertical="center" wrapText="1"/>
    </xf>
    <xf numFmtId="49" fontId="23" fillId="0" borderId="14" xfId="0" applyFont="1" applyBorder="1" applyNumberFormat="1">
      <alignment horizontal="left" vertical="center" wrapText="1"/>
    </xf>
    <xf numFmtId="0" fontId="23" fillId="37" borderId="19" xfId="0" applyFont="1" applyFill="1" applyBorder="1" applyNumberFormat="1">
      <alignment horizontal="center" vertical="center"/>
    </xf>
    <xf numFmtId="0" fontId="23" fillId="0" borderId="14" xfId="0" applyFont="1" applyBorder="1" applyNumberFormat="1">
      <alignment vertical="center" wrapText="1"/>
    </xf>
    <xf numFmtId="0" fontId="55" fillId="0" borderId="0" xfId="0" applyFont="1" applyNumberFormat="1">
      <alignment vertical="center" wrapText="1"/>
    </xf>
    <xf numFmtId="0" fontId="55" fillId="0" borderId="0" xfId="0" applyFont="1" applyNumberFormat="1">
      <alignment vertical="center"/>
    </xf>
    <xf numFmtId="0" fontId="56" fillId="0" borderId="0" xfId="0" applyFont="1" applyNumberFormat="1">
      <alignment vertical="center"/>
    </xf>
    <xf numFmtId="0" fontId="55" fillId="0" borderId="0" xfId="0" applyFont="1" applyNumberFormat="1">
      <alignment vertical="center"/>
    </xf>
    <xf numFmtId="0" fontId="55" fillId="0" borderId="0" xfId="0" applyFont="1" applyNumberFormat="1">
      <alignment vertical="center"/>
    </xf>
    <xf numFmtId="0" fontId="0" fillId="0" borderId="0" xfId="0" applyFont="1" applyNumberFormat="1">
      <alignment vertical="top" wrapText="1"/>
    </xf>
    <xf numFmtId="49" fontId="23" fillId="0" borderId="14" xfId="0" applyFont="1" applyBorder="1" applyNumberFormat="1">
      <alignment horizontal="center" vertical="center" wrapText="1"/>
    </xf>
    <xf numFmtId="0" fontId="22" fillId="0" borderId="20" xfId="0" applyFont="1" applyBorder="1" applyNumberFormat="1">
      <alignment vertical="top" wrapText="1"/>
    </xf>
    <xf numFmtId="49" fontId="0" fillId="0" borderId="14" xfId="0" applyFont="1" applyBorder="1" applyNumberFormat="1">
      <alignment vertical="top" wrapText="1"/>
    </xf>
    <xf numFmtId="0" fontId="0" fillId="0" borderId="14" xfId="0" applyFont="1" applyBorder="1" applyNumberFormat="1">
      <alignment vertical="top" wrapText="1"/>
    </xf>
    <xf numFmtId="0" fontId="1" fillId="0" borderId="0" xfId="0" applyFont="1" applyNumberFormat="1"/>
    <xf numFmtId="0" fontId="0" fillId="0" borderId="0" xfId="0" applyFont="1" applyNumberFormat="1"/>
    <xf numFmtId="0" fontId="45" fillId="0" borderId="0" xfId="0" applyFont="1" applyNumberFormat="1">
      <alignment horizontal="center" vertical="center" wrapText="1"/>
    </xf>
    <xf numFmtId="0" fontId="45" fillId="0" borderId="0" xfId="0" applyFont="1" applyNumberFormat="1">
      <alignment horizontal="center" vertical="center" wrapText="1"/>
    </xf>
    <xf numFmtId="0" fontId="23" fillId="0" borderId="0" xfId="0" applyFont="1" applyNumberFormat="1">
      <alignment horizontal="right" vertical="center" wrapText="1"/>
    </xf>
    <xf numFmtId="4" fontId="23" fillId="0" borderId="0" xfId="0" applyFont="1" applyNumberFormat="1">
      <alignment horizontal="right" vertical="center" wrapText="1"/>
    </xf>
    <xf numFmtId="0" fontId="23" fillId="0" borderId="0" xfId="0" applyFont="1" applyNumberFormat="1">
      <alignment horizontal="left" vertical="center" wrapText="1" indent="1"/>
    </xf>
    <xf numFmtId="49" fontId="23" fillId="0" borderId="0" xfId="0" applyFont="1" applyNumberFormat="1">
      <alignment vertical="top"/>
    </xf>
    <xf numFmtId="4" fontId="23" fillId="0" borderId="0" xfId="0" applyFont="1" applyNumberFormat="1">
      <alignment horizontal="center" vertical="center" wrapText="1"/>
    </xf>
    <xf numFmtId="0" fontId="54" fillId="0" borderId="0" xfId="0" applyFont="1" applyNumberFormat="1">
      <alignment vertical="center"/>
    </xf>
    <xf numFmtId="165" fontId="23" fillId="0" borderId="14" xfId="0" applyFont="1" applyBorder="1" applyNumberFormat="1">
      <alignment horizontal="center" vertical="center" wrapText="1"/>
    </xf>
    <xf numFmtId="49" fontId="54" fillId="40" borderId="21" xfId="0" applyFont="1" applyFill="1" applyBorder="1" applyNumberFormat="1">
      <alignment horizontal="left" vertical="center" wrapText="1"/>
    </xf>
    <xf numFmtId="49" fontId="0" fillId="40" borderId="17" xfId="0" applyFont="1" applyFill="1" applyBorder="1" applyNumberFormat="1">
      <alignment horizontal="left" vertical="center"/>
    </xf>
    <xf numFmtId="49" fontId="54" fillId="40" borderId="22" xfId="0" applyFont="1" applyFill="1" applyBorder="1" applyNumberFormat="1">
      <alignment horizontal="left" vertical="center" wrapText="1"/>
    </xf>
    <xf numFmtId="0" fontId="44" fillId="0" borderId="0" xfId="0" applyFont="1" applyNumberFormat="1">
      <alignment horizontal="center" vertical="center" wrapText="1"/>
    </xf>
    <xf numFmtId="49" fontId="36" fillId="40" borderId="17" xfId="0" applyFont="1" applyFill="1" applyBorder="1" applyNumberFormat="1">
      <alignment horizontal="right" vertical="center" wrapText="1"/>
    </xf>
    <xf numFmtId="49" fontId="23" fillId="40" borderId="17" xfId="0" applyFont="1" applyFill="1" applyBorder="1" applyNumberFormat="1">
      <alignment horizontal="right" vertical="center" wrapText="1"/>
    </xf>
    <xf numFmtId="49" fontId="23" fillId="40" borderId="15" xfId="0" applyFont="1" applyFill="1" applyBorder="1" applyNumberFormat="1">
      <alignment horizontal="right" vertical="center" wrapText="1"/>
    </xf>
    <xf numFmtId="0" fontId="23" fillId="0" borderId="23" xfId="0" applyFont="1" applyBorder="1" applyNumberFormat="1">
      <alignment vertical="center" wrapText="1"/>
    </xf>
    <xf numFmtId="0" fontId="53" fillId="0" borderId="0" xfId="0" applyFont="1" applyNumberFormat="1">
      <alignment vertical="center" wrapText="1"/>
    </xf>
    <xf numFmtId="0" fontId="57" fillId="0" borderId="0" xfId="0" applyFont="1" applyNumberFormat="1">
      <alignment horizontal="center" vertical="center" wrapText="1"/>
    </xf>
    <xf numFmtId="49" fontId="58" fillId="41" borderId="0" xfId="0" applyFont="1" applyFill="1" applyNumberFormat="1">
      <alignment vertical="top"/>
    </xf>
    <xf numFmtId="49" fontId="58" fillId="0" borderId="0" xfId="0" applyFont="1" applyNumberFormat="1">
      <alignment vertical="top"/>
    </xf>
    <xf numFmtId="0" fontId="54" fillId="0" borderId="0" xfId="0" applyFont="1" applyNumberFormat="1">
      <alignment vertical="center"/>
    </xf>
    <xf numFmtId="49" fontId="0" fillId="40" borderId="17" xfId="0" applyFont="1" applyFill="1" applyBorder="1" applyNumberFormat="1">
      <alignment horizontal="right" vertical="center" wrapText="1"/>
    </xf>
    <xf numFmtId="49" fontId="0" fillId="0" borderId="0" xfId="0" applyFont="1" applyNumberFormat="1">
      <alignment vertical="top"/>
    </xf>
    <xf numFmtId="0" fontId="36" fillId="0" borderId="13" xfId="0" applyFont="1" applyBorder="1" applyNumberFormat="1">
      <alignment vertical="center" wrapText="1"/>
    </xf>
    <xf numFmtId="0" fontId="22" fillId="0" borderId="0" xfId="0" applyFont="1" applyNumberFormat="1">
      <alignment vertical="top" wrapText="1"/>
    </xf>
    <xf numFmtId="0" fontId="23" fillId="0" borderId="13" xfId="0" applyFont="1" applyBorder="1" applyNumberFormat="1">
      <alignment vertical="center" wrapText="1"/>
    </xf>
    <xf numFmtId="49" fontId="23" fillId="0" borderId="0" xfId="0" applyFont="1" applyNumberFormat="1">
      <alignment vertical="top"/>
    </xf>
    <xf numFmtId="0" fontId="23" fillId="37" borderId="0" xfId="0" applyFont="1" applyFill="1" applyNumberFormat="1">
      <alignment horizontal="right" vertical="center"/>
    </xf>
    <xf numFmtId="0" fontId="0" fillId="0" borderId="14" xfId="0" applyFont="1" applyBorder="1" applyNumberFormat="1">
      <alignment horizontal="left" vertical="center" wrapText="1" indent="1"/>
    </xf>
    <xf numFmtId="0" fontId="0" fillId="42" borderId="14" xfId="0" applyFont="1" applyFill="1" applyBorder="1" applyNumberFormat="1">
      <alignment horizontal="left" vertical="center" wrapText="1" indent="2"/>
      <protection locked="0"/>
    </xf>
    <xf numFmtId="49" fontId="55" fillId="0" borderId="0" xfId="0" applyFont="1" applyNumberFormat="1">
      <alignment vertical="top"/>
    </xf>
    <xf numFmtId="0" fontId="0" fillId="0" borderId="14" xfId="0" applyFont="1" applyBorder="1" applyNumberFormat="1">
      <alignment vertical="center" wrapText="1"/>
    </xf>
    <xf numFmtId="0" fontId="0" fillId="0" borderId="14" xfId="0" applyFont="1" applyBorder="1" applyNumberFormat="1">
      <alignment horizontal="center" vertical="center" wrapText="1"/>
    </xf>
    <xf numFmtId="0" fontId="0" fillId="42" borderId="14" xfId="0" applyFont="1" applyFill="1" applyBorder="1" applyNumberFormat="1">
      <alignment horizontal="left" vertical="center" wrapText="1" indent="1"/>
      <protection locked="0"/>
    </xf>
    <xf numFmtId="49" fontId="48" fillId="40" borderId="17" xfId="0" applyFont="1" applyFill="1" applyBorder="1" applyNumberFormat="1">
      <alignment horizontal="left" vertical="center" indent="3"/>
    </xf>
    <xf numFmtId="49" fontId="52" fillId="40" borderId="15" xfId="0" applyFont="1" applyFill="1" applyBorder="1" applyNumberFormat="1">
      <alignment horizontal="center" vertical="top"/>
    </xf>
    <xf numFmtId="0" fontId="22" fillId="0" borderId="0" xfId="0" applyFont="1" applyNumberFormat="1">
      <alignment horizontal="right" vertical="top" wrapText="1"/>
    </xf>
    <xf numFmtId="49" fontId="48" fillId="40" borderId="17" xfId="0" applyFont="1" applyFill="1" applyBorder="1" applyNumberFormat="1">
      <alignment horizontal="left" vertical="center" indent="1"/>
    </xf>
    <xf numFmtId="49" fontId="48" fillId="40" borderId="17" xfId="0" applyFont="1" applyFill="1" applyBorder="1" applyNumberFormat="1">
      <alignment horizontal="left" vertical="center" indent="2"/>
    </xf>
    <xf numFmtId="0" fontId="0" fillId="0" borderId="14" xfId="0" applyFont="1" applyBorder="1" applyNumberFormat="1">
      <alignment horizontal="left" vertical="center" wrapText="1" indent="1"/>
    </xf>
    <xf numFmtId="0" fontId="0" fillId="0" borderId="14" xfId="0" applyFont="1" applyBorder="1" applyNumberFormat="1">
      <alignment horizontal="left" vertical="center" wrapText="1" indent="2"/>
    </xf>
    <xf numFmtId="49" fontId="23" fillId="43" borderId="14" xfId="0" applyFont="1" applyFill="1" applyBorder="1" applyNumberFormat="1">
      <alignment horizontal="left" vertical="center" wrapText="1"/>
    </xf>
    <xf numFmtId="0" fontId="23" fillId="0" borderId="14" xfId="0" applyFont="1" applyBorder="1" applyNumberFormat="1">
      <alignment vertical="top" wrapText="1"/>
    </xf>
    <xf numFmtId="0" fontId="45" fillId="0" borderId="0" xfId="0" applyFont="1" applyNumberFormat="1">
      <alignment horizontal="center" vertical="center" wrapText="1"/>
    </xf>
    <xf numFmtId="49" fontId="0" fillId="0" borderId="19" xfId="0" applyFont="1" applyBorder="1" applyNumberFormat="1">
      <alignment vertical="top"/>
    </xf>
    <xf numFmtId="0" fontId="55" fillId="0" borderId="0" xfId="0" applyFont="1" applyNumberFormat="1">
      <alignment vertical="center"/>
    </xf>
    <xf numFmtId="0" fontId="37" fillId="0" borderId="0" xfId="0" applyFont="1" applyNumberFormat="1">
      <alignment vertical="center"/>
    </xf>
    <xf numFmtId="49" fontId="34" fillId="42" borderId="14" xfId="0" applyFont="1" applyFill="1" applyBorder="1" applyNumberFormat="1">
      <alignment horizontal="left" vertical="center" wrapText="1"/>
      <protection locked="0"/>
    </xf>
    <xf numFmtId="49" fontId="52" fillId="40" borderId="15" xfId="0" applyFont="1" applyFill="1" applyBorder="1" applyNumberFormat="1">
      <alignment horizontal="center" vertical="top"/>
    </xf>
    <xf numFmtId="0" fontId="0" fillId="38" borderId="14" xfId="0" applyFont="1" applyFill="1" applyBorder="1" applyNumberFormat="1">
      <alignment horizontal="left" vertical="center" wrapText="1" indent="1"/>
    </xf>
    <xf numFmtId="49" fontId="23" fillId="42" borderId="14" xfId="0" applyFont="1" applyFill="1" applyBorder="1" applyNumberFormat="1">
      <alignment horizontal="left" vertical="center" wrapText="1" indent="1"/>
      <protection locked="0"/>
    </xf>
    <xf numFmtId="49" fontId="23" fillId="38" borderId="14" xfId="0" applyFont="1" applyFill="1" applyBorder="1" applyNumberFormat="1">
      <alignment horizontal="left" vertical="center" wrapText="1" indent="1"/>
    </xf>
    <xf numFmtId="49" fontId="23" fillId="0" borderId="14" xfId="0" applyFont="1" applyBorder="1" applyNumberFormat="1">
      <alignment horizontal="left" vertical="center" wrapText="1" indent="1"/>
    </xf>
    <xf numFmtId="0" fontId="23" fillId="0" borderId="14" xfId="0" applyFont="1" applyBorder="1" applyNumberFormat="1">
      <alignment horizontal="center" vertical="center" wrapText="1"/>
    </xf>
    <xf numFmtId="0" fontId="22" fillId="0" borderId="0" xfId="0" applyFont="1" applyNumberFormat="1">
      <alignment vertical="center" wrapText="1"/>
    </xf>
    <xf numFmtId="0" fontId="55" fillId="0" borderId="0" xfId="0" applyFont="1" applyNumberFormat="1">
      <alignment horizontal="center" vertical="center" wrapText="1"/>
    </xf>
    <xf numFmtId="0" fontId="0" fillId="0" borderId="14" xfId="0" applyFont="1" applyBorder="1" applyNumberFormat="1">
      <alignment horizontal="left" vertical="center" wrapText="1"/>
    </xf>
    <xf numFmtId="49" fontId="44" fillId="0" borderId="17" xfId="0" applyFont="1" applyBorder="1" applyNumberFormat="1">
      <alignment horizontal="center" vertical="center" wrapText="1"/>
    </xf>
    <xf numFmtId="0" fontId="59" fillId="0" borderId="0" xfId="0" applyFont="1" applyNumberFormat="1">
      <alignment vertical="center"/>
    </xf>
    <xf numFmtId="0" fontId="60" fillId="0" borderId="0" xfId="0" applyFont="1" applyNumberFormat="1">
      <alignment vertical="center"/>
    </xf>
    <xf numFmtId="0" fontId="55" fillId="0" borderId="0" xfId="0" applyFont="1" applyNumberFormat="1">
      <alignment vertical="center"/>
    </xf>
    <xf numFmtId="0" fontId="55" fillId="0" borderId="0" xfId="0" applyFont="1" applyNumberFormat="1">
      <alignment horizontal="left" vertical="center" wrapText="1" indent="1"/>
    </xf>
    <xf numFmtId="0" fontId="54" fillId="0" borderId="0" xfId="0" applyFont="1" applyNumberFormat="1">
      <alignment horizontal="left" vertical="center" wrapText="1" indent="1"/>
    </xf>
    <xf numFmtId="0" fontId="61" fillId="0" borderId="0" xfId="0" applyFont="1" applyNumberFormat="1">
      <alignment horizontal="left" vertical="center" wrapText="1" indent="1"/>
    </xf>
    <xf numFmtId="0" fontId="62" fillId="0" borderId="0" xfId="0" applyFont="1" applyNumberFormat="1">
      <alignment horizontal="left" vertical="center" indent="1"/>
    </xf>
    <xf numFmtId="0" fontId="61" fillId="0" borderId="0" xfId="0" applyFont="1" applyNumberFormat="1">
      <alignment vertical="center" wrapText="1"/>
    </xf>
    <xf numFmtId="0" fontId="63" fillId="0" borderId="0" xfId="0" applyFont="1" applyNumberFormat="1">
      <alignment horizontal="left" vertical="center" wrapText="1"/>
    </xf>
    <xf numFmtId="0" fontId="64" fillId="0" borderId="0" xfId="0" applyFont="1" applyNumberFormat="1">
      <alignment vertical="center" wrapText="1"/>
    </xf>
    <xf numFmtId="0" fontId="65" fillId="37" borderId="0" xfId="0" applyFont="1" applyFill="1" applyNumberFormat="1">
      <alignment vertical="center" wrapText="1"/>
    </xf>
    <xf numFmtId="0" fontId="66" fillId="37" borderId="0" xfId="0" applyFont="1" applyFill="1" applyNumberFormat="1">
      <alignment horizontal="right" vertical="center" wrapText="1" indent="1"/>
    </xf>
    <xf numFmtId="0" fontId="65" fillId="0" borderId="0" xfId="0" applyFont="1" applyNumberFormat="1">
      <alignment vertical="center" wrapText="1"/>
    </xf>
    <xf numFmtId="0" fontId="65" fillId="37" borderId="0" xfId="0" applyFont="1" applyFill="1" applyNumberFormat="1">
      <alignment horizontal="right" vertical="center" wrapText="1" indent="1"/>
    </xf>
    <xf numFmtId="0" fontId="67" fillId="37" borderId="0" xfId="0" applyFont="1" applyFill="1" applyNumberFormat="1">
      <alignment horizontal="center" vertical="center" wrapText="1"/>
    </xf>
    <xf numFmtId="0" fontId="63" fillId="37" borderId="0" xfId="0" applyFont="1" applyFill="1" applyNumberFormat="1">
      <alignment horizontal="center" vertical="center" wrapText="1"/>
    </xf>
    <xf numFmtId="0" fontId="65" fillId="37" borderId="0" xfId="0" applyFont="1" applyFill="1" applyNumberFormat="1">
      <alignment horizontal="left" vertical="center" wrapText="1" indent="1"/>
    </xf>
    <xf numFmtId="0" fontId="68" fillId="0" borderId="0" xfId="0" applyFont="1" applyNumberFormat="1">
      <alignment horizontal="left" vertical="center" wrapText="1"/>
    </xf>
    <xf numFmtId="0" fontId="68" fillId="0" borderId="0" xfId="0" applyFont="1" applyNumberFormat="1">
      <alignment vertical="center" wrapText="1"/>
    </xf>
    <xf numFmtId="0" fontId="65" fillId="0" borderId="0" xfId="0" applyFont="1" applyNumberFormat="1">
      <alignment vertical="center" wrapText="1"/>
    </xf>
    <xf numFmtId="0" fontId="65" fillId="0" borderId="0" xfId="0" applyFont="1" applyNumberFormat="1">
      <alignment horizontal="right" vertical="center"/>
    </xf>
    <xf numFmtId="49" fontId="23" fillId="0" borderId="0" xfId="0" applyFont="1" applyNumberFormat="1">
      <alignment vertical="center" wrapText="1"/>
    </xf>
    <xf numFmtId="0" fontId="0" fillId="0" borderId="0" xfId="0" applyFont="1" applyNumberFormat="1">
      <alignment horizontal="left" vertical="center" indent="1"/>
    </xf>
    <xf numFmtId="0" fontId="55" fillId="0" borderId="0" xfId="0" applyFont="1" applyNumberFormat="1">
      <alignment horizontal="left" vertical="center" indent="1"/>
    </xf>
    <xf numFmtId="0" fontId="55" fillId="0" borderId="0" xfId="0" applyFont="1" applyNumberFormat="1">
      <alignment horizontal="left" vertical="center" indent="1"/>
    </xf>
    <xf numFmtId="0" fontId="55" fillId="0" borderId="24" xfId="0" applyFont="1" applyBorder="1" applyNumberFormat="1">
      <alignment vertical="center"/>
    </xf>
    <xf numFmtId="0" fontId="23" fillId="0" borderId="14" xfId="0" applyFont="1" applyBorder="1" applyNumberFormat="1">
      <alignment horizontal="center" vertical="center" wrapText="1"/>
    </xf>
    <xf numFmtId="0" fontId="0" fillId="0" borderId="14" xfId="0" applyFont="1" applyBorder="1" applyNumberFormat="1">
      <alignment horizontal="center" vertical="center"/>
    </xf>
    <xf numFmtId="49" fontId="0" fillId="0" borderId="14" xfId="0" applyFont="1" applyBorder="1" applyNumberFormat="1">
      <alignment horizontal="center" vertical="center"/>
    </xf>
    <xf numFmtId="49" fontId="0" fillId="0" borderId="14" xfId="0" applyFont="1" applyBorder="1" applyNumberFormat="1">
      <alignment horizontal="left" vertical="center"/>
    </xf>
    <xf numFmtId="49" fontId="23" fillId="0" borderId="0" xfId="0" applyFont="1" applyNumberFormat="1">
      <alignment vertical="top"/>
    </xf>
    <xf numFmtId="0" fontId="23" fillId="0" borderId="0" xfId="0" applyFont="1" applyNumberFormat="1">
      <alignment horizontal="left" vertical="center" wrapText="1" indent="2"/>
    </xf>
    <xf numFmtId="0" fontId="23" fillId="0" borderId="14" xfId="0" applyFont="1" applyBorder="1" applyNumberFormat="1">
      <alignment vertical="top" wrapText="1"/>
    </xf>
    <xf numFmtId="0" fontId="0" fillId="42" borderId="14" xfId="0" applyFont="1" applyFill="1" applyBorder="1" applyNumberFormat="1">
      <alignment horizontal="left" vertical="center" wrapText="1"/>
      <protection locked="0"/>
    </xf>
    <xf numFmtId="0" fontId="23" fillId="0" borderId="14" xfId="0" applyFont="1" applyBorder="1" applyNumberFormat="1">
      <alignment horizontal="left" vertical="top" wrapText="1"/>
    </xf>
    <xf numFmtId="0" fontId="23" fillId="0" borderId="14" xfId="0" applyFont="1" applyBorder="1" applyNumberFormat="1">
      <alignment horizontal="left" vertical="center" wrapText="1"/>
    </xf>
    <xf numFmtId="0" fontId="23" fillId="0" borderId="14" xfId="0" applyFont="1" applyBorder="1" applyNumberFormat="1">
      <alignment horizontal="center" vertical="center" wrapText="1"/>
    </xf>
    <xf numFmtId="49" fontId="23" fillId="0" borderId="19" xfId="0" applyFont="1" applyBorder="1" applyNumberFormat="1">
      <alignment horizontal="left" vertical="center" wrapText="1"/>
    </xf>
    <xf numFmtId="49" fontId="36" fillId="40" borderId="16" xfId="0" applyFont="1" applyFill="1" applyBorder="1" applyNumberFormat="1">
      <alignment horizontal="center" vertical="center"/>
    </xf>
    <xf numFmtId="49" fontId="48" fillId="40" borderId="15" xfId="0" applyFont="1" applyFill="1" applyBorder="1" applyNumberFormat="1">
      <alignment horizontal="left" vertical="center"/>
    </xf>
    <xf numFmtId="0" fontId="23" fillId="0" borderId="0" xfId="0" applyFont="1" applyNumberFormat="1"/>
    <xf numFmtId="0" fontId="69" fillId="0" borderId="0" xfId="0" applyFont="1" applyNumberFormat="1">
      <alignment vertical="center" wrapText="1"/>
    </xf>
    <xf numFmtId="0" fontId="69" fillId="0" borderId="0" xfId="0" applyFont="1" applyNumberFormat="1">
      <alignment vertical="center" wrapText="1"/>
    </xf>
    <xf numFmtId="0" fontId="69" fillId="0" borderId="0" xfId="0" applyFont="1" applyNumberFormat="1"/>
    <xf numFmtId="49" fontId="70" fillId="0" borderId="0" xfId="0" applyFont="1" applyNumberFormat="1">
      <alignment vertical="top"/>
    </xf>
    <xf numFmtId="49" fontId="71" fillId="0" borderId="0" xfId="0" applyFont="1" applyNumberFormat="1">
      <alignment vertical="top"/>
    </xf>
    <xf numFmtId="0" fontId="23" fillId="0" borderId="0" xfId="0" applyFont="1" applyNumberFormat="1">
      <alignment horizontal="center" vertical="center" wrapText="1"/>
    </xf>
    <xf numFmtId="49" fontId="23" fillId="42" borderId="14" xfId="0" applyFont="1" applyFill="1" applyBorder="1" applyNumberFormat="1">
      <alignment horizontal="left" vertical="center" wrapText="1" indent="1"/>
      <protection locked="0"/>
    </xf>
    <xf numFmtId="0" fontId="55" fillId="0" borderId="0" xfId="0" applyFont="1" applyNumberFormat="1">
      <alignment vertical="top"/>
    </xf>
    <xf numFmtId="49" fontId="55" fillId="0" borderId="0" xfId="0" applyFont="1" applyNumberFormat="1">
      <alignment vertical="top"/>
    </xf>
    <xf numFmtId="0" fontId="0" fillId="0" borderId="0" xfId="0" applyFont="1" applyNumberFormat="1">
      <alignment vertical="top"/>
    </xf>
    <xf numFmtId="49" fontId="23" fillId="0" borderId="14" xfId="0" applyFont="1" applyBorder="1" applyNumberFormat="1">
      <alignment horizontal="right" vertical="center"/>
    </xf>
    <xf numFmtId="0" fontId="72" fillId="0" borderId="0" xfId="0" applyFont="1" applyNumberFormat="1">
      <alignment vertical="center"/>
    </xf>
    <xf numFmtId="0" fontId="55" fillId="0" borderId="0" xfId="0" applyFont="1" applyNumberFormat="1">
      <alignment vertical="center"/>
    </xf>
    <xf numFmtId="0" fontId="55" fillId="0" borderId="0" xfId="0" applyFont="1" applyNumberFormat="1">
      <alignment vertical="center" wrapText="1"/>
    </xf>
    <xf numFmtId="0" fontId="23" fillId="0" borderId="14" xfId="0" applyFont="1" applyBorder="1" applyNumberFormat="1">
      <alignment horizontal="left" vertical="center" wrapText="1"/>
    </xf>
    <xf numFmtId="0" fontId="73" fillId="0" borderId="0" xfId="0" applyFont="1" applyNumberFormat="1">
      <alignment vertical="center"/>
    </xf>
    <xf numFmtId="49" fontId="44" fillId="37" borderId="0" xfId="0" applyFont="1" applyFill="1" applyNumberFormat="1">
      <alignment horizontal="center" vertical="center" wrapText="1"/>
    </xf>
    <xf numFmtId="0" fontId="0" fillId="0" borderId="0" xfId="0" applyFont="1" applyNumberFormat="1">
      <alignment vertical="center"/>
    </xf>
    <xf numFmtId="0" fontId="23" fillId="0" borderId="14" xfId="0" applyFont="1" applyBorder="1" applyNumberFormat="1">
      <alignment horizontal="center" vertical="center" wrapText="1"/>
    </xf>
    <xf numFmtId="49" fontId="23" fillId="0" borderId="14" xfId="0" applyFont="1" applyBorder="1" applyNumberFormat="1">
      <alignment horizontal="center" vertical="center" wrapText="1"/>
    </xf>
    <xf numFmtId="0" fontId="23" fillId="37" borderId="14" xfId="0" applyFont="1" applyFill="1" applyBorder="1" applyNumberFormat="1">
      <alignment horizontal="left" vertical="center" wrapText="1" indent="4"/>
    </xf>
    <xf numFmtId="0" fontId="23" fillId="37" borderId="14" xfId="0" applyFont="1" applyFill="1" applyBorder="1" applyNumberFormat="1">
      <alignment horizontal="left" vertical="center" wrapText="1" indent="5"/>
    </xf>
    <xf numFmtId="49" fontId="48" fillId="40" borderId="17" xfId="0" applyFont="1" applyFill="1" applyBorder="1" applyNumberFormat="1">
      <alignment horizontal="left" vertical="center" indent="5"/>
    </xf>
    <xf numFmtId="49" fontId="48" fillId="40" borderId="17" xfId="0" applyFont="1" applyFill="1" applyBorder="1" applyNumberFormat="1">
      <alignment horizontal="left" vertical="center" indent="6"/>
    </xf>
    <xf numFmtId="0" fontId="23" fillId="0" borderId="14" xfId="0" applyFont="1" applyBorder="1" applyNumberFormat="1">
      <alignment vertical="center" wrapText="1"/>
    </xf>
    <xf numFmtId="0" fontId="22" fillId="0" borderId="0" xfId="0" applyFont="1" applyNumberFormat="1">
      <alignment vertical="center" wrapText="1"/>
    </xf>
    <xf numFmtId="0" fontId="74" fillId="37" borderId="0" xfId="0" applyFont="1" applyFill="1" applyNumberFormat="1">
      <alignment vertical="center" wrapText="1"/>
    </xf>
    <xf numFmtId="49" fontId="23" fillId="0" borderId="14" xfId="0" applyFont="1" applyBorder="1" applyNumberFormat="1">
      <alignment horizontal="center" vertical="center" wrapText="1"/>
    </xf>
    <xf numFmtId="49" fontId="0" fillId="0" borderId="0" xfId="0" applyFont="1" applyNumberFormat="1">
      <alignment vertical="top"/>
    </xf>
    <xf numFmtId="49" fontId="48" fillId="40" borderId="16" xfId="0" applyFont="1" applyFill="1" applyBorder="1" applyNumberFormat="1">
      <alignment horizontal="left" vertical="center" indent="1"/>
    </xf>
    <xf numFmtId="0" fontId="0" fillId="37" borderId="14" xfId="0" applyFont="1" applyFill="1" applyBorder="1" applyNumberFormat="1">
      <alignment horizontal="right" vertical="center" wrapText="1" indent="1"/>
    </xf>
    <xf numFmtId="49" fontId="0" fillId="0" borderId="14" xfId="0" applyFont="1" applyBorder="1" applyNumberFormat="1">
      <alignment horizontal="left" vertical="center"/>
    </xf>
    <xf numFmtId="0" fontId="23" fillId="0" borderId="14" xfId="0" applyFont="1" applyBorder="1" applyNumberFormat="1">
      <alignment vertical="top" wrapText="1"/>
    </xf>
    <xf numFmtId="0" fontId="23" fillId="0" borderId="14" xfId="0" applyFont="1" applyBorder="1" applyNumberFormat="1">
      <alignment vertical="center" wrapText="1"/>
    </xf>
    <xf numFmtId="0" fontId="72" fillId="0" borderId="0" xfId="0" applyFont="1" applyNumberFormat="1">
      <alignment vertical="center"/>
    </xf>
    <xf numFmtId="0" fontId="23" fillId="0" borderId="14" xfId="0" applyFont="1" applyBorder="1" applyNumberFormat="1">
      <alignment horizontal="left" vertical="center" wrapText="1" indent="6"/>
    </xf>
    <xf numFmtId="0" fontId="23" fillId="0" borderId="19" xfId="0" applyFont="1" applyBorder="1" applyNumberFormat="1">
      <alignment vertical="center" wrapText="1"/>
    </xf>
    <xf numFmtId="0" fontId="23" fillId="0" borderId="25" xfId="0" applyFont="1" applyBorder="1" applyNumberFormat="1">
      <alignment vertical="center" wrapText="1"/>
    </xf>
    <xf numFmtId="49" fontId="0" fillId="40" borderId="15" xfId="0" applyFont="1" applyFill="1" applyBorder="1" applyNumberFormat="1">
      <alignment horizontal="center" vertical="center" wrapText="1"/>
    </xf>
    <xf numFmtId="0" fontId="0" fillId="0" borderId="16" xfId="0" applyFont="1" applyBorder="1" applyNumberFormat="1">
      <alignment vertical="center"/>
    </xf>
    <xf numFmtId="0" fontId="0" fillId="37" borderId="16" xfId="0" applyFont="1" applyFill="1" applyBorder="1" applyNumberFormat="1">
      <alignment horizontal="right" vertical="center" wrapText="1" indent="1"/>
    </xf>
    <xf numFmtId="49" fontId="40" fillId="0" borderId="0" xfId="0" applyFont="1" applyNumberFormat="1">
      <alignment vertical="top"/>
    </xf>
    <xf numFmtId="0" fontId="47" fillId="37" borderId="0" xfId="0" applyFont="1" applyFill="1" applyNumberFormat="1">
      <alignment vertical="center" wrapText="1"/>
    </xf>
    <xf numFmtId="0" fontId="23" fillId="37" borderId="14" xfId="0" applyFont="1" applyFill="1" applyBorder="1" applyNumberFormat="1">
      <alignment horizontal="left" vertical="center" wrapText="1" indent="1"/>
    </xf>
    <xf numFmtId="0" fontId="23" fillId="37" borderId="14" xfId="0" applyFont="1" applyFill="1" applyBorder="1" applyNumberFormat="1">
      <alignment horizontal="left" vertical="center" wrapText="1" indent="2"/>
    </xf>
    <xf numFmtId="0" fontId="23" fillId="37" borderId="14" xfId="0" applyFont="1" applyFill="1" applyBorder="1" applyNumberFormat="1">
      <alignment horizontal="left" vertical="center" wrapText="1" indent="3"/>
    </xf>
    <xf numFmtId="0" fontId="23" fillId="0" borderId="14" xfId="0" applyFont="1" applyBorder="1" applyNumberFormat="1">
      <alignment horizontal="left" vertical="center" wrapText="1" indent="4"/>
    </xf>
    <xf numFmtId="49" fontId="48" fillId="40" borderId="16" xfId="0" applyFont="1" applyFill="1" applyBorder="1" applyNumberFormat="1">
      <alignment vertical="center" wrapText="1"/>
    </xf>
    <xf numFmtId="49" fontId="48" fillId="40" borderId="17" xfId="0" applyFont="1" applyFill="1" applyBorder="1" applyNumberFormat="1">
      <alignment vertical="center"/>
    </xf>
    <xf numFmtId="49" fontId="48" fillId="40" borderId="17" xfId="0" applyFont="1" applyFill="1" applyBorder="1" applyNumberFormat="1">
      <alignment vertical="center" wrapText="1"/>
    </xf>
    <xf numFmtId="0" fontId="23" fillId="0" borderId="0" xfId="0" applyFont="1" applyNumberFormat="1">
      <alignment vertical="top" wrapText="1"/>
    </xf>
    <xf numFmtId="49" fontId="48" fillId="40" borderId="16" xfId="0" applyFont="1" applyFill="1" applyBorder="1" applyNumberFormat="1">
      <alignment horizontal="left" vertical="center"/>
    </xf>
    <xf numFmtId="0" fontId="48" fillId="40" borderId="16" xfId="0" applyFont="1" applyFill="1" applyBorder="1" applyNumberFormat="1">
      <alignment horizontal="left" vertical="center"/>
    </xf>
    <xf numFmtId="0" fontId="48" fillId="40" borderId="17" xfId="0" applyFont="1" applyFill="1" applyBorder="1" applyNumberFormat="1">
      <alignment horizontal="left" vertical="center"/>
    </xf>
    <xf numFmtId="0" fontId="48" fillId="40" borderId="15" xfId="0" applyFont="1" applyFill="1" applyBorder="1" applyNumberFormat="1">
      <alignment horizontal="left" vertical="center"/>
    </xf>
    <xf numFmtId="0" fontId="0" fillId="0" borderId="0" xfId="0" applyFont="1" applyNumberFormat="1">
      <alignment vertical="center"/>
    </xf>
    <xf numFmtId="49" fontId="0" fillId="0" borderId="0" xfId="0" applyFont="1" applyNumberFormat="1">
      <alignment vertical="center"/>
    </xf>
    <xf numFmtId="0" fontId="36" fillId="37" borderId="0" xfId="0" applyFont="1" applyFill="1" applyNumberFormat="1">
      <alignment horizontal="center" vertical="center" wrapText="1"/>
    </xf>
    <xf numFmtId="0" fontId="23" fillId="0" borderId="0" xfId="0" applyFont="1" applyNumberFormat="1">
      <alignment vertical="center" wrapText="1"/>
    </xf>
    <xf numFmtId="49" fontId="23" fillId="40" borderId="15" xfId="0" applyFont="1" applyFill="1" applyBorder="1" applyNumberFormat="1">
      <alignment horizontal="center" vertical="center" wrapText="1"/>
    </xf>
    <xf numFmtId="4" fontId="23" fillId="0" borderId="14" xfId="0" applyFont="1" applyBorder="1" applyNumberFormat="1">
      <alignment horizontal="right" vertical="center" wrapText="1"/>
    </xf>
    <xf numFmtId="0" fontId="23" fillId="0" borderId="0" xfId="0" applyFont="1" applyNumberFormat="1">
      <alignment vertical="center" wrapText="1"/>
    </xf>
    <xf numFmtId="0" fontId="23" fillId="0" borderId="0" xfId="0" applyFont="1" applyNumberFormat="1">
      <alignment vertical="center" wrapText="1"/>
    </xf>
    <xf numFmtId="4" fontId="55" fillId="0" borderId="14" xfId="0" applyFont="1" applyBorder="1" applyNumberFormat="1">
      <alignment horizontal="center" vertical="center" wrapText="1"/>
    </xf>
    <xf numFmtId="0" fontId="0" fillId="0" borderId="0" xfId="0" applyFont="1" applyNumberFormat="1">
      <alignment vertical="center"/>
    </xf>
    <xf numFmtId="0" fontId="0" fillId="0" borderId="14" xfId="0" applyFont="1" applyBorder="1" applyNumberFormat="1">
      <alignment horizontal="left" vertical="center" wrapText="1" indent="1"/>
    </xf>
    <xf numFmtId="49" fontId="75" fillId="0" borderId="16" xfId="0" applyFont="1" applyBorder="1" applyNumberFormat="1">
      <alignment horizontal="left" vertical="center" wrapText="1"/>
    </xf>
    <xf numFmtId="0" fontId="72" fillId="0" borderId="14" xfId="0" applyFont="1" applyBorder="1" applyNumberFormat="1">
      <alignment horizontal="left" vertical="center" wrapText="1" indent="2"/>
    </xf>
    <xf numFmtId="49" fontId="72" fillId="0" borderId="14" xfId="0" applyFont="1" applyBorder="1" applyNumberFormat="1">
      <alignment horizontal="center" vertical="center" wrapText="1"/>
    </xf>
    <xf numFmtId="0" fontId="76" fillId="0" borderId="0" xfId="0" applyFont="1" applyNumberFormat="1">
      <alignment vertical="center" wrapText="1"/>
    </xf>
    <xf numFmtId="0" fontId="23" fillId="0" borderId="0" xfId="0" applyFont="1" applyNumberFormat="1">
      <alignment vertical="top"/>
    </xf>
    <xf numFmtId="0" fontId="23" fillId="0" borderId="0" xfId="0" applyFont="1" applyNumberFormat="1">
      <alignment horizontal="right" vertical="top" wrapText="1"/>
    </xf>
    <xf numFmtId="0" fontId="23" fillId="0" borderId="19" xfId="0" applyFont="1" applyBorder="1" applyNumberFormat="1">
      <alignment vertical="center" wrapText="1"/>
    </xf>
    <xf numFmtId="49" fontId="52" fillId="40" borderId="17" xfId="0" applyFont="1" applyFill="1" applyBorder="1" applyNumberFormat="1">
      <alignment horizontal="center" vertical="top"/>
    </xf>
    <xf numFmtId="0" fontId="23" fillId="0" borderId="25" xfId="0" applyFont="1" applyBorder="1" applyNumberFormat="1">
      <alignment vertical="top" wrapText="1"/>
    </xf>
    <xf numFmtId="0" fontId="0" fillId="0" borderId="0" xfId="0" applyFont="1" applyNumberFormat="1">
      <alignment horizontal="left" vertical="top" wrapText="1"/>
    </xf>
    <xf numFmtId="0" fontId="23" fillId="0" borderId="19" xfId="0" applyFont="1" applyBorder="1" applyNumberFormat="1">
      <alignment vertical="top" wrapText="1"/>
    </xf>
    <xf numFmtId="0" fontId="23" fillId="0" borderId="0" xfId="0" applyFont="1" applyNumberFormat="1">
      <alignment vertical="center" wrapText="1"/>
    </xf>
    <xf numFmtId="49" fontId="23" fillId="0" borderId="0" xfId="0" applyFont="1" applyNumberFormat="1">
      <alignment vertical="top"/>
    </xf>
    <xf numFmtId="0" fontId="47" fillId="0" borderId="0" xfId="0" applyFont="1" applyNumberFormat="1">
      <alignment vertical="center" wrapText="1"/>
    </xf>
    <xf numFmtId="0" fontId="23" fillId="0" borderId="14" xfId="0" applyFont="1" applyBorder="1" applyNumberFormat="1">
      <alignment vertical="center" wrapText="1"/>
    </xf>
    <xf numFmtId="49" fontId="23" fillId="0" borderId="0" xfId="0" applyFont="1" applyNumberFormat="1">
      <alignment horizontal="center" vertical="center" wrapText="1"/>
    </xf>
    <xf numFmtId="0" fontId="23" fillId="40" borderId="16" xfId="0" applyFont="1" applyFill="1" applyBorder="1" applyNumberFormat="1">
      <alignment vertical="center" wrapText="1"/>
    </xf>
    <xf numFmtId="0" fontId="23" fillId="42" borderId="14" xfId="0" applyFont="1" applyFill="1" applyBorder="1" applyNumberFormat="1">
      <alignment horizontal="left" vertical="center" wrapText="1" indent="1"/>
      <protection locked="0"/>
    </xf>
    <xf numFmtId="49" fontId="48" fillId="40" borderId="17" xfId="0" applyFont="1" applyFill="1" applyBorder="1" applyNumberFormat="1">
      <alignment horizontal="left" vertical="center" indent="2"/>
    </xf>
    <xf numFmtId="0" fontId="55" fillId="0" borderId="0" xfId="0" applyFont="1" applyNumberFormat="1">
      <alignment vertical="center"/>
    </xf>
    <xf numFmtId="0" fontId="77" fillId="0" borderId="0" xfId="0" applyFont="1" applyNumberFormat="1">
      <alignment vertical="center" wrapText="1"/>
    </xf>
    <xf numFmtId="0" fontId="50" fillId="37" borderId="0" xfId="0" applyFont="1" applyFill="1" applyNumberFormat="1">
      <alignment horizontal="center" vertical="center" wrapText="1"/>
    </xf>
    <xf numFmtId="0" fontId="23" fillId="0" borderId="26" xfId="0" applyFont="1" applyBorder="1" applyNumberFormat="1">
      <alignment vertical="center" wrapText="1"/>
    </xf>
    <xf numFmtId="0" fontId="45" fillId="0" borderId="0" xfId="0" applyFont="1" applyNumberFormat="1">
      <alignment vertical="center" wrapText="1"/>
    </xf>
    <xf numFmtId="49" fontId="23" fillId="0" borderId="26" xfId="0" applyFont="1" applyBorder="1" applyNumberFormat="1">
      <alignment vertical="top"/>
    </xf>
    <xf numFmtId="0" fontId="55" fillId="0" borderId="26" xfId="0" applyFont="1" applyBorder="1" applyNumberFormat="1">
      <alignment horizontal="center" vertical="center" wrapText="1"/>
    </xf>
    <xf numFmtId="0" fontId="55" fillId="0" borderId="26" xfId="0" applyFont="1" applyBorder="1" applyNumberFormat="1">
      <alignment vertical="center" wrapText="1"/>
    </xf>
    <xf numFmtId="49" fontId="40" fillId="0" borderId="0" xfId="0" applyFont="1" applyNumberFormat="1">
      <alignment vertical="top"/>
    </xf>
    <xf numFmtId="49" fontId="0" fillId="0" borderId="26" xfId="0" applyFont="1" applyBorder="1" applyNumberFormat="1">
      <alignment vertical="top"/>
    </xf>
    <xf numFmtId="49" fontId="23" fillId="0" borderId="0" xfId="0" applyFont="1" applyNumberFormat="1">
      <alignment vertical="top"/>
    </xf>
    <xf numFmtId="49" fontId="23" fillId="0" borderId="0" xfId="0" applyFont="1" applyNumberFormat="1">
      <alignment vertical="center" wrapText="1"/>
    </xf>
    <xf numFmtId="0" fontId="40" fillId="0" borderId="0" xfId="0" applyFont="1" applyNumberFormat="1">
      <alignment vertical="center" wrapText="1"/>
    </xf>
    <xf numFmtId="0" fontId="23" fillId="37" borderId="0" xfId="0" applyFont="1" applyFill="1" applyNumberFormat="1">
      <alignment vertical="center" wrapText="1"/>
    </xf>
    <xf numFmtId="49" fontId="23" fillId="0" borderId="0" xfId="0" applyFont="1" applyNumberFormat="1">
      <alignment vertical="center" wrapText="1"/>
    </xf>
    <xf numFmtId="49" fontId="48" fillId="40" borderId="17" xfId="0" applyFont="1" applyFill="1" applyBorder="1" applyNumberFormat="1">
      <alignment horizontal="left" vertical="center" indent="4"/>
    </xf>
    <xf numFmtId="49" fontId="0"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0" fontId="55" fillId="0" borderId="0" xfId="0" applyFont="1" applyNumberFormat="1">
      <alignment vertical="center"/>
    </xf>
    <xf numFmtId="0" fontId="23" fillId="0" borderId="0" xfId="0" applyFont="1" applyNumberFormat="1">
      <alignment vertical="top" wrapText="1"/>
    </xf>
    <xf numFmtId="49" fontId="23" fillId="0" borderId="14" xfId="0" applyFont="1" applyBorder="1" applyNumberFormat="1">
      <alignment horizontal="right" vertical="top"/>
    </xf>
    <xf numFmtId="49" fontId="23" fillId="0" borderId="19" xfId="0" applyFont="1" applyBorder="1" applyNumberFormat="1">
      <alignment horizontal="right" vertical="top"/>
    </xf>
    <xf numFmtId="49" fontId="48" fillId="40" borderId="17" xfId="0" applyFont="1" applyFill="1" applyBorder="1" applyNumberFormat="1">
      <alignment horizontal="left" vertical="center" indent="3"/>
    </xf>
    <xf numFmtId="49" fontId="0" fillId="0" borderId="0" xfId="0" applyFont="1" applyNumberFormat="1">
      <alignment vertical="top"/>
    </xf>
    <xf numFmtId="0" fontId="23" fillId="0" borderId="0" xfId="0" applyFont="1" applyNumberFormat="1">
      <alignment vertical="center" wrapText="1"/>
    </xf>
    <xf numFmtId="49" fontId="47" fillId="0" borderId="0" xfId="0" applyFont="1" applyNumberFormat="1">
      <alignment vertical="top"/>
    </xf>
    <xf numFmtId="0" fontId="47" fillId="37" borderId="0" xfId="0" applyFont="1" applyFill="1" applyNumberFormat="1">
      <alignment vertical="center" wrapText="1"/>
    </xf>
    <xf numFmtId="49" fontId="23" fillId="42" borderId="14" xfId="0" applyFont="1" applyFill="1" applyBorder="1" applyNumberFormat="1">
      <alignment horizontal="left" vertical="center" wrapText="1"/>
      <protection locked="0"/>
    </xf>
    <xf numFmtId="49" fontId="23" fillId="39" borderId="14" xfId="0" applyFont="1" applyFill="1" applyBorder="1" applyNumberFormat="1">
      <alignment horizontal="left" vertical="center" wrapText="1"/>
      <protection locked="0"/>
    </xf>
    <xf numFmtId="49" fontId="55" fillId="0" borderId="0" xfId="0" applyFont="1" applyNumberFormat="1">
      <alignment vertical="top"/>
    </xf>
    <xf numFmtId="49" fontId="55" fillId="0" borderId="0" xfId="0" applyFont="1" applyNumberFormat="1">
      <alignment vertical="top"/>
    </xf>
    <xf numFmtId="49" fontId="23" fillId="42" borderId="14" xfId="0" applyFont="1" applyFill="1" applyBorder="1" applyNumberFormat="1">
      <alignment horizontal="left" vertical="center" wrapText="1"/>
      <protection locked="0"/>
    </xf>
    <xf numFmtId="49" fontId="34" fillId="42" borderId="14" xfId="0" applyFont="1" applyFill="1" applyBorder="1" applyNumberFormat="1">
      <alignment horizontal="left" vertical="center" wrapText="1"/>
      <protection locked="0"/>
    </xf>
    <xf numFmtId="49" fontId="0" fillId="0" borderId="27" xfId="0" applyFont="1" applyBorder="1" applyNumberFormat="1">
      <alignment horizontal="center" vertical="center"/>
    </xf>
    <xf numFmtId="164" fontId="23" fillId="0" borderId="14" xfId="0" applyFont="1" applyBorder="1" applyNumberFormat="1">
      <alignment horizontal="right" vertical="center" wrapText="1"/>
    </xf>
    <xf numFmtId="49" fontId="34" fillId="42" borderId="16" xfId="0" applyFont="1" applyFill="1" applyBorder="1" applyNumberFormat="1">
      <alignment horizontal="left" vertical="center" wrapText="1"/>
      <protection locked="0"/>
    </xf>
    <xf numFmtId="0" fontId="23" fillId="37" borderId="14" xfId="0" applyFont="1" applyFill="1" applyBorder="1" applyNumberFormat="1">
      <alignment horizontal="center" vertical="center" wrapText="1"/>
    </xf>
    <xf numFmtId="0" fontId="45" fillId="37" borderId="0" xfId="0" applyFont="1" applyFill="1" applyNumberFormat="1">
      <alignment horizontal="center" vertical="center" wrapText="1"/>
    </xf>
    <xf numFmtId="0" fontId="0" fillId="0" borderId="14" xfId="0" applyFont="1" applyBorder="1" applyNumberFormat="1">
      <alignment horizontal="left" vertical="center" wrapText="1"/>
    </xf>
    <xf numFmtId="0" fontId="23" fillId="37" borderId="0" xfId="0" applyFont="1" applyFill="1" applyNumberFormat="1">
      <alignment horizontal="center" vertical="center" wrapText="1"/>
    </xf>
    <xf numFmtId="0" fontId="36" fillId="0" borderId="0" xfId="0" applyFont="1" applyNumberFormat="1">
      <alignment vertical="top" wrapText="1"/>
    </xf>
    <xf numFmtId="0" fontId="23" fillId="37" borderId="28" xfId="0" applyFont="1" applyFill="1" applyBorder="1" applyNumberFormat="1">
      <alignment horizontal="right" vertical="center" wrapText="1" indent="1"/>
    </xf>
    <xf numFmtId="0" fontId="0" fillId="37" borderId="28" xfId="0" applyFont="1" applyFill="1" applyBorder="1" applyNumberFormat="1">
      <alignment horizontal="right" vertical="center" wrapText="1" indent="1"/>
    </xf>
    <xf numFmtId="0" fontId="23" fillId="0" borderId="0" xfId="0" applyFont="1" applyNumberFormat="1">
      <alignment horizontal="left" vertical="center" wrapText="1" indent="4"/>
    </xf>
    <xf numFmtId="0" fontId="23" fillId="37" borderId="0" xfId="0" applyFont="1" applyFill="1" applyNumberFormat="1">
      <alignment horizontal="center" vertical="center" wrapText="1"/>
    </xf>
    <xf numFmtId="49" fontId="48" fillId="40" borderId="17" xfId="0" applyFont="1" applyFill="1" applyBorder="1" applyNumberFormat="1">
      <alignment horizontal="left" vertical="center"/>
    </xf>
    <xf numFmtId="0" fontId="23" fillId="0" borderId="21" xfId="0" applyFont="1" applyBorder="1" applyNumberFormat="1">
      <alignment vertical="center" wrapText="1"/>
    </xf>
    <xf numFmtId="0" fontId="23" fillId="0" borderId="0" xfId="0" applyFont="1" applyNumberFormat="1">
      <alignment horizontal="left" vertical="center" wrapText="1" indent="1"/>
    </xf>
    <xf numFmtId="0" fontId="76" fillId="0" borderId="0" xfId="0" applyFont="1" applyNumberFormat="1">
      <alignment vertical="center" wrapText="1"/>
    </xf>
    <xf numFmtId="49" fontId="0" fillId="37" borderId="16" xfId="0" applyFont="1" applyFill="1" applyBorder="1" applyNumberFormat="1">
      <alignment horizontal="center" vertical="center" wrapText="1"/>
    </xf>
    <xf numFmtId="49" fontId="48" fillId="40" borderId="29" xfId="0" applyFont="1" applyFill="1" applyBorder="1" applyNumberFormat="1">
      <alignment horizontal="left" vertical="center" indent="2"/>
    </xf>
    <xf numFmtId="49" fontId="34" fillId="39" borderId="14" xfId="0" applyFont="1" applyFill="1" applyBorder="1" applyNumberFormat="1">
      <alignment horizontal="left" vertical="center" wrapText="1"/>
      <protection locked="0"/>
    </xf>
    <xf numFmtId="49" fontId="23" fillId="0" borderId="21" xfId="0" applyFont="1" applyBorder="1" applyNumberFormat="1">
      <alignment vertical="top"/>
    </xf>
    <xf numFmtId="49" fontId="78" fillId="40" borderId="15" xfId="0" applyFont="1" applyFill="1" applyBorder="1" applyNumberFormat="1">
      <alignment horizontal="left" vertical="center" indent="1"/>
    </xf>
    <xf numFmtId="49" fontId="78" fillId="40" borderId="17" xfId="0" applyFont="1" applyFill="1" applyBorder="1" applyNumberFormat="1">
      <alignment horizontal="left" vertical="center" indent="1"/>
    </xf>
    <xf numFmtId="49" fontId="36" fillId="40" borderId="16" xfId="0" applyFont="1" applyFill="1" applyBorder="1" applyNumberFormat="1">
      <alignment horizontal="center" vertical="center"/>
    </xf>
    <xf numFmtId="49" fontId="78" fillId="40" borderId="17" xfId="0" applyFont="1" applyFill="1" applyBorder="1" applyNumberFormat="1">
      <alignment vertical="center"/>
    </xf>
    <xf numFmtId="0" fontId="0" fillId="34" borderId="14" xfId="0" applyFont="1" applyFill="1" applyBorder="1" applyNumberFormat="1">
      <alignment horizontal="right" vertical="center"/>
    </xf>
    <xf numFmtId="0" fontId="41" fillId="0" borderId="0" xfId="0" applyFont="1" applyNumberFormat="1">
      <alignment vertical="center" wrapText="1"/>
    </xf>
    <xf numFmtId="0" fontId="23" fillId="0" borderId="0" xfId="0" applyFont="1" applyNumberFormat="1">
      <alignment vertical="center" wrapText="1"/>
    </xf>
    <xf numFmtId="0" fontId="42" fillId="37" borderId="0" xfId="0" applyFont="1" applyFill="1" applyNumberFormat="1">
      <alignment vertical="center" wrapText="1"/>
    </xf>
    <xf numFmtId="0" fontId="40" fillId="0" borderId="0" xfId="0" applyFont="1" applyNumberFormat="1">
      <alignment horizontal="center" vertical="center" wrapText="1"/>
    </xf>
    <xf numFmtId="0" fontId="0" fillId="0" borderId="0" xfId="0" applyFont="1" applyNumberFormat="1">
      <alignment vertical="center" wrapText="1"/>
    </xf>
    <xf numFmtId="0" fontId="40" fillId="0" borderId="0" xfId="0" applyFont="1" applyNumberFormat="1">
      <alignment horizontal="left" vertical="center" wrapText="1"/>
    </xf>
    <xf numFmtId="0" fontId="0" fillId="0" borderId="14" xfId="0" applyFont="1" applyBorder="1" applyNumberFormat="1">
      <alignment horizontal="center" vertical="center" wrapText="1"/>
    </xf>
    <xf numFmtId="49" fontId="48" fillId="40" borderId="17" xfId="0" applyFont="1" applyFill="1" applyBorder="1" applyNumberFormat="1">
      <alignment horizontal="left" vertical="center" indent="1"/>
    </xf>
    <xf numFmtId="49" fontId="48" fillId="40" borderId="17" xfId="0" applyFont="1" applyFill="1" applyBorder="1" applyNumberFormat="1">
      <alignment horizontal="left" vertical="center"/>
    </xf>
    <xf numFmtId="0" fontId="54" fillId="0" borderId="0" xfId="0" applyFont="1" applyNumberFormat="1">
      <alignment vertical="center" wrapText="1"/>
    </xf>
    <xf numFmtId="0" fontId="0" fillId="0" borderId="0" xfId="0" applyFont="1" applyNumberFormat="1">
      <alignment vertical="center"/>
    </xf>
    <xf numFmtId="49" fontId="55" fillId="0" borderId="0" xfId="0" applyFont="1" applyNumberFormat="1">
      <alignment vertical="top"/>
    </xf>
    <xf numFmtId="0" fontId="79" fillId="0" borderId="0" xfId="0" applyFont="1" applyNumberFormat="1">
      <alignment vertical="center" wrapText="1"/>
    </xf>
    <xf numFmtId="49" fontId="36" fillId="40" borderId="16" xfId="0" applyFont="1" applyFill="1" applyBorder="1" applyNumberFormat="1">
      <alignment horizontal="right" vertical="center" wrapText="1"/>
    </xf>
    <xf numFmtId="49" fontId="54" fillId="0" borderId="0" xfId="0" applyFont="1" applyNumberFormat="1">
      <alignment vertical="top"/>
    </xf>
    <xf numFmtId="49" fontId="0" fillId="0" borderId="0" xfId="0" applyFont="1" applyNumberFormat="1">
      <alignment vertical="top"/>
    </xf>
    <xf numFmtId="49" fontId="0" fillId="40" borderId="15" xfId="0" applyFont="1" applyFill="1" applyBorder="1" applyNumberFormat="1">
      <alignment horizontal="right" vertical="center" wrapText="1"/>
    </xf>
    <xf numFmtId="0" fontId="0" fillId="0" borderId="14" xfId="0" applyFont="1" applyBorder="1" applyNumberFormat="1">
      <alignment horizontal="center" vertical="center" wrapText="1"/>
    </xf>
    <xf numFmtId="0" fontId="63" fillId="0" borderId="0" xfId="0" applyFont="1" applyNumberFormat="1">
      <alignment horizontal="left" vertical="center" wrapText="1"/>
    </xf>
    <xf numFmtId="0" fontId="64" fillId="0" borderId="0" xfId="0" applyFont="1" applyNumberFormat="1">
      <alignment vertical="center" wrapText="1"/>
    </xf>
    <xf numFmtId="0" fontId="65" fillId="37" borderId="0" xfId="0" applyFont="1" applyFill="1" applyNumberFormat="1">
      <alignment vertical="center" wrapText="1"/>
    </xf>
    <xf numFmtId="0" fontId="66" fillId="37" borderId="0" xfId="0" applyFont="1" applyFill="1" applyNumberFormat="1">
      <alignment horizontal="right" vertical="center" wrapText="1" indent="1"/>
    </xf>
    <xf numFmtId="0" fontId="65" fillId="0" borderId="0" xfId="0" applyFont="1" applyNumberFormat="1">
      <alignment vertical="center" wrapText="1"/>
    </xf>
    <xf numFmtId="0" fontId="0" fillId="0" borderId="16" xfId="0" applyFont="1" applyBorder="1" applyNumberFormat="1">
      <alignment horizontal="center" vertical="center" wrapText="1"/>
    </xf>
    <xf numFmtId="0" fontId="0" fillId="39" borderId="14" xfId="0" applyFont="1" applyFill="1" applyBorder="1" applyNumberFormat="1">
      <alignment horizontal="right" vertical="center" wrapText="1"/>
      <protection locked="0"/>
    </xf>
    <xf numFmtId="3" fontId="0" fillId="42" borderId="14" xfId="0" applyFont="1" applyFill="1" applyBorder="1" applyNumberFormat="1">
      <alignment horizontal="right" vertical="center" wrapText="1"/>
      <protection locked="0"/>
    </xf>
    <xf numFmtId="49" fontId="0" fillId="0" borderId="14" xfId="0" applyFont="1" applyBorder="1" applyNumberFormat="1">
      <alignment horizontal="center" vertical="center" wrapText="1"/>
    </xf>
    <xf numFmtId="49" fontId="0" fillId="0" borderId="14" xfId="0" applyFont="1" applyBorder="1" applyNumberFormat="1">
      <alignment vertical="top" wrapText="1"/>
    </xf>
    <xf numFmtId="0" fontId="0" fillId="37" borderId="16" xfId="0" applyFont="1" applyFill="1" applyBorder="1" applyNumberFormat="1">
      <alignment horizontal="left" vertical="center" wrapText="1" indent="1"/>
    </xf>
    <xf numFmtId="0" fontId="0" fillId="37" borderId="19" xfId="0" applyFont="1" applyFill="1" applyBorder="1" applyNumberFormat="1">
      <alignment horizontal="left" vertical="center" wrapText="1"/>
    </xf>
    <xf numFmtId="0" fontId="0" fillId="37" borderId="14" xfId="0" applyFont="1" applyFill="1" applyBorder="1" applyNumberFormat="1">
      <alignment horizontal="left" vertical="center" wrapText="1"/>
    </xf>
    <xf numFmtId="0" fontId="0" fillId="37" borderId="14" xfId="0" applyFont="1" applyFill="1" applyBorder="1" applyNumberFormat="1">
      <alignment horizontal="left" vertical="center" wrapText="1" indent="2"/>
    </xf>
    <xf numFmtId="0" fontId="0" fillId="37" borderId="14" xfId="0" applyFont="1" applyFill="1" applyBorder="1" applyNumberFormat="1">
      <alignment horizontal="center" vertical="center"/>
    </xf>
    <xf numFmtId="49" fontId="0" fillId="42" borderId="14" xfId="0" applyFont="1" applyFill="1" applyBorder="1" applyNumberFormat="1">
      <alignment horizontal="left" vertical="center" wrapText="1"/>
      <protection locked="0"/>
    </xf>
    <xf numFmtId="0" fontId="0" fillId="37" borderId="14" xfId="0" applyFont="1" applyFill="1" applyBorder="1" applyNumberFormat="1">
      <alignment horizontal="left" vertical="center" wrapText="1" indent="1"/>
    </xf>
    <xf numFmtId="0" fontId="0" fillId="0" borderId="14" xfId="0" applyFont="1" applyBorder="1" applyNumberFormat="1">
      <alignment horizontal="center" vertical="center" wrapText="1"/>
    </xf>
    <xf numFmtId="0" fontId="0" fillId="37" borderId="14" xfId="0" applyFont="1" applyFill="1" applyBorder="1" applyNumberFormat="1">
      <alignment vertical="center" wrapText="1"/>
    </xf>
    <xf numFmtId="49" fontId="0" fillId="37" borderId="14" xfId="0" applyFont="1" applyFill="1" applyBorder="1" applyNumberFormat="1">
      <alignment horizontal="center" vertical="center"/>
    </xf>
    <xf numFmtId="0" fontId="0" fillId="37" borderId="14" xfId="0" applyFont="1" applyFill="1" applyBorder="1" applyNumberFormat="1">
      <alignment horizontal="center" vertical="center" wrapText="1"/>
    </xf>
    <xf numFmtId="0" fontId="23" fillId="0" borderId="0" xfId="0" applyFont="1" applyNumberFormat="1">
      <alignment vertical="center" wrapText="1"/>
    </xf>
    <xf numFmtId="49" fontId="44" fillId="37" borderId="0" xfId="0" applyFont="1" applyFill="1" applyNumberFormat="1">
      <alignment horizontal="center" vertical="center" wrapText="1"/>
    </xf>
    <xf numFmtId="0" fontId="40" fillId="0" borderId="0" xfId="0" applyFont="1" applyNumberFormat="1">
      <alignment vertical="center" wrapText="1"/>
    </xf>
    <xf numFmtId="0" fontId="45" fillId="37" borderId="0" xfId="0" applyFont="1" applyFill="1" applyNumberFormat="1">
      <alignment horizontal="center" vertical="center" wrapText="1"/>
    </xf>
    <xf numFmtId="0" fontId="45" fillId="0" borderId="0" xfId="0" applyFont="1" applyNumberFormat="1">
      <alignment horizontal="center" vertical="center" wrapText="1"/>
    </xf>
    <xf numFmtId="0" fontId="50" fillId="0" borderId="0" xfId="0" applyFont="1" applyNumberFormat="1">
      <alignment vertical="center" wrapText="1"/>
    </xf>
    <xf numFmtId="0" fontId="22" fillId="0" borderId="0" xfId="0" applyFont="1" applyNumberFormat="1">
      <alignment horizontal="center" vertical="center" wrapText="1"/>
    </xf>
    <xf numFmtId="0" fontId="53" fillId="0" borderId="0" xfId="0" applyFont="1" applyNumberFormat="1">
      <alignment vertical="center" wrapText="1"/>
    </xf>
    <xf numFmtId="0" fontId="0" fillId="37" borderId="0" xfId="0" applyFont="1" applyFill="1" applyNumberFormat="1"/>
    <xf numFmtId="0" fontId="0" fillId="37" borderId="0" xfId="0" applyFont="1" applyFill="1" applyNumberFormat="1">
      <alignment horizontal="center"/>
    </xf>
    <xf numFmtId="0" fontId="23" fillId="37" borderId="0" xfId="0" applyFont="1" applyFill="1" applyNumberFormat="1">
      <alignment vertical="center" wrapText="1"/>
    </xf>
    <xf numFmtId="0" fontId="80" fillId="37" borderId="0" xfId="0" applyFont="1" applyFill="1" applyNumberFormat="1">
      <alignment horizontal="center"/>
    </xf>
    <xf numFmtId="0" fontId="80" fillId="37" borderId="0" xfId="0" applyFont="1" applyFill="1" applyNumberFormat="1"/>
    <xf numFmtId="0" fontId="81" fillId="37" borderId="0" xfId="0" applyFont="1" applyFill="1" applyNumberFormat="1"/>
    <xf numFmtId="0" fontId="82" fillId="37" borderId="0" xfId="0" applyFont="1" applyFill="1" applyNumberFormat="1">
      <alignment horizontal="right" vertical="center"/>
    </xf>
    <xf numFmtId="0" fontId="82" fillId="37" borderId="0" xfId="0" applyFont="1" applyFill="1" applyNumberFormat="1">
      <alignment horizontal="right" vertical="top"/>
    </xf>
    <xf numFmtId="0" fontId="23" fillId="37" borderId="0" xfId="0" applyFont="1" applyFill="1" applyNumberFormat="1">
      <alignment horizontal="center" vertical="center" wrapText="1"/>
    </xf>
    <xf numFmtId="0" fontId="44" fillId="37" borderId="0" xfId="0" applyFont="1" applyFill="1" applyNumberFormat="1">
      <alignment horizontal="center" vertical="center"/>
    </xf>
    <xf numFmtId="0" fontId="23" fillId="0" borderId="14" xfId="0" applyFont="1" applyBorder="1" applyNumberFormat="1">
      <alignment horizontal="center" vertical="center" wrapText="1"/>
    </xf>
    <xf numFmtId="0" fontId="53" fillId="0" borderId="0" xfId="0" applyFont="1" applyNumberFormat="1">
      <alignment vertical="top" wrapText="1"/>
    </xf>
    <xf numFmtId="0" fontId="23" fillId="40" borderId="16" xfId="0" applyFont="1" applyFill="1" applyBorder="1" applyNumberFormat="1">
      <alignment horizontal="center"/>
    </xf>
    <xf numFmtId="0" fontId="78" fillId="40" borderId="17" xfId="0" applyFont="1" applyFill="1" applyBorder="1" applyNumberFormat="1">
      <alignment horizontal="left" vertical="center"/>
    </xf>
    <xf numFmtId="0" fontId="78" fillId="40" borderId="15" xfId="0" applyFont="1" applyFill="1" applyBorder="1" applyNumberFormat="1">
      <alignment horizontal="left" vertical="center"/>
    </xf>
    <xf numFmtId="0" fontId="83" fillId="37" borderId="0" xfId="0" applyFont="1" applyFill="1" applyNumberFormat="1">
      <alignment vertical="center"/>
    </xf>
    <xf numFmtId="0" fontId="83" fillId="37" borderId="0" xfId="0" applyFont="1" applyFill="1" applyNumberFormat="1">
      <alignment vertical="center" wrapText="1"/>
    </xf>
    <xf numFmtId="49" fontId="23" fillId="37" borderId="14" xfId="0" applyFont="1" applyFill="1" applyBorder="1" applyNumberFormat="1">
      <alignment horizontal="center" vertical="center" wrapText="1"/>
    </xf>
    <xf numFmtId="0" fontId="23" fillId="37" borderId="14" xfId="0" applyFont="1" applyFill="1" applyBorder="1" applyNumberFormat="1">
      <alignment horizontal="center" vertical="center" wrapText="1"/>
    </xf>
    <xf numFmtId="0" fontId="23" fillId="37" borderId="14" xfId="0" applyFont="1" applyFill="1" applyBorder="1" applyNumberFormat="1">
      <alignment vertical="center" wrapText="1"/>
    </xf>
    <xf numFmtId="0" fontId="70" fillId="37" borderId="0" xfId="0" applyFont="1" applyFill="1" applyNumberFormat="1"/>
    <xf numFmtId="0" fontId="58" fillId="37" borderId="0" xfId="0" applyFont="1" applyFill="1" applyNumberFormat="1"/>
    <xf numFmtId="0" fontId="66" fillId="37" borderId="0" xfId="0" applyFont="1" applyFill="1" applyNumberFormat="1"/>
    <xf numFmtId="0" fontId="66" fillId="37" borderId="0" xfId="0" applyFont="1" applyFill="1" applyNumberFormat="1">
      <alignment horizontal="center"/>
    </xf>
    <xf numFmtId="0" fontId="63" fillId="0" borderId="0" xfId="0" applyFont="1" applyNumberFormat="1">
      <alignment vertical="center" wrapText="1"/>
    </xf>
    <xf numFmtId="0" fontId="65" fillId="0" borderId="0" xfId="0" applyFont="1" applyNumberFormat="1">
      <alignment vertical="center" wrapText="1"/>
    </xf>
    <xf numFmtId="0" fontId="65" fillId="37" borderId="0" xfId="0" applyFont="1" applyFill="1" applyNumberFormat="1">
      <alignment vertical="center" wrapText="1"/>
    </xf>
    <xf numFmtId="0" fontId="65" fillId="37" borderId="0" xfId="0" applyFont="1" applyFill="1" applyNumberFormat="1">
      <alignment horizontal="right" vertical="center"/>
    </xf>
    <xf numFmtId="0" fontId="65" fillId="37" borderId="0" xfId="0" applyFont="1" applyFill="1" applyNumberFormat="1">
      <alignment horizontal="right" vertical="center" wrapText="1"/>
    </xf>
    <xf numFmtId="4" fontId="65" fillId="0" borderId="0" xfId="0" applyFont="1" applyNumberFormat="1">
      <alignment horizontal="right" vertical="center" wrapText="1"/>
    </xf>
    <xf numFmtId="0" fontId="65" fillId="0" borderId="0" xfId="0" applyFont="1" applyNumberFormat="1">
      <alignment horizontal="left" vertical="center" wrapText="1" indent="1"/>
    </xf>
    <xf numFmtId="0" fontId="84" fillId="37" borderId="0" xfId="0" applyFont="1" applyFill="1" applyNumberFormat="1">
      <alignment horizontal="center" vertical="center" wrapText="1"/>
    </xf>
    <xf numFmtId="0" fontId="44" fillId="37" borderId="0" xfId="0" applyFont="1" applyFill="1" applyNumberFormat="1">
      <alignment horizontal="center" vertical="center" wrapText="1"/>
    </xf>
    <xf numFmtId="0" fontId="69" fillId="0" borderId="0" xfId="0" applyFont="1" applyNumberFormat="1">
      <alignment vertical="center" wrapText="1"/>
    </xf>
    <xf numFmtId="0" fontId="55" fillId="0" borderId="0" xfId="0" applyFont="1" applyNumberFormat="1">
      <alignment vertical="center" wrapText="1"/>
    </xf>
    <xf numFmtId="49" fontId="23" fillId="43" borderId="14" xfId="0" applyFont="1" applyFill="1" applyBorder="1" applyNumberFormat="1">
      <alignment horizontal="left" vertical="center" wrapText="1"/>
    </xf>
    <xf numFmtId="0" fontId="69" fillId="0" borderId="0" xfId="0" applyFont="1" applyNumberFormat="1">
      <alignment horizontal="center" vertical="center" wrapText="1"/>
    </xf>
    <xf numFmtId="0" fontId="23" fillId="37" borderId="26" xfId="0" applyFont="1" applyFill="1" applyBorder="1" applyNumberFormat="1">
      <alignment vertical="center" wrapText="1"/>
    </xf>
    <xf numFmtId="49" fontId="44" fillId="37" borderId="17" xfId="0" applyFont="1" applyFill="1" applyBorder="1" applyNumberFormat="1">
      <alignment horizontal="center" vertical="center" wrapText="1"/>
    </xf>
    <xf numFmtId="0" fontId="55" fillId="0" borderId="0" xfId="0" applyFont="1" applyNumberFormat="1">
      <alignment horizontal="center" vertical="center" wrapText="1"/>
    </xf>
    <xf numFmtId="0" fontId="84" fillId="0" borderId="0" xfId="0" applyFont="1" applyNumberFormat="1">
      <alignment horizontal="center" vertical="center" wrapText="1"/>
    </xf>
    <xf numFmtId="0" fontId="77" fillId="0" borderId="0" xfId="0" applyFont="1" applyNumberFormat="1">
      <alignment vertical="center" wrapText="1"/>
    </xf>
    <xf numFmtId="49" fontId="77" fillId="0" borderId="14" xfId="0" applyFont="1" applyBorder="1" applyNumberFormat="1">
      <alignment horizontal="left" vertical="center" wrapText="1"/>
    </xf>
    <xf numFmtId="0" fontId="85" fillId="37" borderId="0" xfId="0" applyFont="1" applyFill="1" applyNumberFormat="1">
      <alignment horizontal="center" vertical="center" wrapText="1"/>
    </xf>
    <xf numFmtId="49" fontId="77" fillId="0" borderId="19" xfId="0" applyFont="1" applyBorder="1" applyNumberFormat="1">
      <alignment horizontal="left" vertical="center" wrapText="1"/>
    </xf>
    <xf numFmtId="0" fontId="55" fillId="0" borderId="0" xfId="0" applyFont="1" applyNumberFormat="1">
      <alignment vertical="center"/>
    </xf>
    <xf numFmtId="0" fontId="55" fillId="37" borderId="0" xfId="0" applyFont="1" applyFill="1" applyNumberFormat="1"/>
    <xf numFmtId="0" fontId="55" fillId="37" borderId="0" xfId="0" applyFont="1" applyFill="1" applyNumberFormat="1">
      <alignment vertical="center" wrapText="1"/>
    </xf>
    <xf numFmtId="0" fontId="55" fillId="0" borderId="0" xfId="0" applyFont="1" applyNumberFormat="1">
      <alignment vertical="center" wrapText="1"/>
    </xf>
    <xf numFmtId="49" fontId="23" fillId="0" borderId="0" xfId="0" applyFont="1" applyNumberFormat="1">
      <alignment vertical="top"/>
    </xf>
    <xf numFmtId="0" fontId="23" fillId="0" borderId="0" xfId="0" applyFont="1" applyNumberFormat="1">
      <alignment vertical="center" wrapText="1"/>
    </xf>
    <xf numFmtId="0" fontId="45" fillId="37" borderId="0" xfId="0" applyFont="1" applyFill="1" applyNumberFormat="1">
      <alignment horizontal="center" vertical="center" wrapText="1"/>
    </xf>
    <xf numFmtId="0" fontId="50" fillId="0" borderId="0" xfId="0" applyFont="1" applyNumberFormat="1">
      <alignment vertical="center" wrapText="1"/>
    </xf>
    <xf numFmtId="49" fontId="23" fillId="0" borderId="14" xfId="0" applyFont="1" applyBorder="1" applyNumberFormat="1">
      <alignment horizontal="left" vertical="center" wrapText="1"/>
    </xf>
    <xf numFmtId="0" fontId="23" fillId="0" borderId="0" xfId="0" applyFont="1" applyNumberFormat="1">
      <alignment vertical="center" wrapText="1"/>
    </xf>
    <xf numFmtId="49" fontId="55" fillId="0" borderId="0" xfId="0" applyFont="1" applyNumberFormat="1">
      <alignment vertical="center" wrapText="1"/>
    </xf>
    <xf numFmtId="0" fontId="55" fillId="0" borderId="0" xfId="0" applyFont="1" applyNumberFormat="1">
      <alignment vertical="center" wrapText="1"/>
    </xf>
    <xf numFmtId="0" fontId="23" fillId="0" borderId="14" xfId="0" applyFont="1" applyBorder="1" applyNumberFormat="1">
      <alignment horizontal="center" vertical="center" wrapText="1"/>
    </xf>
    <xf numFmtId="14"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14" fontId="86" fillId="40" borderId="17" xfId="0" applyFont="1" applyFill="1" applyBorder="1" applyNumberFormat="1">
      <alignment horizontal="center" vertical="center" wrapText="1"/>
    </xf>
    <xf numFmtId="0" fontId="55" fillId="0" borderId="0" xfId="0" applyFont="1" applyNumberFormat="1">
      <alignment horizontal="left" vertical="center" wrapText="1"/>
    </xf>
    <xf numFmtId="49" fontId="55" fillId="0" borderId="0" xfId="0" applyFont="1" applyNumberFormat="1">
      <alignment horizontal="left" vertical="center" wrapText="1"/>
    </xf>
    <xf numFmtId="0" fontId="55" fillId="0" borderId="0" xfId="0" applyFont="1" applyNumberFormat="1">
      <alignment vertical="center" wrapText="1"/>
    </xf>
    <xf numFmtId="49" fontId="34" fillId="0" borderId="14" xfId="0" applyFont="1" applyBorder="1" applyNumberFormat="1">
      <alignment horizontal="left" vertical="center" wrapText="1"/>
    </xf>
    <xf numFmtId="14" fontId="23" fillId="43" borderId="14" xfId="0" applyFont="1" applyFill="1" applyBorder="1" applyNumberFormat="1">
      <alignment horizontal="center" vertical="center" wrapText="1"/>
    </xf>
    <xf numFmtId="0" fontId="23" fillId="0" borderId="14" xfId="0" applyFont="1" applyBorder="1" applyNumberFormat="1">
      <alignment horizontal="center" vertical="center" wrapText="1"/>
    </xf>
    <xf numFmtId="0" fontId="23" fillId="0" borderId="0" xfId="0" applyFont="1" applyNumberFormat="1">
      <alignment horizontal="center" vertical="center" wrapText="1"/>
    </xf>
    <xf numFmtId="0" fontId="23" fillId="0" borderId="14" xfId="0" applyFont="1" applyBorder="1" applyNumberFormat="1">
      <alignment horizontal="center" vertical="center" wrapText="1"/>
    </xf>
    <xf numFmtId="49" fontId="23" fillId="43" borderId="14" xfId="0" applyFont="1" applyFill="1" applyBorder="1" applyNumberFormat="1">
      <alignment horizontal="center" vertical="center" wrapText="1"/>
    </xf>
    <xf numFmtId="0" fontId="87" fillId="0" borderId="0" xfId="0" applyFont="1" applyNumberFormat="1">
      <alignment horizontal="center" vertical="center" wrapText="1"/>
    </xf>
    <xf numFmtId="0" fontId="45" fillId="0" borderId="0" xfId="0" applyFont="1" applyNumberFormat="1">
      <alignment horizontal="center" vertical="center" wrapText="1"/>
    </xf>
    <xf numFmtId="49" fontId="23" fillId="0" borderId="14" xfId="0" applyFont="1" applyBorder="1" applyNumberFormat="1">
      <alignment horizontal="center" vertical="center" wrapText="1"/>
    </xf>
    <xf numFmtId="0" fontId="0" fillId="37" borderId="16" xfId="0" applyFont="1" applyFill="1" applyBorder="1" applyNumberFormat="1">
      <alignment horizontal="left" vertical="center" wrapText="1"/>
    </xf>
    <xf numFmtId="49" fontId="36" fillId="40" borderId="17" xfId="0" applyFont="1" applyFill="1" applyBorder="1" applyNumberFormat="1">
      <alignment horizontal="center" vertical="center"/>
    </xf>
    <xf numFmtId="0" fontId="41" fillId="0" borderId="0" xfId="0" applyFont="1" applyNumberFormat="1">
      <alignment vertical="center" wrapText="1"/>
    </xf>
    <xf numFmtId="0" fontId="40" fillId="0" borderId="0" xfId="0" applyFont="1" applyNumberFormat="1">
      <alignment horizontal="center" vertical="center" wrapText="1"/>
    </xf>
    <xf numFmtId="0" fontId="23" fillId="0" borderId="0" xfId="0" applyFont="1" applyNumberFormat="1">
      <alignment horizontal="center" vertical="center" wrapText="1"/>
    </xf>
    <xf numFmtId="0" fontId="23" fillId="0" borderId="0" xfId="0" applyFont="1" applyNumberFormat="1">
      <alignment vertical="center" wrapText="1"/>
    </xf>
    <xf numFmtId="0" fontId="54" fillId="0" borderId="0" xfId="0" applyFont="1" applyNumberFormat="1">
      <alignment horizontal="center" vertical="center" wrapText="1"/>
    </xf>
    <xf numFmtId="0" fontId="88" fillId="0" borderId="0" xfId="0" applyFont="1" applyNumberFormat="1">
      <alignment vertical="center" wrapText="1"/>
    </xf>
    <xf numFmtId="49" fontId="54" fillId="0" borderId="0" xfId="0" applyFont="1" applyNumberFormat="1">
      <alignment horizontal="center" vertical="center" wrapText="1"/>
    </xf>
    <xf numFmtId="0" fontId="54" fillId="0" borderId="0" xfId="0" applyFont="1" applyNumberFormat="1">
      <alignment vertical="center" wrapText="1"/>
    </xf>
    <xf numFmtId="49" fontId="23" fillId="0" borderId="0" xfId="0" applyFont="1" applyNumberFormat="1">
      <alignment horizontal="center" vertical="top" wrapText="1"/>
    </xf>
    <xf numFmtId="49" fontId="23" fillId="0" borderId="14" xfId="0" applyFont="1" applyBorder="1" applyNumberFormat="1">
      <alignment horizontal="center" vertical="center" wrapText="1"/>
    </xf>
    <xf numFmtId="49" fontId="23" fillId="42" borderId="14" xfId="0" applyFont="1" applyFill="1" applyBorder="1" applyNumberFormat="1">
      <alignment vertical="center" wrapText="1"/>
      <protection locked="0"/>
    </xf>
    <xf numFmtId="4" fontId="23" fillId="39" borderId="14" xfId="0" applyFont="1" applyFill="1" applyBorder="1" applyNumberFormat="1">
      <alignment horizontal="right" vertical="center" wrapText="1"/>
      <protection locked="0"/>
    </xf>
    <xf numFmtId="0" fontId="23" fillId="0" borderId="15" xfId="0" applyFont="1" applyBorder="1" applyNumberFormat="1">
      <alignment vertical="top" wrapText="1"/>
    </xf>
    <xf numFmtId="0" fontId="89" fillId="0" borderId="0" xfId="0" applyFont="1" applyNumberFormat="1">
      <alignment vertical="center" wrapText="1"/>
    </xf>
    <xf numFmtId="0" fontId="59" fillId="0" borderId="0" xfId="0" applyFont="1" applyNumberFormat="1">
      <alignment vertical="center" wrapText="1"/>
    </xf>
    <xf numFmtId="166" fontId="23" fillId="39" borderId="14" xfId="0" applyFont="1" applyFill="1" applyBorder="1" applyNumberFormat="1">
      <alignment horizontal="right" vertical="center" wrapText="1"/>
      <protection locked="0"/>
    </xf>
    <xf numFmtId="0" fontId="23" fillId="0" borderId="30" xfId="0" applyFont="1" applyBorder="1" applyNumberFormat="1">
      <alignment horizontal="center" vertical="center" wrapText="1"/>
    </xf>
    <xf numFmtId="0" fontId="23" fillId="42" borderId="14" xfId="0" applyFont="1" applyFill="1" applyBorder="1" applyNumberFormat="1">
      <alignment horizontal="left" vertical="center" wrapText="1" indent="2"/>
      <protection locked="0"/>
    </xf>
    <xf numFmtId="49" fontId="55" fillId="0" borderId="0" xfId="0" applyFont="1" applyNumberFormat="1">
      <alignment horizontal="center" vertical="center" wrapText="1"/>
    </xf>
    <xf numFmtId="0" fontId="55" fillId="0" borderId="30" xfId="0" applyFont="1" applyBorder="1" applyNumberFormat="1">
      <alignment horizontal="center" vertical="center" wrapText="1"/>
    </xf>
    <xf numFmtId="0" fontId="55" fillId="0" borderId="14" xfId="0" applyFont="1" applyBorder="1" applyNumberFormat="1">
      <alignment horizontal="left" vertical="center" wrapText="1" indent="2"/>
    </xf>
    <xf numFmtId="0" fontId="55" fillId="0" borderId="14" xfId="0" applyFont="1" applyBorder="1" applyNumberFormat="1">
      <alignment horizontal="center" vertical="center" wrapText="1"/>
    </xf>
    <xf numFmtId="0" fontId="55" fillId="0" borderId="14" xfId="0" applyFont="1" applyBorder="1" applyNumberFormat="1">
      <alignment vertical="center" wrapText="1"/>
    </xf>
    <xf numFmtId="0" fontId="23" fillId="0" borderId="14" xfId="0" applyFont="1" applyBorder="1" applyNumberFormat="1">
      <alignment horizontal="left" vertical="center" wrapText="1" indent="3"/>
    </xf>
    <xf numFmtId="49" fontId="23" fillId="42" borderId="14" xfId="0" applyFont="1" applyFill="1" applyBorder="1" applyNumberFormat="1">
      <alignment horizontal="center" vertical="center" wrapText="1"/>
      <protection locked="0"/>
    </xf>
    <xf numFmtId="0" fontId="23" fillId="39" borderId="14" xfId="0" applyFont="1" applyFill="1" applyBorder="1" applyNumberFormat="1">
      <alignment horizontal="left" vertical="center" wrapText="1"/>
      <protection locked="0"/>
    </xf>
    <xf numFmtId="0" fontId="22" fillId="0" borderId="0" xfId="0" applyFont="1" applyNumberFormat="1">
      <alignment vertical="center" wrapText="1"/>
    </xf>
    <xf numFmtId="4" fontId="23" fillId="42" borderId="14" xfId="0" applyFont="1" applyFill="1" applyBorder="1" applyNumberFormat="1">
      <alignment horizontal="right" vertical="center" wrapText="1"/>
      <protection locked="0"/>
    </xf>
    <xf numFmtId="4" fontId="23" fillId="38" borderId="14" xfId="0" applyFont="1" applyFill="1" applyBorder="1" applyNumberFormat="1">
      <alignment horizontal="right" vertical="center" wrapText="1"/>
    </xf>
    <xf numFmtId="0" fontId="23" fillId="0" borderId="14" xfId="0" applyFont="1" applyBorder="1" applyNumberFormat="1">
      <alignment horizontal="left" vertical="center" wrapText="1" indent="1"/>
    </xf>
    <xf numFmtId="49" fontId="77" fillId="0" borderId="0" xfId="0" applyFont="1" applyNumberFormat="1">
      <alignment horizontal="center" vertical="center" wrapText="1"/>
    </xf>
    <xf numFmtId="49" fontId="77" fillId="0" borderId="30" xfId="0" applyFont="1" applyBorder="1" applyNumberFormat="1">
      <alignment horizontal="center" vertical="center" wrapText="1"/>
    </xf>
    <xf numFmtId="0" fontId="77" fillId="0" borderId="14" xfId="0" applyFont="1" applyBorder="1" applyNumberFormat="1">
      <alignment horizontal="left" vertical="center" wrapText="1" indent="2"/>
    </xf>
    <xf numFmtId="0" fontId="77" fillId="0" borderId="14" xfId="0" applyFont="1" applyBorder="1" applyNumberFormat="1">
      <alignment horizontal="center" vertical="center" wrapText="1"/>
    </xf>
    <xf numFmtId="0" fontId="77" fillId="0" borderId="14" xfId="0" applyFont="1" applyBorder="1" applyNumberFormat="1">
      <alignment vertical="center" wrapText="1"/>
    </xf>
    <xf numFmtId="0" fontId="90" fillId="0" borderId="0" xfId="0" applyFont="1" applyNumberFormat="1">
      <alignment vertical="center" wrapText="1"/>
    </xf>
    <xf numFmtId="0" fontId="68" fillId="0" borderId="0" xfId="0" applyFont="1" applyNumberFormat="1">
      <alignment vertical="center" wrapText="1"/>
    </xf>
    <xf numFmtId="0" fontId="77" fillId="0" borderId="30" xfId="0" applyFont="1" applyBorder="1" applyNumberFormat="1">
      <alignment horizontal="center" vertical="center" wrapText="1"/>
    </xf>
    <xf numFmtId="0" fontId="77" fillId="0" borderId="14" xfId="0" applyFont="1" applyBorder="1" applyNumberFormat="1">
      <alignment horizontal="left" vertical="center" wrapText="1" indent="3"/>
    </xf>
    <xf numFmtId="4" fontId="77" fillId="0" borderId="14" xfId="0" applyFont="1" applyBorder="1" applyNumberFormat="1">
      <alignment horizontal="right" vertical="center" wrapText="1"/>
    </xf>
    <xf numFmtId="49" fontId="23" fillId="40" borderId="16" xfId="0" applyFont="1" applyFill="1" applyBorder="1" applyNumberFormat="1">
      <alignment vertical="center" wrapText="1"/>
    </xf>
    <xf numFmtId="49" fontId="48" fillId="40" borderId="17" xfId="0" applyFont="1" applyFill="1" applyBorder="1" applyNumberFormat="1">
      <alignment horizontal="left" vertical="center" indent="2"/>
    </xf>
    <xf numFmtId="0" fontId="23" fillId="40" borderId="17" xfId="0" applyFont="1" applyFill="1" applyBorder="1" applyNumberFormat="1">
      <alignment vertical="center" wrapText="1"/>
    </xf>
    <xf numFmtId="0" fontId="54" fillId="40" borderId="15" xfId="0" applyFont="1" applyFill="1" applyBorder="1" applyNumberFormat="1">
      <alignment vertical="center" wrapText="1"/>
    </xf>
    <xf numFmtId="14" fontId="23" fillId="0" borderId="0" xfId="0" applyFont="1" applyNumberFormat="1">
      <alignment horizontal="center" vertical="center" wrapText="1"/>
    </xf>
    <xf numFmtId="49" fontId="36" fillId="0" borderId="0" xfId="0" applyFont="1" applyNumberFormat="1">
      <alignment horizontal="center" vertical="center"/>
    </xf>
    <xf numFmtId="0" fontId="23" fillId="0" borderId="14" xfId="0" applyFont="1" applyBorder="1" applyNumberFormat="1">
      <alignment horizontal="left" vertical="center" wrapText="1" indent="2"/>
    </xf>
    <xf numFmtId="166" fontId="23" fillId="42" borderId="14" xfId="0" applyFont="1" applyFill="1" applyBorder="1" applyNumberFormat="1">
      <alignment horizontal="right" vertical="center" wrapText="1"/>
      <protection locked="0"/>
    </xf>
    <xf numFmtId="0" fontId="23" fillId="0" borderId="19" xfId="0" applyFont="1" applyBorder="1" applyNumberFormat="1">
      <alignment horizontal="center" vertical="center" wrapText="1"/>
    </xf>
    <xf numFmtId="4" fontId="23" fillId="38" borderId="19" xfId="0" applyFont="1" applyFill="1" applyBorder="1" applyNumberFormat="1">
      <alignment horizontal="right" vertical="center" wrapText="1"/>
    </xf>
    <xf numFmtId="49" fontId="48" fillId="40" borderId="17" xfId="0" applyFont="1" applyFill="1" applyBorder="1" applyNumberFormat="1">
      <alignment horizontal="left" vertical="center" indent="1"/>
    </xf>
    <xf numFmtId="0" fontId="23" fillId="0" borderId="0" xfId="0" applyFont="1" applyNumberFormat="1">
      <alignment horizontal="left" vertical="center" wrapText="1"/>
    </xf>
    <xf numFmtId="0" fontId="23" fillId="0" borderId="0" xfId="0" applyFont="1" applyNumberFormat="1">
      <alignment vertical="center"/>
    </xf>
    <xf numFmtId="0" fontId="0" fillId="0" borderId="0" xfId="0" applyFont="1" applyNumberFormat="1">
      <alignment vertical="center"/>
    </xf>
    <xf numFmtId="0" fontId="54" fillId="0" borderId="0" xfId="0" applyFont="1" applyNumberFormat="1">
      <alignment vertical="center"/>
    </xf>
    <xf numFmtId="0" fontId="23" fillId="0" borderId="0" xfId="0" applyFont="1" applyNumberFormat="1">
      <alignment vertical="center"/>
    </xf>
    <xf numFmtId="0" fontId="91" fillId="0" borderId="0" xfId="0" applyFont="1" applyNumberFormat="1">
      <alignment vertical="center"/>
    </xf>
    <xf numFmtId="0" fontId="49" fillId="0" borderId="0" xfId="0" applyFont="1" applyNumberFormat="1">
      <alignment vertical="center"/>
    </xf>
    <xf numFmtId="0" fontId="23" fillId="0" borderId="0" xfId="0" applyFont="1" applyNumberFormat="1">
      <alignment vertical="center" wrapText="1"/>
    </xf>
    <xf numFmtId="0" fontId="49" fillId="0" borderId="0" xfId="0" applyFont="1" applyNumberFormat="1">
      <alignment vertical="center"/>
    </xf>
    <xf numFmtId="0" fontId="91" fillId="0" borderId="0" xfId="0" applyFont="1" applyNumberFormat="1">
      <alignment vertical="center"/>
    </xf>
    <xf numFmtId="0" fontId="37" fillId="0" borderId="0" xfId="0" applyFont="1" applyNumberFormat="1">
      <alignment vertical="center"/>
    </xf>
    <xf numFmtId="0" fontId="23" fillId="0" borderId="0" xfId="0" applyFont="1" applyNumberFormat="1">
      <alignment horizontal="center" vertical="center" wrapText="1"/>
    </xf>
    <xf numFmtId="49" fontId="44" fillId="0" borderId="0" xfId="0" applyFont="1" applyNumberFormat="1">
      <alignment horizontal="center" vertical="center" wrapText="1"/>
    </xf>
    <xf numFmtId="49" fontId="44" fillId="0" borderId="14" xfId="0" applyFont="1" applyBorder="1" applyNumberFormat="1">
      <alignment horizontal="center" vertical="center" wrapText="1"/>
    </xf>
    <xf numFmtId="0" fontId="54" fillId="0" borderId="0" xfId="0" applyFont="1" applyNumberFormat="1">
      <alignment vertical="center"/>
    </xf>
    <xf numFmtId="0" fontId="0" fillId="0" borderId="0" xfId="0" applyFont="1" applyNumberFormat="1">
      <alignment vertical="center"/>
    </xf>
    <xf numFmtId="0" fontId="55" fillId="0" borderId="0" xfId="0" applyFont="1" applyNumberFormat="1">
      <alignment horizontal="center" vertical="center"/>
    </xf>
    <xf numFmtId="0" fontId="23" fillId="0" borderId="0" xfId="0" applyFont="1" applyNumberFormat="1">
      <alignment horizontal="center" vertical="center" wrapText="1"/>
    </xf>
    <xf numFmtId="0" fontId="23" fillId="40" borderId="16"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0" fontId="0" fillId="40" borderId="15" xfId="0" applyFont="1" applyFill="1" applyBorder="1" applyNumberFormat="1">
      <alignment vertical="center"/>
    </xf>
    <xf numFmtId="49" fontId="23" fillId="0" borderId="19" xfId="0" applyFont="1" applyBorder="1" applyNumberFormat="1">
      <alignment horizontal="center" vertical="center" wrapText="1"/>
    </xf>
    <xf numFmtId="49" fontId="80" fillId="0" borderId="14" xfId="0" applyFont="1" applyBorder="1" applyNumberFormat="1">
      <alignment horizontal="left" vertical="center" wrapText="1" indent="1"/>
    </xf>
    <xf numFmtId="0" fontId="54" fillId="0" borderId="0" xfId="0" applyFont="1" applyNumberFormat="1">
      <alignment vertical="center"/>
    </xf>
    <xf numFmtId="0" fontId="79" fillId="0" borderId="0" xfId="0" applyFont="1" applyNumberFormat="1">
      <alignment vertical="center"/>
    </xf>
    <xf numFmtId="0" fontId="0" fillId="0" borderId="0" xfId="0" applyFont="1" applyNumberFormat="1">
      <alignment vertical="center"/>
    </xf>
    <xf numFmtId="49" fontId="48" fillId="40" borderId="15" xfId="0" applyFont="1" applyFill="1" applyBorder="1" applyNumberFormat="1">
      <alignment horizontal="left" vertical="center" indent="1"/>
    </xf>
    <xf numFmtId="49" fontId="36" fillId="40" borderId="15" xfId="0" applyFont="1" applyFill="1" applyBorder="1" applyNumberFormat="1">
      <alignment horizontal="right" vertical="center" wrapText="1"/>
    </xf>
    <xf numFmtId="0" fontId="80" fillId="44" borderId="0" xfId="0" applyFont="1" applyFill="1" applyNumberFormat="1">
      <alignment vertical="top"/>
    </xf>
    <xf numFmtId="49" fontId="40" fillId="0" borderId="0" xfId="0" applyFont="1" applyNumberFormat="1">
      <alignment horizontal="center" vertical="center" wrapText="1"/>
    </xf>
    <xf numFmtId="0" fontId="55" fillId="0" borderId="0" xfId="0" applyFont="1" applyNumberFormat="1">
      <alignment vertical="center" wrapText="1"/>
    </xf>
    <xf numFmtId="0" fontId="40" fillId="0" borderId="0" xfId="0" applyFont="1" applyNumberFormat="1">
      <alignment vertical="center" wrapText="1"/>
    </xf>
    <xf numFmtId="0" fontId="23" fillId="0" borderId="0" xfId="0" applyFont="1" applyNumberFormat="1">
      <alignment horizontal="center" vertical="center" wrapText="1"/>
    </xf>
    <xf numFmtId="0" fontId="36" fillId="0" borderId="0" xfId="0" applyFont="1" applyNumberFormat="1">
      <alignment horizontal="center" vertical="center" wrapText="1"/>
    </xf>
    <xf numFmtId="49" fontId="40" fillId="0" borderId="0" xfId="0" applyFont="1" applyNumberFormat="1">
      <alignment horizontal="center" vertical="center" wrapText="1"/>
    </xf>
    <xf numFmtId="4" fontId="23" fillId="0" borderId="0" xfId="0" applyFont="1" applyNumberFormat="1">
      <alignment horizontal="right" vertical="center" wrapText="1"/>
    </xf>
    <xf numFmtId="9" fontId="36" fillId="0" borderId="0" xfId="0" applyFont="1" applyNumberFormat="1">
      <alignment horizontal="center" vertical="center" wrapText="1"/>
    </xf>
    <xf numFmtId="0" fontId="76" fillId="0" borderId="0" xfId="0" applyFont="1" applyNumberFormat="1">
      <alignment vertical="center" wrapText="1"/>
    </xf>
    <xf numFmtId="0" fontId="55" fillId="0" borderId="0" xfId="0" applyFont="1" applyNumberFormat="1">
      <alignment vertical="center" wrapText="1"/>
    </xf>
    <xf numFmtId="0" fontId="40" fillId="0" borderId="0" xfId="0" applyFont="1" applyNumberFormat="1">
      <alignment vertical="center" wrapText="1"/>
    </xf>
    <xf numFmtId="49" fontId="68" fillId="0" borderId="0" xfId="0" applyFont="1" applyNumberFormat="1">
      <alignment horizontal="center" vertical="center" wrapText="1"/>
    </xf>
    <xf numFmtId="0" fontId="68" fillId="0" borderId="0" xfId="0" applyFont="1" applyNumberFormat="1">
      <alignment vertical="center" wrapText="1"/>
    </xf>
    <xf numFmtId="0" fontId="0" fillId="0" borderId="0" xfId="0" applyFont="1" applyNumberFormat="1">
      <alignment vertical="top"/>
    </xf>
    <xf numFmtId="49" fontId="0" fillId="0" borderId="0" xfId="0" applyFont="1" applyNumberFormat="1">
      <alignment vertical="top"/>
    </xf>
    <xf numFmtId="49" fontId="55" fillId="0" borderId="0" xfId="0" applyFont="1" applyNumberFormat="1">
      <alignment vertical="top"/>
    </xf>
    <xf numFmtId="49" fontId="54" fillId="0" borderId="0" xfId="0" applyFont="1" applyNumberFormat="1">
      <alignment vertical="top"/>
    </xf>
    <xf numFmtId="49" fontId="55" fillId="0" borderId="0" xfId="0" applyFont="1" applyNumberFormat="1">
      <alignment vertical="top"/>
    </xf>
    <xf numFmtId="49" fontId="54" fillId="0" borderId="0" xfId="0" applyFont="1" applyNumberFormat="1">
      <alignment vertical="top"/>
    </xf>
    <xf numFmtId="49" fontId="54" fillId="0" borderId="0" xfId="0" applyFont="1" applyNumberFormat="1">
      <alignment vertical="top"/>
    </xf>
    <xf numFmtId="0" fontId="54" fillId="0" borderId="0" xfId="0" applyFont="1" applyNumberFormat="1">
      <alignment vertical="top"/>
    </xf>
    <xf numFmtId="0" fontId="79" fillId="0" borderId="0" xfId="0" applyFont="1" applyNumberFormat="1">
      <alignment vertical="top"/>
    </xf>
    <xf numFmtId="0" fontId="92" fillId="0" borderId="0" xfId="0" applyFont="1" applyNumberFormat="1">
      <alignment vertical="top"/>
    </xf>
    <xf numFmtId="0" fontId="54" fillId="0" borderId="0" xfId="0" applyFont="1" applyNumberFormat="1">
      <alignment horizontal="center" vertical="center" wrapText="1"/>
    </xf>
    <xf numFmtId="0" fontId="55" fillId="0" borderId="0" xfId="0" applyFont="1" applyNumberFormat="1">
      <alignment horizontal="center" vertical="center" wrapText="1"/>
    </xf>
    <xf numFmtId="0" fontId="55" fillId="0" borderId="14" xfId="0" applyFont="1" applyBorder="1" applyNumberFormat="1">
      <alignment horizontal="left" vertical="center" wrapText="1"/>
    </xf>
    <xf numFmtId="0" fontId="55" fillId="0" borderId="14" xfId="0" applyFont="1" applyBorder="1" applyNumberFormat="1">
      <alignment vertical="center" wrapText="1"/>
    </xf>
    <xf numFmtId="49" fontId="0" fillId="0" borderId="15" xfId="0" applyFont="1" applyBorder="1" applyNumberFormat="1">
      <alignment horizontal="center" vertical="center" wrapText="1"/>
    </xf>
    <xf numFmtId="49" fontId="0" fillId="0" borderId="14" xfId="0" applyFont="1" applyBorder="1" applyNumberFormat="1">
      <alignment horizontal="center" vertical="center"/>
    </xf>
    <xf numFmtId="4" fontId="0" fillId="38" borderId="14" xfId="0" applyFont="1" applyFill="1" applyBorder="1" applyNumberFormat="1">
      <alignment horizontal="right" vertical="center" wrapText="1"/>
    </xf>
    <xf numFmtId="0" fontId="0" fillId="0" borderId="14" xfId="0" applyFont="1" applyBorder="1" applyNumberFormat="1">
      <alignment vertical="center" wrapText="1"/>
    </xf>
    <xf numFmtId="49" fontId="0" fillId="0" borderId="31" xfId="0" applyFont="1" applyBorder="1" applyNumberFormat="1">
      <alignment horizontal="center" vertical="center" wrapText="1"/>
    </xf>
    <xf numFmtId="4" fontId="0" fillId="42" borderId="14" xfId="0" applyFont="1" applyFill="1" applyBorder="1" applyNumberFormat="1">
      <alignment horizontal="right" vertical="center" wrapText="1"/>
      <protection locked="0"/>
    </xf>
    <xf numFmtId="49" fontId="0" fillId="42" borderId="14" xfId="0" applyFont="1" applyFill="1" applyBorder="1" applyNumberFormat="1">
      <alignment horizontal="center" vertical="center" wrapText="1"/>
      <protection locked="0"/>
    </xf>
    <xf numFmtId="4" fontId="54" fillId="0" borderId="14" xfId="0" applyFont="1" applyBorder="1" applyNumberFormat="1">
      <alignment horizontal="right" vertical="center" wrapText="1"/>
    </xf>
    <xf numFmtId="49" fontId="0" fillId="40" borderId="32" xfId="0" applyFont="1" applyFill="1" applyBorder="1" applyNumberFormat="1">
      <alignment horizontal="center" vertical="center"/>
    </xf>
    <xf numFmtId="49" fontId="0" fillId="40" borderId="17" xfId="0" applyFont="1" applyFill="1" applyBorder="1" applyNumberFormat="1">
      <alignment horizontal="center" vertical="center"/>
    </xf>
    <xf numFmtId="49" fontId="48" fillId="40" borderId="17" xfId="0" applyFont="1" applyFill="1" applyBorder="1" applyNumberFormat="1">
      <alignment horizontal="left" vertical="center"/>
    </xf>
    <xf numFmtId="49" fontId="48" fillId="40" borderId="15" xfId="0" applyFont="1" applyFill="1" applyBorder="1" applyNumberFormat="1">
      <alignment horizontal="left" vertical="center" indent="1"/>
    </xf>
    <xf numFmtId="49" fontId="48" fillId="40" borderId="16" xfId="0" applyFont="1" applyFill="1" applyBorder="1" applyNumberFormat="1">
      <alignment horizontal="left" vertical="center"/>
    </xf>
    <xf numFmtId="49" fontId="48" fillId="40" borderId="17" xfId="0" applyFont="1" applyFill="1" applyBorder="1" applyNumberFormat="1">
      <alignment horizontal="left" vertical="center" indent="1"/>
    </xf>
    <xf numFmtId="49" fontId="48" fillId="40" borderId="17" xfId="0" applyFont="1" applyFill="1" applyBorder="1" applyNumberFormat="1">
      <alignment horizontal="left" vertical="center"/>
    </xf>
    <xf numFmtId="49" fontId="48" fillId="40" borderId="15" xfId="0" applyFont="1" applyFill="1" applyBorder="1" applyNumberFormat="1">
      <alignment horizontal="left" vertical="center" indent="1"/>
    </xf>
    <xf numFmtId="0" fontId="48" fillId="0" borderId="14" xfId="0" applyFont="1" applyBorder="1" applyNumberFormat="1">
      <alignment horizontal="left" vertical="center" indent="1"/>
    </xf>
    <xf numFmtId="0" fontId="23" fillId="0" borderId="0" xfId="0" applyFont="1" applyNumberFormat="1">
      <alignment horizontal="right" vertical="center" wrapText="1"/>
    </xf>
    <xf numFmtId="0" fontId="0" fillId="0" borderId="0" xfId="0" applyFont="1" applyNumberFormat="1">
      <alignment vertical="center"/>
    </xf>
    <xf numFmtId="0" fontId="53" fillId="0" borderId="0" xfId="0" applyFont="1" applyNumberFormat="1">
      <alignment horizontal="right" vertical="top" wrapText="1"/>
    </xf>
    <xf numFmtId="0" fontId="23" fillId="0" borderId="0" xfId="0" applyFont="1" applyNumberFormat="1">
      <alignment vertical="top" wrapText="1"/>
    </xf>
    <xf numFmtId="0" fontId="23" fillId="0" borderId="0" xfId="0" applyFont="1" applyNumberFormat="1">
      <alignment horizontal="left" vertical="top" wrapText="1"/>
    </xf>
    <xf numFmtId="0" fontId="44" fillId="0" borderId="0" xfId="0" applyFont="1" applyNumberFormat="1">
      <alignment horizontal="center" vertical="center" wrapText="1"/>
    </xf>
    <xf numFmtId="4" fontId="23" fillId="0" borderId="14" xfId="0" applyFont="1" applyBorder="1" applyNumberFormat="1">
      <alignment horizontal="center" vertical="center" wrapText="1"/>
    </xf>
    <xf numFmtId="49" fontId="34" fillId="39" borderId="16" xfId="0" applyFont="1" applyFill="1" applyBorder="1" applyNumberFormat="1">
      <alignment horizontal="left" vertical="center" wrapText="1"/>
      <protection locked="0"/>
    </xf>
    <xf numFmtId="49" fontId="34" fillId="39" borderId="16" xfId="0" applyFont="1" applyFill="1" applyBorder="1" applyNumberFormat="1">
      <alignment horizontal="left" vertical="center" wrapText="1"/>
      <protection locked="0"/>
    </xf>
    <xf numFmtId="49" fontId="23" fillId="42" borderId="14" xfId="0" applyFont="1" applyFill="1" applyBorder="1" applyNumberFormat="1">
      <alignment horizontal="left" vertical="center" wrapText="1"/>
      <protection locked="0"/>
    </xf>
    <xf numFmtId="0" fontId="53" fillId="0" borderId="0" xfId="0" applyFont="1" applyNumberFormat="1">
      <alignment vertical="top"/>
    </xf>
    <xf numFmtId="49" fontId="23" fillId="0" borderId="33" xfId="0" applyFont="1" applyBorder="1" applyNumberFormat="1">
      <alignment horizontal="center" vertical="center" wrapText="1"/>
    </xf>
    <xf numFmtId="0" fontId="23" fillId="0" borderId="33" xfId="0" applyFont="1" applyBorder="1" applyNumberFormat="1">
      <alignment horizontal="left" vertical="center" wrapText="1"/>
    </xf>
    <xf numFmtId="0" fontId="23" fillId="0" borderId="33" xfId="0" applyFont="1" applyBorder="1" applyNumberFormat="1">
      <alignment horizontal="left" vertical="center" wrapText="1" indent="1"/>
    </xf>
    <xf numFmtId="4" fontId="23" fillId="42" borderId="33" xfId="0" applyFont="1" applyFill="1" applyBorder="1" applyNumberFormat="1">
      <alignment horizontal="right" vertical="center" wrapText="1"/>
      <protection locked="0"/>
    </xf>
    <xf numFmtId="49" fontId="23" fillId="0" borderId="34" xfId="0" applyFont="1" applyBorder="1" applyNumberFormat="1">
      <alignment horizontal="center" vertical="center" wrapText="1"/>
    </xf>
    <xf numFmtId="49" fontId="23" fillId="42" borderId="14" xfId="0" applyFont="1" applyFill="1" applyBorder="1" applyNumberFormat="1">
      <alignment horizontal="left" vertical="center" wrapText="1" indent="1"/>
      <protection locked="0"/>
    </xf>
    <xf numFmtId="0" fontId="23" fillId="0" borderId="33" xfId="0" applyFont="1" applyBorder="1" applyNumberFormat="1">
      <alignment horizontal="left" vertical="center" wrapText="1" indent="2"/>
    </xf>
    <xf numFmtId="0" fontId="54" fillId="0" borderId="0" xfId="0" applyFont="1" applyNumberFormat="1">
      <alignment horizontal="center" vertical="center" wrapText="1"/>
    </xf>
    <xf numFmtId="49" fontId="23" fillId="0" borderId="0" xfId="0" applyFont="1" applyNumberFormat="1">
      <alignment horizontal="left" vertical="center" wrapText="1"/>
    </xf>
    <xf numFmtId="0" fontId="88" fillId="0" borderId="0" xfId="0" applyFont="1" applyNumberFormat="1">
      <alignment vertical="center" wrapText="1"/>
    </xf>
    <xf numFmtId="0" fontId="88" fillId="0" borderId="0" xfId="0" applyFont="1" applyNumberFormat="1">
      <alignment vertical="center" wrapText="1"/>
    </xf>
    <xf numFmtId="0" fontId="23" fillId="0" borderId="0" xfId="0" applyFont="1" applyNumberFormat="1">
      <alignment horizontal="left" vertical="center" wrapText="1"/>
    </xf>
    <xf numFmtId="0" fontId="23" fillId="0" borderId="14" xfId="0" applyFont="1" applyBorder="1" applyNumberFormat="1">
      <alignment horizontal="left" vertical="center" wrapText="1"/>
    </xf>
    <xf numFmtId="3" fontId="23" fillId="0" borderId="16" xfId="0" applyFont="1" applyBorder="1" applyNumberFormat="1">
      <alignment vertical="center" wrapText="1"/>
    </xf>
    <xf numFmtId="0" fontId="23" fillId="0" borderId="15" xfId="0" applyFont="1" applyBorder="1" applyNumberFormat="1">
      <alignment vertical="center" wrapText="1"/>
    </xf>
    <xf numFmtId="4" fontId="23" fillId="39" borderId="16" xfId="0" applyFont="1" applyFill="1" applyBorder="1" applyNumberFormat="1">
      <alignment horizontal="right" vertical="center" wrapText="1"/>
      <protection locked="0"/>
    </xf>
    <xf numFmtId="4" fontId="23" fillId="0" borderId="16" xfId="0" applyFont="1" applyBorder="1" applyNumberFormat="1">
      <alignment horizontal="right" vertical="center" wrapText="1"/>
    </xf>
    <xf numFmtId="4" fontId="23" fillId="0" borderId="32" xfId="0" applyFont="1" applyBorder="1" applyNumberFormat="1">
      <alignment horizontal="right" vertical="center" wrapText="1"/>
    </xf>
    <xf numFmtId="0" fontId="44" fillId="0" borderId="0" xfId="0" applyFont="1" applyNumberFormat="1">
      <alignment horizontal="center" vertical="center" wrapText="1"/>
    </xf>
    <xf numFmtId="0" fontId="23" fillId="0" borderId="16" xfId="0" applyFont="1" applyBorder="1" applyNumberFormat="1">
      <alignment horizontal="center" vertical="center" wrapText="1"/>
    </xf>
    <xf numFmtId="3" fontId="23" fillId="42" borderId="16" xfId="0" applyFont="1" applyFill="1" applyBorder="1" applyNumberFormat="1">
      <alignment vertical="center" wrapText="1"/>
      <protection locked="0"/>
    </xf>
    <xf numFmtId="49" fontId="23" fillId="39" borderId="16" xfId="0" applyFont="1" applyFill="1" applyBorder="1" applyNumberFormat="1">
      <alignment horizontal="left" vertical="center" wrapText="1"/>
      <protection locked="0"/>
    </xf>
    <xf numFmtId="4" fontId="23" fillId="38" borderId="16" xfId="0" applyFont="1" applyFill="1" applyBorder="1" applyNumberFormat="1">
      <alignment horizontal="right" vertical="center" wrapText="1"/>
    </xf>
    <xf numFmtId="0" fontId="23" fillId="0" borderId="0" xfId="0" applyFont="1" applyNumberFormat="1">
      <alignment horizontal="left" vertical="center" wrapText="1"/>
    </xf>
    <xf numFmtId="0" fontId="0" fillId="0" borderId="16" xfId="0" applyFont="1" applyBorder="1" applyNumberFormat="1">
      <alignment horizontal="center" vertical="center"/>
    </xf>
    <xf numFmtId="49" fontId="0" fillId="0" borderId="14" xfId="0" applyFont="1" applyBorder="1" applyNumberFormat="1">
      <alignment horizontal="left" vertical="center" wrapText="1" indent="1"/>
    </xf>
    <xf numFmtId="0" fontId="23" fillId="0" borderId="15" xfId="0" applyFont="1" applyBorder="1" applyNumberFormat="1">
      <alignment horizontal="center" vertical="center" wrapText="1"/>
    </xf>
    <xf numFmtId="49" fontId="0" fillId="0" borderId="16" xfId="0" applyFont="1" applyBorder="1" applyNumberFormat="1">
      <alignment horizontal="center" vertical="center"/>
    </xf>
    <xf numFmtId="49" fontId="0" fillId="0" borderId="14" xfId="0" applyFont="1" applyBorder="1" applyNumberFormat="1">
      <alignment vertical="center" wrapText="1"/>
    </xf>
    <xf numFmtId="0" fontId="23" fillId="40" borderId="21" xfId="0" applyFont="1" applyFill="1" applyBorder="1" applyNumberFormat="1">
      <alignment vertical="center" wrapText="1"/>
    </xf>
    <xf numFmtId="0" fontId="23" fillId="0" borderId="17" xfId="0" applyFont="1" applyBorder="1" applyNumberFormat="1">
      <alignment horizontal="center" vertical="center" wrapText="1"/>
    </xf>
    <xf numFmtId="0" fontId="23" fillId="40" borderId="29" xfId="0" applyFont="1" applyFill="1" applyBorder="1" applyNumberFormat="1">
      <alignment vertical="center" wrapText="1"/>
    </xf>
    <xf numFmtId="49" fontId="23" fillId="42" borderId="16" xfId="0" applyFont="1" applyFill="1" applyBorder="1" applyNumberFormat="1">
      <alignment horizontal="left" vertical="center" wrapText="1"/>
      <protection locked="0"/>
    </xf>
    <xf numFmtId="49" fontId="0" fillId="39" borderId="14" xfId="0" applyFont="1" applyFill="1" applyBorder="1" applyNumberFormat="1">
      <alignment horizontal="left" vertical="center" wrapText="1"/>
      <protection locked="0"/>
    </xf>
    <xf numFmtId="0" fontId="22" fillId="0" borderId="0" xfId="0" applyFont="1" applyNumberFormat="1">
      <alignment horizontal="left" vertical="center" wrapText="1" indent="1"/>
    </xf>
    <xf numFmtId="0" fontId="93" fillId="0" borderId="0" xfId="0" applyFont="1" applyNumberFormat="1">
      <alignment vertical="center" wrapText="1"/>
    </xf>
    <xf numFmtId="0" fontId="93" fillId="37" borderId="0" xfId="0" applyFont="1" applyFill="1" applyNumberFormat="1">
      <alignment horizontal="center" vertical="center" wrapText="1"/>
    </xf>
    <xf numFmtId="0" fontId="93" fillId="37" borderId="0" xfId="0" applyFont="1" applyFill="1" applyNumberFormat="1">
      <alignment horizontal="right" vertical="center" wrapText="1"/>
    </xf>
    <xf numFmtId="0" fontId="23" fillId="0" borderId="14" xfId="0" applyFont="1" applyBorder="1" applyNumberFormat="1">
      <alignment horizontal="center" vertical="center" wrapText="1"/>
    </xf>
    <xf numFmtId="49" fontId="54" fillId="0" borderId="0" xfId="0" applyFont="1" applyNumberFormat="1">
      <alignment horizontal="center" vertical="center" wrapText="1"/>
    </xf>
    <xf numFmtId="0" fontId="23" fillId="0" borderId="14" xfId="0" applyFont="1" applyBorder="1" applyNumberFormat="1">
      <alignment horizontal="center" vertical="center" wrapText="1"/>
    </xf>
    <xf numFmtId="0" fontId="54" fillId="0" borderId="0" xfId="0" applyFont="1" applyNumberFormat="1">
      <alignment horizontal="center" vertical="top"/>
    </xf>
    <xf numFmtId="0" fontId="23" fillId="0" borderId="14" xfId="0" applyFont="1" applyBorder="1" applyNumberFormat="1">
      <alignment horizontal="left" vertical="center" wrapText="1"/>
    </xf>
    <xf numFmtId="0" fontId="55" fillId="0" borderId="0" xfId="0" applyFont="1" applyNumberFormat="1">
      <alignment horizontal="center" vertical="center" wrapText="1"/>
    </xf>
    <xf numFmtId="0" fontId="23" fillId="0" borderId="14" xfId="0" applyFont="1" applyBorder="1" applyNumberFormat="1">
      <alignment horizontal="left" vertical="center" wrapText="1"/>
    </xf>
    <xf numFmtId="49" fontId="23" fillId="43" borderId="14" xfId="0" applyFont="1" applyFill="1" applyBorder="1" applyNumberFormat="1">
      <alignment horizontal="left" vertical="center" wrapText="1" indent="1"/>
    </xf>
    <xf numFmtId="0" fontId="23" fillId="0" borderId="16" xfId="0" applyFont="1" applyBorder="1" applyNumberFormat="1">
      <alignment vertical="center" wrapText="1"/>
    </xf>
    <xf numFmtId="0" fontId="23" fillId="0" borderId="0" xfId="0" applyFont="1" applyNumberFormat="1">
      <alignment horizontal="right" vertical="center"/>
    </xf>
    <xf numFmtId="49" fontId="34" fillId="40" borderId="15" xfId="0" applyFont="1" applyFill="1" applyBorder="1" applyNumberFormat="1">
      <alignment horizontal="left" vertical="center" wrapText="1"/>
    </xf>
    <xf numFmtId="0" fontId="94" fillId="0" borderId="0" xfId="0" applyFont="1" applyNumberFormat="1">
      <alignment vertical="center"/>
    </xf>
    <xf numFmtId="0" fontId="95" fillId="0" borderId="0" xfId="0" applyFont="1" applyNumberFormat="1">
      <alignment vertical="center"/>
    </xf>
    <xf numFmtId="49" fontId="55" fillId="0" borderId="24" xfId="0" applyFont="1" applyBorder="1" applyNumberFormat="1">
      <alignment vertical="top"/>
    </xf>
    <xf numFmtId="49" fontId="55" fillId="0" borderId="24" xfId="0" applyFont="1" applyBorder="1" applyNumberFormat="1">
      <alignment vertical="top"/>
    </xf>
    <xf numFmtId="0" fontId="55" fillId="0" borderId="24" xfId="0" applyFont="1" applyBorder="1" applyNumberFormat="1">
      <alignment vertical="center" wrapText="1"/>
    </xf>
    <xf numFmtId="0" fontId="23" fillId="0" borderId="15" xfId="0" applyFont="1" applyBorder="1" applyNumberFormat="1">
      <alignment horizontal="left" vertical="center" wrapText="1" indent="1"/>
    </xf>
    <xf numFmtId="0" fontId="76" fillId="0" borderId="24" xfId="0" applyFont="1" applyBorder="1" applyNumberFormat="1">
      <alignment vertical="center" wrapText="1"/>
    </xf>
    <xf numFmtId="4" fontId="23" fillId="0" borderId="33" xfId="0" applyFont="1" applyBorder="1" applyNumberFormat="1">
      <alignment horizontal="center" vertical="center" wrapText="1"/>
    </xf>
    <xf numFmtId="0" fontId="23" fillId="0" borderId="35" xfId="0" applyFont="1" applyBorder="1" applyNumberFormat="1">
      <alignment horizontal="left" vertical="center" wrapText="1"/>
    </xf>
    <xf numFmtId="0" fontId="23" fillId="0" borderId="35" xfId="0" applyFont="1" applyBorder="1" applyNumberFormat="1">
      <alignment horizontal="left" vertical="center" wrapText="1" indent="1"/>
    </xf>
    <xf numFmtId="4" fontId="23" fillId="42" borderId="35" xfId="0" applyFont="1" applyFill="1" applyBorder="1" applyNumberFormat="1">
      <alignment horizontal="right" vertical="center" wrapText="1"/>
      <protection locked="0"/>
    </xf>
    <xf numFmtId="4" fontId="23" fillId="0" borderId="35" xfId="0" applyFont="1" applyBorder="1" applyNumberFormat="1">
      <alignment horizontal="center" vertical="center" wrapText="1"/>
    </xf>
    <xf numFmtId="49" fontId="23" fillId="0" borderId="36" xfId="0" applyFont="1" applyBorder="1" applyNumberFormat="1">
      <alignment horizontal="center" vertical="center" wrapText="1"/>
    </xf>
    <xf numFmtId="4" fontId="23" fillId="42" borderId="16" xfId="0" applyFont="1" applyFill="1" applyBorder="1" applyNumberFormat="1">
      <alignment horizontal="right" vertical="center" wrapText="1"/>
      <protection locked="0"/>
    </xf>
    <xf numFmtId="4" fontId="23" fillId="42" borderId="36" xfId="0" applyFont="1" applyFill="1" applyBorder="1" applyNumberFormat="1">
      <alignment horizontal="right" vertical="center" wrapText="1"/>
      <protection locked="0"/>
    </xf>
    <xf numFmtId="0" fontId="54" fillId="0" borderId="0" xfId="0" applyFont="1" applyNumberFormat="1">
      <alignment horizontal="left" vertical="center" wrapText="1"/>
    </xf>
    <xf numFmtId="0" fontId="55" fillId="0" borderId="0" xfId="0" applyFont="1" applyNumberFormat="1">
      <alignment horizontal="left" vertical="center" wrapText="1"/>
    </xf>
    <xf numFmtId="0" fontId="59" fillId="0" borderId="0" xfId="0" applyFont="1" applyNumberFormat="1">
      <alignment horizontal="left" vertical="center" wrapText="1"/>
    </xf>
    <xf numFmtId="0" fontId="40" fillId="0" borderId="0" xfId="0" applyFont="1" applyNumberFormat="1">
      <alignment horizontal="left" vertical="center" wrapText="1"/>
    </xf>
    <xf numFmtId="49" fontId="23" fillId="0" borderId="0" xfId="0" applyFont="1" applyNumberFormat="1">
      <alignment horizontal="center" vertical="center" wrapText="1"/>
    </xf>
    <xf numFmtId="0" fontId="89" fillId="0" borderId="0" xfId="0" applyFont="1" applyNumberFormat="1">
      <alignment vertical="center" wrapText="1"/>
    </xf>
    <xf numFmtId="0" fontId="55" fillId="0" borderId="0" xfId="0" applyFont="1" applyNumberFormat="1">
      <alignment vertical="center" wrapText="1"/>
    </xf>
    <xf numFmtId="0" fontId="59" fillId="0" borderId="0" xfId="0" applyFont="1" applyNumberFormat="1">
      <alignment vertical="center" wrapText="1"/>
    </xf>
    <xf numFmtId="0" fontId="40" fillId="0" borderId="0" xfId="0" applyFont="1" applyNumberFormat="1">
      <alignment vertical="center" wrapText="1"/>
    </xf>
    <xf numFmtId="49" fontId="36" fillId="0" borderId="0" xfId="0" applyFont="1" applyNumberFormat="1">
      <alignment horizontal="center" vertical="center"/>
    </xf>
    <xf numFmtId="0" fontId="23" fillId="0" borderId="0" xfId="0" applyFont="1" applyNumberFormat="1">
      <alignment vertical="center" wrapText="1"/>
    </xf>
    <xf numFmtId="4" fontId="23" fillId="0" borderId="37" xfId="0" applyFont="1" applyBorder="1" applyNumberFormat="1">
      <alignment horizontal="center" vertical="center" wrapText="1"/>
    </xf>
    <xf numFmtId="4" fontId="23" fillId="42" borderId="37" xfId="0" applyFont="1" applyFill="1" applyBorder="1" applyNumberFormat="1">
      <alignment horizontal="right" vertical="center" wrapText="1"/>
      <protection locked="0"/>
    </xf>
    <xf numFmtId="4" fontId="23" fillId="42" borderId="25" xfId="0" applyFont="1" applyFill="1" applyBorder="1" applyNumberFormat="1">
      <alignment horizontal="right" vertical="center" wrapText="1"/>
      <protection locked="0"/>
    </xf>
    <xf numFmtId="49" fontId="23" fillId="0" borderId="35" xfId="0" applyFont="1" applyBorder="1" applyNumberFormat="1">
      <alignment horizontal="center" vertical="center" wrapText="1"/>
    </xf>
    <xf numFmtId="0" fontId="23" fillId="0" borderId="37" xfId="0" applyFont="1" applyBorder="1" applyNumberFormat="1">
      <alignment horizontal="left" vertical="center" wrapText="1"/>
    </xf>
    <xf numFmtId="0" fontId="23" fillId="0" borderId="22" xfId="0" applyFont="1" applyBorder="1" applyNumberFormat="1">
      <alignment vertical="center" wrapText="1"/>
    </xf>
    <xf numFmtId="0" fontId="45" fillId="0" borderId="0" xfId="0" applyFont="1" applyNumberFormat="1">
      <alignment horizontal="center" vertical="center" wrapText="1"/>
    </xf>
    <xf numFmtId="0" fontId="23" fillId="40" borderId="17" xfId="0" applyFont="1" applyFill="1" applyBorder="1" applyNumberFormat="1">
      <alignment vertical="center" wrapText="1"/>
    </xf>
    <xf numFmtId="0" fontId="54" fillId="40" borderId="15" xfId="0" applyFont="1" applyFill="1" applyBorder="1" applyNumberFormat="1">
      <alignment vertical="center" wrapText="1"/>
    </xf>
    <xf numFmtId="166" fontId="23" fillId="38" borderId="14" xfId="0" applyFont="1" applyFill="1" applyBorder="1" applyNumberFormat="1">
      <alignment horizontal="right" vertical="center" wrapText="1"/>
    </xf>
    <xf numFmtId="0" fontId="0" fillId="0" borderId="0" xfId="0" applyFont="1" applyNumberFormat="1">
      <alignment vertical="center"/>
    </xf>
    <xf numFmtId="4" fontId="23" fillId="39" borderId="14" xfId="0" applyFont="1" applyFill="1" applyBorder="1" applyNumberFormat="1">
      <alignment horizontal="right" vertical="center" wrapText="1"/>
      <protection locked="0"/>
    </xf>
    <xf numFmtId="0" fontId="78" fillId="37" borderId="0" xfId="0" applyFont="1" applyFill="1" applyNumberFormat="1">
      <alignment horizontal="right" vertical="center"/>
    </xf>
    <xf numFmtId="49" fontId="0" fillId="0" borderId="14" xfId="0" applyFont="1" applyBorder="1" applyNumberFormat="1">
      <alignment vertical="top"/>
    </xf>
    <xf numFmtId="0" fontId="23" fillId="0" borderId="16" xfId="0" applyFont="1" applyBorder="1" applyNumberFormat="1">
      <alignment horizontal="center" vertical="center" wrapText="1"/>
    </xf>
    <xf numFmtId="49" fontId="0" fillId="16" borderId="14" xfId="0" applyFont="1" applyFill="1" applyBorder="1" applyNumberFormat="1">
      <alignment vertical="top"/>
    </xf>
    <xf numFmtId="49" fontId="0" fillId="16" borderId="19" xfId="0" applyFont="1" applyFill="1" applyBorder="1" applyNumberFormat="1">
      <alignment vertical="top"/>
    </xf>
    <xf numFmtId="49" fontId="0" fillId="45" borderId="19" xfId="0" applyFont="1" applyFill="1" applyBorder="1" applyNumberFormat="1">
      <alignment vertical="top"/>
    </xf>
    <xf numFmtId="0" fontId="23" fillId="0" borderId="0" xfId="0" applyFont="1" applyNumberFormat="1">
      <alignment vertical="center" wrapText="1"/>
    </xf>
    <xf numFmtId="0" fontId="40" fillId="0" borderId="0" xfId="0" applyFont="1" applyNumberFormat="1">
      <alignment vertical="center" wrapText="1"/>
    </xf>
    <xf numFmtId="0" fontId="23" fillId="0" borderId="14" xfId="0" applyFont="1" applyBorder="1" applyNumberFormat="1">
      <alignment horizontal="center" vertical="center" wrapText="1"/>
    </xf>
    <xf numFmtId="0" fontId="23" fillId="0" borderId="14" xfId="0" applyFont="1" applyBorder="1" applyNumberFormat="1">
      <alignment horizontal="center" vertical="center" wrapText="1"/>
    </xf>
    <xf numFmtId="49" fontId="23" fillId="0" borderId="0" xfId="0" applyFont="1" applyNumberFormat="1">
      <alignment vertical="center" wrapText="1"/>
    </xf>
    <xf numFmtId="0" fontId="23" fillId="0" borderId="0" xfId="0" applyFont="1" applyNumberFormat="1">
      <alignment horizontal="center" vertical="center" wrapText="1"/>
    </xf>
    <xf numFmtId="49" fontId="0" fillId="0" borderId="16" xfId="0" applyFont="1" applyBorder="1" applyNumberFormat="1">
      <alignment vertical="top"/>
    </xf>
    <xf numFmtId="49" fontId="0" fillId="0" borderId="16" xfId="0" applyFont="1" applyBorder="1" applyNumberFormat="1">
      <alignment horizontal="center" vertical="top"/>
    </xf>
    <xf numFmtId="49" fontId="0" fillId="0" borderId="17" xfId="0" applyFont="1" applyBorder="1" applyNumberFormat="1">
      <alignment horizontal="center" vertical="top"/>
    </xf>
    <xf numFmtId="49" fontId="0" fillId="5" borderId="14" xfId="0" applyFont="1" applyFill="1" applyBorder="1" applyNumberFormat="1">
      <alignment vertical="top"/>
    </xf>
    <xf numFmtId="49" fontId="0" fillId="46" borderId="14" xfId="0" applyFont="1" applyFill="1" applyBorder="1" applyNumberFormat="1">
      <alignment vertical="top"/>
    </xf>
    <xf numFmtId="49" fontId="0" fillId="3" borderId="14" xfId="0" applyFont="1" applyFill="1" applyBorder="1" applyNumberFormat="1">
      <alignment vertical="top"/>
    </xf>
    <xf numFmtId="49" fontId="0" fillId="0" borderId="0" xfId="0" applyFont="1" applyNumberFormat="1">
      <alignment vertical="top"/>
    </xf>
    <xf numFmtId="0" fontId="23" fillId="0" borderId="0" xfId="0" applyFont="1" applyNumberFormat="1">
      <alignment horizontal="center" vertical="center" wrapText="1"/>
    </xf>
    <xf numFmtId="0" fontId="36" fillId="37" borderId="0" xfId="0" applyFont="1" applyFill="1" applyNumberFormat="1">
      <alignment vertical="center" wrapText="1"/>
    </xf>
    <xf numFmtId="0" fontId="34" fillId="0" borderId="0" xfId="0" applyFont="1" applyNumberFormat="1">
      <alignment horizontal="left" vertical="center" indent="1"/>
    </xf>
    <xf numFmtId="0" fontId="0" fillId="37" borderId="0" xfId="0" applyFont="1" applyFill="1" applyNumberFormat="1">
      <alignment horizontal="right" vertical="center" wrapText="1" indent="1"/>
    </xf>
    <xf numFmtId="0" fontId="0" fillId="37" borderId="0" xfId="0" applyFont="1" applyFill="1" applyNumberFormat="1">
      <alignment horizontal="left" vertical="center" wrapText="1" indent="1"/>
    </xf>
    <xf numFmtId="14" fontId="23" fillId="37" borderId="0" xfId="0" applyFont="1" applyFill="1" applyNumberFormat="1">
      <alignment horizontal="center" vertical="center" wrapText="1"/>
    </xf>
    <xf numFmtId="165" fontId="23" fillId="0" borderId="16" xfId="0" applyFont="1" applyBorder="1" applyNumberFormat="1">
      <alignment horizontal="center" vertical="center" wrapText="1"/>
    </xf>
    <xf numFmtId="49" fontId="44" fillId="0" borderId="17" xfId="0" applyFont="1" applyBorder="1" applyNumberFormat="1">
      <alignment horizontal="center" vertical="center" wrapText="1"/>
    </xf>
    <xf numFmtId="49" fontId="23" fillId="0" borderId="0" xfId="0" applyFont="1" applyNumberFormat="1">
      <alignment horizontal="center" vertical="center" wrapText="1"/>
    </xf>
    <xf numFmtId="0" fontId="23" fillId="0" borderId="25" xfId="0" applyFont="1" applyBorder="1" applyNumberFormat="1">
      <alignment horizontal="center" vertical="center" wrapText="1"/>
    </xf>
    <xf numFmtId="49" fontId="0" fillId="47" borderId="14" xfId="0" applyFont="1" applyFill="1" applyBorder="1" applyNumberFormat="1">
      <alignment vertical="top"/>
    </xf>
    <xf numFmtId="0" fontId="45" fillId="0" borderId="0" xfId="0" applyFont="1" applyNumberFormat="1">
      <alignment horizontal="center" vertical="center" wrapText="1"/>
    </xf>
    <xf numFmtId="0" fontId="96" fillId="0" borderId="0" xfId="0" applyFont="1" applyNumberFormat="1">
      <alignment horizontal="left" vertical="center" wrapText="1"/>
    </xf>
    <xf numFmtId="0" fontId="96" fillId="0" borderId="0" xfId="0" applyFont="1" applyNumberFormat="1">
      <alignment horizontal="left" vertical="center" wrapText="1"/>
    </xf>
    <xf numFmtId="14" fontId="96" fillId="37" borderId="0" xfId="0" applyFont="1" applyFill="1" applyNumberFormat="1">
      <alignment horizontal="left" vertical="center" wrapText="1"/>
    </xf>
    <xf numFmtId="14" fontId="97" fillId="0" borderId="0" xfId="0" applyFont="1" applyNumberFormat="1">
      <alignment horizontal="center" vertical="center" wrapText="1"/>
    </xf>
    <xf numFmtId="0" fontId="96" fillId="0" borderId="0" xfId="0" applyFont="1" applyNumberFormat="1">
      <alignment horizontal="left" vertical="center" wrapText="1"/>
    </xf>
    <xf numFmtId="14" fontId="98" fillId="0" borderId="14" xfId="0" applyFont="1" applyBorder="1" applyNumberFormat="1">
      <alignment horizontal="left" vertical="center" wrapText="1"/>
    </xf>
    <xf numFmtId="0" fontId="55" fillId="0" borderId="0" xfId="0" applyFont="1" applyNumberFormat="1">
      <alignment vertical="center"/>
    </xf>
    <xf numFmtId="49" fontId="23" fillId="40" borderId="21" xfId="0" applyFont="1" applyFill="1" applyBorder="1" applyNumberFormat="1">
      <alignment horizontal="center" vertical="center" wrapText="1"/>
    </xf>
    <xf numFmtId="49" fontId="23" fillId="38" borderId="25" xfId="0" applyFont="1" applyFill="1" applyBorder="1" applyNumberFormat="1">
      <alignment horizontal="center" vertical="center" wrapText="1"/>
    </xf>
    <xf numFmtId="49" fontId="54" fillId="0" borderId="14" xfId="0" applyFont="1" applyBorder="1" applyNumberFormat="1">
      <alignment horizontal="left" vertical="center" wrapText="1"/>
    </xf>
    <xf numFmtId="14" fontId="23" fillId="43" borderId="25" xfId="0" applyFont="1" applyFill="1" applyBorder="1" applyNumberFormat="1">
      <alignment horizontal="left" vertical="center" wrapText="1" indent="1"/>
    </xf>
    <xf numFmtId="49" fontId="23" fillId="40" borderId="16" xfId="0" applyFont="1" applyFill="1" applyBorder="1" applyNumberFormat="1">
      <alignment horizontal="right" vertical="center" wrapText="1"/>
    </xf>
    <xf numFmtId="0" fontId="55" fillId="0" borderId="25" xfId="0" applyFont="1" applyBorder="1" applyNumberFormat="1">
      <alignment horizontal="center" vertical="center" wrapText="1"/>
    </xf>
    <xf numFmtId="49" fontId="23" fillId="0" borderId="15" xfId="0" applyFont="1" applyBorder="1" applyNumberFormat="1">
      <alignment horizontal="center" vertical="top"/>
    </xf>
    <xf numFmtId="49" fontId="23" fillId="0" borderId="14" xfId="0" applyFont="1" applyBorder="1" applyNumberFormat="1">
      <alignment horizontal="center" vertical="top"/>
    </xf>
    <xf numFmtId="0" fontId="23" fillId="0" borderId="25" xfId="0" applyFont="1" applyBorder="1" applyNumberFormat="1">
      <alignment horizontal="center" vertical="center" wrapText="1"/>
    </xf>
    <xf numFmtId="49" fontId="23" fillId="0" borderId="16" xfId="0" applyFont="1" applyBorder="1" applyNumberFormat="1">
      <alignment horizontal="center" vertical="top"/>
    </xf>
    <xf numFmtId="0" fontId="44" fillId="0" borderId="26" xfId="0" applyFont="1" applyBorder="1" applyNumberFormat="1">
      <alignment vertical="top" wrapText="1"/>
    </xf>
    <xf numFmtId="0" fontId="44" fillId="0" borderId="0" xfId="0" applyFont="1" applyNumberFormat="1">
      <alignment vertical="top" wrapText="1"/>
    </xf>
    <xf numFmtId="0" fontId="55" fillId="0" borderId="14" xfId="0" applyFont="1" applyBorder="1" applyNumberFormat="1">
      <alignment horizontal="center" vertical="center" wrapText="1"/>
    </xf>
    <xf numFmtId="0" fontId="54" fillId="0" borderId="25" xfId="0" applyFont="1" applyBorder="1" applyNumberFormat="1">
      <alignment horizontal="center" vertical="center" wrapText="1"/>
    </xf>
    <xf numFmtId="0" fontId="55" fillId="0" borderId="14" xfId="0" applyFont="1" applyBorder="1" applyNumberFormat="1">
      <alignment horizontal="center" vertical="center"/>
    </xf>
    <xf numFmtId="0" fontId="23" fillId="0" borderId="14" xfId="0" applyFont="1" applyBorder="1" applyNumberFormat="1">
      <alignment horizontal="center" vertical="center" wrapText="1"/>
    </xf>
    <xf numFmtId="49" fontId="23" fillId="0" borderId="0" xfId="0" applyFont="1" applyNumberFormat="1">
      <alignment horizontal="center" vertical="center" wrapText="1"/>
    </xf>
    <xf numFmtId="0" fontId="23" fillId="0" borderId="14" xfId="0" applyFont="1" applyBorder="1" applyNumberFormat="1">
      <alignment horizontal="center" vertical="center" wrapText="1"/>
    </xf>
    <xf numFmtId="0" fontId="23" fillId="0" borderId="16" xfId="0" applyFont="1" applyBorder="1" applyNumberFormat="1">
      <alignment horizontal="center" vertical="center" wrapText="1"/>
    </xf>
    <xf numFmtId="0" fontId="23" fillId="0" borderId="14" xfId="0" applyFont="1" applyBorder="1" applyNumberFormat="1">
      <alignment horizontal="center" vertical="center" wrapText="1"/>
    </xf>
    <xf numFmtId="0" fontId="23" fillId="0" borderId="19" xfId="0" applyFont="1" applyBorder="1" applyNumberFormat="1">
      <alignment horizontal="center" vertical="center" wrapText="1"/>
    </xf>
    <xf numFmtId="49" fontId="80" fillId="42" borderId="14" xfId="0" applyFont="1" applyFill="1" applyBorder="1" applyNumberFormat="1">
      <alignment horizontal="left" vertical="center" wrapText="1" indent="1"/>
      <protection locked="0"/>
    </xf>
    <xf numFmtId="0" fontId="54" fillId="0" borderId="24" xfId="0" applyFont="1" applyBorder="1" applyNumberFormat="1">
      <alignment vertical="center"/>
    </xf>
    <xf numFmtId="0" fontId="23" fillId="0" borderId="15" xfId="0" applyFont="1" applyBorder="1" applyNumberFormat="1">
      <alignment horizontal="center" vertical="center" wrapText="1"/>
    </xf>
    <xf numFmtId="49" fontId="23" fillId="43" borderId="14" xfId="0" applyFont="1" applyFill="1" applyBorder="1" applyNumberFormat="1">
      <alignment horizontal="center" vertical="center" wrapText="1"/>
    </xf>
    <xf numFmtId="0" fontId="23" fillId="0" borderId="14" xfId="0" applyFont="1" applyBorder="1" applyNumberFormat="1">
      <alignment horizontal="center" vertical="center" wrapText="1"/>
    </xf>
    <xf numFmtId="0" fontId="23" fillId="38" borderId="16" xfId="0" applyFont="1" applyFill="1" applyBorder="1" applyNumberFormat="1">
      <alignment horizontal="left" vertical="top" wrapText="1" indent="1"/>
    </xf>
    <xf numFmtId="3" fontId="23" fillId="39" borderId="16" xfId="0" applyFont="1" applyFill="1" applyBorder="1" applyNumberFormat="1">
      <alignment horizontal="right" vertical="center" wrapText="1"/>
      <protection locked="0"/>
    </xf>
    <xf numFmtId="49" fontId="34" fillId="39" borderId="14" xfId="0" applyFont="1" applyFill="1" applyBorder="1" applyNumberFormat="1">
      <alignment horizontal="left" vertical="center" wrapText="1"/>
      <protection locked="0"/>
    </xf>
    <xf numFmtId="0" fontId="34" fillId="0" borderId="0" xfId="0" applyFont="1" applyNumberFormat="1">
      <alignment vertical="center" wrapText="1"/>
    </xf>
    <xf numFmtId="0" fontId="23" fillId="0" borderId="15" xfId="0" applyFont="1" applyBorder="1" applyNumberFormat="1">
      <alignment horizontal="center" vertical="center" wrapText="1"/>
    </xf>
    <xf numFmtId="0" fontId="23" fillId="0" borderId="14" xfId="0" applyFont="1" applyBorder="1" applyNumberFormat="1">
      <alignment horizontal="center" vertical="center" wrapText="1"/>
    </xf>
    <xf numFmtId="0" fontId="45" fillId="37" borderId="0" xfId="0" applyFont="1" applyFill="1" applyNumberFormat="1">
      <alignment horizontal="center" vertical="center" wrapText="1"/>
    </xf>
    <xf numFmtId="0" fontId="23" fillId="37" borderId="14" xfId="0" applyFont="1" applyFill="1" applyBorder="1" applyNumberFormat="1">
      <alignment horizontal="center" vertical="center" wrapText="1"/>
    </xf>
    <xf numFmtId="0" fontId="0" fillId="0" borderId="22" xfId="0" applyFont="1" applyBorder="1" applyNumberFormat="1">
      <alignment horizontal="center" vertical="center" wrapText="1"/>
    </xf>
    <xf numFmtId="0" fontId="0" fillId="0" borderId="31" xfId="0" applyFont="1" applyBorder="1" applyNumberFormat="1">
      <alignment horizontal="center" vertical="center" wrapText="1"/>
    </xf>
    <xf numFmtId="0" fontId="0" fillId="0" borderId="19" xfId="0" applyFont="1" applyBorder="1" applyNumberFormat="1">
      <alignment horizontal="center" vertical="center" wrapText="1"/>
    </xf>
    <xf numFmtId="0" fontId="0" fillId="0" borderId="25" xfId="0" applyFont="1" applyBorder="1" applyNumberFormat="1">
      <alignment horizontal="center" vertical="center" wrapText="1"/>
    </xf>
    <xf numFmtId="0" fontId="0" fillId="0" borderId="19" xfId="0" applyFont="1" applyBorder="1" applyNumberFormat="1">
      <alignment horizontal="center" vertical="center" wrapText="1"/>
    </xf>
    <xf numFmtId="0" fontId="0" fillId="0" borderId="25" xfId="0" applyFont="1" applyBorder="1" applyNumberFormat="1">
      <alignment horizontal="center" vertical="center" wrapText="1"/>
    </xf>
    <xf numFmtId="49" fontId="44" fillId="37" borderId="17" xfId="0" applyFont="1" applyFill="1" applyBorder="1" applyNumberFormat="1">
      <alignment horizontal="center" vertical="center" wrapText="1"/>
    </xf>
    <xf numFmtId="0" fontId="23" fillId="0" borderId="0" xfId="0" applyFont="1" applyNumberFormat="1">
      <alignment horizontal="left" vertical="center" wrapText="1" indent="1"/>
    </xf>
    <xf numFmtId="0" fontId="86" fillId="0" borderId="19" xfId="0" applyFont="1" applyBorder="1" applyNumberFormat="1">
      <alignment horizontal="center" vertical="center" wrapText="1"/>
    </xf>
    <xf numFmtId="49" fontId="54" fillId="0" borderId="0" xfId="0" applyFont="1" applyNumberFormat="1">
      <alignment vertical="top"/>
    </xf>
    <xf numFmtId="0" fontId="99" fillId="0" borderId="0" xfId="0" applyFont="1" applyNumberFormat="1">
      <alignment vertical="center" wrapText="1"/>
    </xf>
    <xf numFmtId="0" fontId="0" fillId="0" borderId="0" xfId="0" applyFont="1" applyNumberFormat="1">
      <alignment vertical="top"/>
    </xf>
    <xf numFmtId="49" fontId="0" fillId="0" borderId="14" xfId="0" applyFont="1" applyBorder="1" applyNumberFormat="1">
      <alignment vertical="top"/>
    </xf>
    <xf numFmtId="49" fontId="23" fillId="0" borderId="0" xfId="0" applyFont="1" applyNumberFormat="1">
      <alignment vertical="top"/>
    </xf>
    <xf numFmtId="0" fontId="23" fillId="0" borderId="14" xfId="0" applyFont="1" applyBorder="1" applyNumberFormat="1">
      <alignment horizontal="left" vertical="top" wrapText="1"/>
    </xf>
    <xf numFmtId="49" fontId="100" fillId="0" borderId="0" xfId="0" applyFont="1" applyNumberFormat="1">
      <alignment horizontal="center" vertical="top" wrapText="1"/>
    </xf>
    <xf numFmtId="49" fontId="100" fillId="0" borderId="0" xfId="0" applyFont="1" applyNumberFormat="1">
      <alignment vertical="top" wrapText="1"/>
    </xf>
    <xf numFmtId="49" fontId="96" fillId="34" borderId="14" xfId="0" applyFont="1" applyFill="1" applyBorder="1" applyNumberFormat="1">
      <alignment horizontal="center" vertical="top" wrapText="1"/>
    </xf>
    <xf numFmtId="49" fontId="100" fillId="0" borderId="0" xfId="0" applyFont="1" applyNumberFormat="1">
      <alignment horizontal="left" vertical="top" wrapText="1"/>
    </xf>
    <xf numFmtId="49" fontId="100" fillId="0" borderId="14" xfId="0" applyFont="1" applyBorder="1" applyNumberFormat="1">
      <alignment horizontal="left" vertical="top" wrapText="1"/>
    </xf>
    <xf numFmtId="0" fontId="100" fillId="0" borderId="14" xfId="0" applyFont="1" applyBorder="1" applyNumberFormat="1">
      <alignment horizontal="left" vertical="top" wrapText="1"/>
    </xf>
    <xf numFmtId="0" fontId="100" fillId="34" borderId="14" xfId="0" applyFont="1" applyFill="1" applyBorder="1" applyNumberFormat="1">
      <alignment horizontal="right" vertical="center" wrapText="1"/>
    </xf>
    <xf numFmtId="49" fontId="100" fillId="0" borderId="14" xfId="0" applyFont="1" applyBorder="1" applyNumberFormat="1">
      <alignment vertical="top" wrapText="1"/>
    </xf>
    <xf numFmtId="0" fontId="100" fillId="0" borderId="19" xfId="0" applyFont="1" applyBorder="1" applyNumberFormat="1">
      <alignment horizontal="left" vertical="top" wrapText="1"/>
    </xf>
    <xf numFmtId="0" fontId="100" fillId="0" borderId="15" xfId="0" applyFont="1" applyBorder="1" applyNumberFormat="1">
      <alignment horizontal="left" vertical="top" wrapText="1"/>
    </xf>
    <xf numFmtId="0" fontId="100" fillId="0" borderId="14" xfId="0" applyFont="1" applyBorder="1" applyNumberFormat="1">
      <alignment vertical="top" wrapText="1"/>
    </xf>
    <xf numFmtId="0" fontId="96" fillId="34" borderId="14" xfId="0" applyFont="1" applyFill="1" applyBorder="1" applyNumberFormat="1">
      <alignment horizontal="center" vertical="top" wrapText="1"/>
    </xf>
    <xf numFmtId="0" fontId="100" fillId="0" borderId="0" xfId="0" applyFont="1" applyNumberFormat="1">
      <alignment vertical="top" wrapText="1"/>
    </xf>
    <xf numFmtId="0" fontId="95" fillId="0" borderId="0" xfId="0" applyFont="1" applyNumberFormat="1">
      <alignment vertical="center" wrapText="1"/>
    </xf>
    <xf numFmtId="0" fontId="22" fillId="0" borderId="0" xfId="0" applyFont="1" applyNumberFormat="1">
      <alignment horizontal="left" vertical="center" wrapText="1" indent="3"/>
    </xf>
    <xf numFmtId="3" fontId="0" fillId="0" borderId="15" xfId="0" applyFont="1" applyBorder="1" applyNumberFormat="1">
      <alignment horizontal="right" vertical="center" wrapText="1"/>
    </xf>
    <xf numFmtId="0" fontId="23" fillId="43" borderId="16" xfId="0" applyFont="1" applyFill="1" applyBorder="1" applyNumberFormat="1">
      <alignment horizontal="left" vertical="center" wrapText="1"/>
    </xf>
    <xf numFmtId="49" fontId="44" fillId="37" borderId="14" xfId="0" applyFont="1" applyFill="1" applyBorder="1" applyNumberFormat="1">
      <alignment horizontal="center" vertical="center" wrapText="1"/>
    </xf>
    <xf numFmtId="49" fontId="78" fillId="40" borderId="15" xfId="0" applyFont="1" applyFill="1" applyBorder="1" applyNumberFormat="1">
      <alignment vertical="center"/>
    </xf>
    <xf numFmtId="49" fontId="23" fillId="37" borderId="0" xfId="0" applyFont="1" applyFill="1" applyNumberFormat="1">
      <alignment horizontal="center" vertical="center" wrapText="1"/>
    </xf>
    <xf numFmtId="0" fontId="23" fillId="37" borderId="0" xfId="0" applyFont="1" applyFill="1" applyNumberFormat="1">
      <alignment horizontal="center" vertical="top" wrapText="1"/>
    </xf>
    <xf numFmtId="49" fontId="0" fillId="42" borderId="14" xfId="0" applyFont="1" applyFill="1" applyBorder="1" applyNumberFormat="1">
      <alignment horizontal="left" vertical="center" wrapText="1" indent="1"/>
      <protection locked="0"/>
    </xf>
    <xf numFmtId="49" fontId="23" fillId="42" borderId="16" xfId="0" applyFont="1" applyFill="1" applyBorder="1" applyNumberFormat="1">
      <alignment horizontal="left" vertical="center" wrapText="1"/>
      <protection locked="0"/>
    </xf>
    <xf numFmtId="49" fontId="23" fillId="42" borderId="14" xfId="0" applyFont="1" applyFill="1" applyBorder="1" applyNumberFormat="1" quotePrefix="1">
      <alignment horizontal="left" vertical="center" wrapText="1"/>
      <protection locked="0"/>
    </xf>
    <xf numFmtId="14" fontId="23" fillId="43" borderId="25" xfId="0" applyFont="1" applyFill="1" applyBorder="1" applyNumberFormat="1">
      <alignment horizontal="left" vertical="center" wrapText="1"/>
    </xf>
    <xf numFmtId="0" fontId="55" fillId="37" borderId="25" xfId="0" applyFont="1" applyFill="1" applyBorder="1" applyNumberFormat="1">
      <alignment horizontal="center" vertical="center" wrapText="1"/>
    </xf>
    <xf numFmtId="0" fontId="45" fillId="37" borderId="26" xfId="0" applyFont="1" applyFill="1" applyBorder="1" applyNumberFormat="1">
      <alignment vertical="top" wrapText="1"/>
    </xf>
    <xf numFmtId="0" fontId="45" fillId="37" borderId="0" xfId="0" applyFont="1" applyFill="1" applyNumberFormat="1">
      <alignment vertical="top" wrapText="1"/>
    </xf>
    <xf numFmtId="14" fontId="23" fillId="43" borderId="31" xfId="0" applyFont="1" applyFill="1" applyBorder="1" applyNumberFormat="1">
      <alignment horizontal="left" vertical="center" wrapText="1"/>
    </xf>
    <xf numFmtId="0" fontId="55" fillId="37" borderId="14" xfId="0" applyFont="1" applyFill="1" applyBorder="1" applyNumberFormat="1">
      <alignment horizontal="center" vertical="center" wrapText="1"/>
    </xf>
    <xf numFmtId="0" fontId="48" fillId="40" borderId="17" xfId="0" applyFont="1" applyFill="1" applyBorder="1" applyNumberFormat="1">
      <alignment vertical="center"/>
    </xf>
    <xf numFmtId="0" fontId="56" fillId="0" borderId="0" xfId="0" applyFont="1" applyNumberFormat="1">
      <alignment vertical="center"/>
    </xf>
    <xf numFmtId="0" fontId="55" fillId="0" borderId="0" xfId="0" applyFont="1" applyNumberFormat="1">
      <alignment vertical="center" wrapText="1"/>
    </xf>
    <xf numFmtId="49" fontId="54" fillId="0" borderId="0" xfId="0" applyFont="1" applyNumberFormat="1">
      <alignment vertical="center" wrapText="1"/>
    </xf>
    <xf numFmtId="49" fontId="54" fillId="0" borderId="0" xfId="0" applyFont="1" applyNumberFormat="1">
      <alignment vertical="top"/>
    </xf>
    <xf numFmtId="0" fontId="93" fillId="0" borderId="0" xfId="0" applyFont="1" applyNumberFormat="1">
      <alignment vertical="center" wrapText="1"/>
    </xf>
    <xf numFmtId="0" fontId="101" fillId="0" borderId="0" xfId="0" applyFont="1" applyNumberFormat="1">
      <alignment vertical="center" wrapText="1"/>
    </xf>
    <xf numFmtId="0" fontId="54" fillId="0" borderId="0" xfId="0" applyFont="1" applyNumberFormat="1">
      <alignment vertical="center" wrapText="1"/>
    </xf>
    <xf numFmtId="0" fontId="93" fillId="0" borderId="0" xfId="0" applyFont="1" applyNumberFormat="1">
      <alignment horizontal="center" vertical="center" wrapText="1"/>
    </xf>
    <xf numFmtId="0" fontId="54" fillId="0" borderId="0" xfId="0" applyFont="1" applyNumberFormat="1">
      <alignment vertical="center" wrapText="1"/>
    </xf>
    <xf numFmtId="14" fontId="23" fillId="37" borderId="0" xfId="0" applyFont="1" applyFill="1" applyNumberFormat="1">
      <alignment horizontal="left" vertical="center" wrapText="1"/>
    </xf>
    <xf numFmtId="49" fontId="0" fillId="5" borderId="16" xfId="0" applyFont="1" applyFill="1" applyBorder="1" applyNumberFormat="1">
      <alignment vertical="top"/>
    </xf>
    <xf numFmtId="49" fontId="0" fillId="0" borderId="14" xfId="0" applyFont="1" applyBorder="1" applyNumberFormat="1">
      <alignment horizontal="left" vertical="center" wrapText="1"/>
    </xf>
    <xf numFmtId="49" fontId="23" fillId="0" borderId="0" xfId="0" applyFont="1" applyNumberFormat="1">
      <alignment vertical="center" wrapText="1"/>
    </xf>
    <xf numFmtId="0" fontId="0" fillId="0" borderId="14" xfId="0" applyFont="1" applyBorder="1" applyNumberFormat="1">
      <alignment horizontal="left" vertical="center" wrapText="1" indent="1"/>
    </xf>
    <xf numFmtId="49" fontId="0" fillId="37" borderId="14" xfId="0" applyFont="1" applyFill="1" applyBorder="1" applyNumberFormat="1">
      <alignment horizontal="center" vertical="center" wrapText="1"/>
    </xf>
    <xf numFmtId="0" fontId="0" fillId="37" borderId="14" xfId="0" applyFont="1" applyFill="1" applyBorder="1" applyNumberFormat="1">
      <alignment horizontal="center" vertical="center" wrapText="1"/>
    </xf>
    <xf numFmtId="0" fontId="0" fillId="42" borderId="16" xfId="0" applyFont="1" applyFill="1" applyBorder="1" applyNumberFormat="1">
      <alignment horizontal="left" vertical="center" wrapText="1" indent="2"/>
      <protection locked="0"/>
    </xf>
    <xf numFmtId="0" fontId="23" fillId="0" borderId="17" xfId="0" applyFont="1" applyBorder="1" applyNumberFormat="1">
      <alignment horizontal="right" vertical="center" wrapText="1" indent="1"/>
    </xf>
    <xf numFmtId="0" fontId="23" fillId="0" borderId="15" xfId="0" applyFont="1" applyBorder="1" applyNumberFormat="1">
      <alignment horizontal="right" vertical="center" wrapText="1" indent="1"/>
    </xf>
    <xf numFmtId="0" fontId="102" fillId="37" borderId="0" xfId="0" applyFont="1" applyFill="1" applyNumberFormat="1">
      <alignment horizontal="right" vertical="center"/>
    </xf>
    <xf numFmtId="49" fontId="100" fillId="0" borderId="15" xfId="0" applyFont="1" applyBorder="1" applyNumberFormat="1">
      <alignment horizontal="left" vertical="top" wrapText="1"/>
    </xf>
    <xf numFmtId="49" fontId="100" fillId="0" borderId="16" xfId="0" applyFont="1" applyBorder="1" applyNumberFormat="1">
      <alignment horizontal="left" vertical="top" wrapText="1"/>
    </xf>
    <xf numFmtId="0" fontId="100" fillId="0" borderId="19" xfId="0" applyFont="1" applyBorder="1" applyNumberFormat="1">
      <alignment vertical="top" wrapText="1"/>
    </xf>
    <xf numFmtId="0" fontId="100" fillId="0" borderId="38" xfId="0" applyFont="1" applyBorder="1" applyNumberFormat="1">
      <alignment horizontal="left" vertical="top" wrapText="1"/>
    </xf>
    <xf numFmtId="49" fontId="100" fillId="0" borderId="32" xfId="0" applyFont="1" applyBorder="1" applyNumberFormat="1">
      <alignment horizontal="left" vertical="top" wrapText="1"/>
    </xf>
    <xf numFmtId="49" fontId="54" fillId="0" borderId="0" xfId="0" applyFont="1" applyNumberFormat="1">
      <alignment horizontal="center" vertical="center" wrapText="1"/>
    </xf>
    <xf numFmtId="49" fontId="55" fillId="0" borderId="0" xfId="0" applyFont="1" applyNumberFormat="1">
      <alignment horizontal="center" vertical="center" wrapText="1"/>
    </xf>
    <xf numFmtId="0" fontId="23" fillId="0" borderId="14" xfId="0" applyFont="1" applyBorder="1" applyNumberFormat="1">
      <alignment horizontal="left" vertical="center" wrapText="1"/>
    </xf>
    <xf numFmtId="49" fontId="100" fillId="0" borderId="14" xfId="0" applyFont="1" applyBorder="1" applyNumberFormat="1">
      <alignment horizontal="center" vertical="top" wrapText="1"/>
    </xf>
    <xf numFmtId="0" fontId="100" fillId="34" borderId="14" xfId="0" applyFont="1" applyFill="1" applyBorder="1" applyNumberFormat="1">
      <alignment horizontal="center" vertical="center" wrapText="1"/>
    </xf>
    <xf numFmtId="49" fontId="100" fillId="0" borderId="39" xfId="0" applyFont="1" applyBorder="1" applyNumberFormat="1">
      <alignment horizontal="center" vertical="top" wrapText="1"/>
    </xf>
    <xf numFmtId="49" fontId="100" fillId="0" borderId="19" xfId="0" applyFont="1" applyBorder="1" applyNumberFormat="1">
      <alignment horizontal="center" vertical="top" wrapText="1"/>
    </xf>
    <xf numFmtId="49" fontId="48" fillId="40" borderId="16" xfId="0" applyFont="1" applyFill="1" applyBorder="1" applyNumberFormat="1">
      <alignment horizontal="left" vertical="center" indent="1"/>
    </xf>
    <xf numFmtId="0" fontId="0" fillId="37" borderId="19" xfId="0" applyFont="1" applyFill="1" applyBorder="1" applyNumberFormat="1">
      <alignment horizontal="center" vertical="center" wrapText="1"/>
    </xf>
    <xf numFmtId="0" fontId="23" fillId="37" borderId="19" xfId="0" applyFont="1" applyFill="1" applyBorder="1" applyNumberFormat="1">
      <alignment horizontal="center" vertical="center" wrapText="1"/>
    </xf>
    <xf numFmtId="49" fontId="103" fillId="0" borderId="0" xfId="0" applyFont="1" applyNumberFormat="1">
      <alignment horizontal="center" vertical="center" wrapText="1"/>
    </xf>
    <xf numFmtId="0" fontId="23" fillId="0" borderId="0" xfId="0" applyFont="1" applyNumberFormat="1">
      <alignment vertical="center" wrapText="1"/>
    </xf>
    <xf numFmtId="49" fontId="23" fillId="0" borderId="0" xfId="0" applyFont="1" applyNumberFormat="1">
      <alignment vertical="top"/>
    </xf>
    <xf numFmtId="0" fontId="23" fillId="37" borderId="0" xfId="0" applyFont="1" applyFill="1" applyNumberFormat="1">
      <alignment vertical="center" wrapText="1"/>
    </xf>
    <xf numFmtId="0" fontId="23" fillId="0" borderId="40" xfId="0" applyFont="1" applyBorder="1" applyNumberFormat="1">
      <alignment vertical="center" wrapText="1"/>
    </xf>
    <xf numFmtId="0" fontId="54" fillId="0" borderId="0" xfId="0" applyFont="1" applyNumberFormat="1">
      <alignment vertical="center" wrapText="1"/>
    </xf>
    <xf numFmtId="49" fontId="23" fillId="0" borderId="0" xfId="0" applyFont="1" applyNumberFormat="1">
      <alignment vertical="top"/>
    </xf>
    <xf numFmtId="0" fontId="23" fillId="37" borderId="0" xfId="0" applyFont="1" applyFill="1" applyNumberFormat="1">
      <alignment vertical="center" wrapText="1"/>
    </xf>
    <xf numFmtId="49" fontId="23" fillId="0" borderId="0" xfId="0" applyFont="1" applyNumberFormat="1">
      <alignment vertical="top"/>
    </xf>
    <xf numFmtId="0" fontId="23" fillId="0" borderId="0" xfId="0" applyFont="1" applyNumberFormat="1">
      <alignment vertical="center"/>
    </xf>
    <xf numFmtId="0" fontId="0" fillId="37" borderId="19" xfId="0" applyFont="1" applyFill="1" applyBorder="1" applyNumberFormat="1">
      <alignment horizontal="center" vertical="center" wrapText="1"/>
    </xf>
    <xf numFmtId="0" fontId="0" fillId="37" borderId="39" xfId="0" applyFont="1" applyFill="1" applyBorder="1" applyNumberFormat="1">
      <alignment horizontal="center" vertical="center" wrapText="1"/>
    </xf>
    <xf numFmtId="0" fontId="23" fillId="40" borderId="31" xfId="0" applyFont="1" applyFill="1" applyBorder="1" applyNumberFormat="1">
      <alignment vertical="center" wrapText="1"/>
    </xf>
    <xf numFmtId="0" fontId="23" fillId="0" borderId="0" xfId="0" applyFont="1" applyNumberFormat="1">
      <alignment vertical="center" wrapText="1"/>
    </xf>
    <xf numFmtId="0" fontId="23" fillId="37" borderId="41" xfId="0" applyFont="1" applyFill="1" applyBorder="1" applyNumberFormat="1">
      <alignment vertical="center" wrapText="1"/>
    </xf>
    <xf numFmtId="0" fontId="36" fillId="37" borderId="41" xfId="0" applyFont="1" applyFill="1" applyBorder="1" applyNumberFormat="1">
      <alignment horizontal="center" wrapText="1"/>
    </xf>
    <xf numFmtId="49" fontId="78" fillId="0" borderId="41" xfId="0" applyFont="1" applyBorder="1" applyNumberFormat="1">
      <alignment vertical="top"/>
    </xf>
    <xf numFmtId="49" fontId="53" fillId="0" borderId="0" xfId="0" applyFont="1" applyNumberFormat="1">
      <alignment vertical="center"/>
    </xf>
    <xf numFmtId="49" fontId="104" fillId="0" borderId="0" xfId="0" applyFont="1" applyNumberFormat="1">
      <alignment vertical="center"/>
    </xf>
    <xf numFmtId="49" fontId="53" fillId="0" borderId="0" xfId="0" applyFont="1" applyNumberFormat="1">
      <alignment vertical="center"/>
    </xf>
    <xf numFmtId="49" fontId="53" fillId="0" borderId="0" xfId="0" applyFont="1" applyNumberFormat="1">
      <alignment vertical="center"/>
    </xf>
    <xf numFmtId="49" fontId="53" fillId="0" borderId="0" xfId="0" applyFont="1" applyNumberFormat="1">
      <alignment vertical="center" wrapText="1"/>
    </xf>
    <xf numFmtId="49" fontId="104" fillId="0" borderId="0" xfId="0" applyFont="1" applyNumberFormat="1">
      <alignment vertical="center" wrapText="1"/>
    </xf>
    <xf numFmtId="49" fontId="53" fillId="0" borderId="0" xfId="0" applyFont="1" applyNumberFormat="1">
      <alignment vertical="center" wrapText="1"/>
    </xf>
    <xf numFmtId="49" fontId="53" fillId="0" borderId="0" xfId="0" applyFont="1" applyNumberFormat="1">
      <alignment vertical="top"/>
    </xf>
    <xf numFmtId="49" fontId="53" fillId="0" borderId="0" xfId="0" applyFont="1" applyNumberFormat="1">
      <alignment vertical="center" wrapText="1"/>
    </xf>
    <xf numFmtId="49" fontId="53" fillId="0" borderId="0" xfId="0" applyFont="1" applyNumberFormat="1">
      <alignment horizontal="center" vertical="center" wrapText="1"/>
    </xf>
    <xf numFmtId="49" fontId="104" fillId="0" borderId="0" xfId="0" applyFont="1" applyNumberFormat="1">
      <alignment horizontal="center" vertical="center" wrapText="1"/>
    </xf>
    <xf numFmtId="49" fontId="53" fillId="0" borderId="0" xfId="0" applyFont="1" applyNumberFormat="1">
      <alignment horizontal="center" vertical="center" wrapText="1"/>
    </xf>
    <xf numFmtId="49" fontId="104" fillId="0" borderId="0" xfId="0" applyFont="1" applyNumberFormat="1">
      <alignment horizontal="center" vertical="center" wrapText="1"/>
    </xf>
    <xf numFmtId="0" fontId="53" fillId="0" borderId="0" xfId="0" applyFont="1" applyNumberFormat="1">
      <alignment horizontal="center" vertical="center" wrapText="1"/>
    </xf>
    <xf numFmtId="49" fontId="104" fillId="0" borderId="0" xfId="0" applyFont="1" applyNumberFormat="1">
      <alignment vertical="center" wrapText="1"/>
    </xf>
    <xf numFmtId="49" fontId="53" fillId="37" borderId="0" xfId="0" applyFont="1" applyFill="1" applyNumberFormat="1">
      <alignment vertical="center" wrapText="1"/>
    </xf>
    <xf numFmtId="49" fontId="53" fillId="0" borderId="0" xfId="0" applyFont="1" applyNumberFormat="1">
      <alignment vertical="top"/>
    </xf>
    <xf numFmtId="49" fontId="53" fillId="37" borderId="0" xfId="0" applyFont="1" applyFill="1" applyNumberFormat="1">
      <alignment vertical="center"/>
    </xf>
    <xf numFmtId="49" fontId="104" fillId="0" borderId="0" xfId="0" applyFont="1" applyNumberFormat="1">
      <alignment vertical="center"/>
    </xf>
    <xf numFmtId="49" fontId="53" fillId="0" borderId="0" xfId="0" applyFont="1" applyNumberFormat="1">
      <alignment vertical="top"/>
    </xf>
    <xf numFmtId="4" fontId="53" fillId="37" borderId="0" xfId="0" applyFont="1" applyFill="1" applyNumberFormat="1">
      <alignment vertical="center"/>
    </xf>
    <xf numFmtId="3" fontId="53" fillId="39" borderId="14" xfId="0" applyFont="1" applyFill="1" applyBorder="1" applyNumberFormat="1">
      <alignment horizontal="right" vertical="center"/>
      <protection locked="0"/>
    </xf>
    <xf numFmtId="49" fontId="40" fillId="0" borderId="0" xfId="0" applyFont="1" applyNumberFormat="1">
      <alignment horizontal="center" vertical="center" wrapText="1"/>
    </xf>
    <xf numFmtId="49" fontId="23" fillId="0" borderId="0" xfId="0" applyFont="1" applyNumberFormat="1">
      <alignment horizontal="center" vertical="center" wrapText="1"/>
    </xf>
    <xf numFmtId="49" fontId="23" fillId="37" borderId="0" xfId="0" applyFont="1" applyFill="1" applyNumberFormat="1">
      <alignment horizontal="center" vertical="center" wrapText="1"/>
    </xf>
    <xf numFmtId="49" fontId="55" fillId="0" borderId="15" xfId="0" applyFont="1" applyBorder="1" applyNumberFormat="1">
      <alignment horizontal="left" vertical="center" indent="1"/>
    </xf>
    <xf numFmtId="0" fontId="23" fillId="0" borderId="26" xfId="0" applyFont="1" applyBorder="1" applyNumberFormat="1">
      <alignment vertical="top" wrapText="1"/>
    </xf>
    <xf numFmtId="0" fontId="23" fillId="0" borderId="16" xfId="0" applyFont="1" applyBorder="1" applyNumberFormat="1">
      <alignment horizontal="center" vertical="center" wrapText="1"/>
    </xf>
    <xf numFmtId="0" fontId="23" fillId="0" borderId="19" xfId="0" applyFont="1" applyBorder="1" applyNumberFormat="1">
      <alignment horizontal="center" vertical="center" wrapText="1"/>
    </xf>
    <xf numFmtId="0" fontId="23" fillId="0" borderId="14" xfId="0" applyFont="1" applyBorder="1" applyNumberFormat="1">
      <alignment horizontal="center" vertical="center" wrapText="1"/>
    </xf>
    <xf numFmtId="49" fontId="54" fillId="0" borderId="0" xfId="0" applyFont="1" applyNumberFormat="1">
      <alignment horizontal="center" vertical="center" wrapText="1"/>
    </xf>
    <xf numFmtId="49" fontId="55" fillId="0" borderId="0" xfId="0" applyFont="1" applyNumberFormat="1">
      <alignment horizontal="center" vertical="center" wrapText="1"/>
    </xf>
    <xf numFmtId="49" fontId="23" fillId="0" borderId="14" xfId="0" applyFont="1" applyBorder="1" applyNumberFormat="1">
      <alignment horizontal="center" vertical="center" wrapText="1"/>
    </xf>
    <xf numFmtId="0" fontId="23" fillId="0" borderId="14" xfId="0" applyFont="1" applyBorder="1" applyNumberFormat="1">
      <alignment horizontal="left" vertical="center" wrapText="1" indent="1"/>
    </xf>
    <xf numFmtId="49" fontId="23" fillId="42" borderId="14" xfId="0" applyFont="1" applyFill="1" applyBorder="1" applyNumberFormat="1">
      <alignment horizontal="left" vertical="center" wrapText="1"/>
      <protection locked="0"/>
    </xf>
    <xf numFmtId="0" fontId="45" fillId="0" borderId="0" xfId="0" applyFont="1" applyNumberFormat="1">
      <alignment horizontal="center" vertical="center" wrapText="1"/>
    </xf>
    <xf numFmtId="49" fontId="96" fillId="0" borderId="14" xfId="0" applyFont="1" applyBorder="1" applyNumberFormat="1">
      <alignment horizontal="center" vertical="center" wrapText="1"/>
    </xf>
    <xf numFmtId="0" fontId="96" fillId="0" borderId="14" xfId="0" applyFont="1" applyBorder="1" applyNumberFormat="1">
      <alignment horizontal="center" vertical="center" wrapText="1"/>
    </xf>
    <xf numFmtId="49" fontId="96" fillId="0" borderId="19" xfId="0" applyFont="1" applyBorder="1" applyNumberFormat="1">
      <alignment horizontal="center" vertical="center" wrapText="1"/>
    </xf>
    <xf numFmtId="49" fontId="96" fillId="0" borderId="25" xfId="0" applyFont="1" applyBorder="1" applyNumberFormat="1">
      <alignment horizontal="center" vertical="center" wrapText="1"/>
    </xf>
    <xf numFmtId="0" fontId="96" fillId="0" borderId="19" xfId="0" applyFont="1" applyBorder="1" applyNumberFormat="1">
      <alignment horizontal="center" vertical="center" wrapText="1"/>
    </xf>
    <xf numFmtId="49" fontId="100" fillId="0" borderId="24" xfId="0" applyFont="1" applyBorder="1" applyNumberFormat="1">
      <alignment horizontal="center" vertical="top" wrapText="1"/>
    </xf>
    <xf numFmtId="49" fontId="100" fillId="0" borderId="38" xfId="0" applyFont="1" applyBorder="1" applyNumberFormat="1">
      <alignment horizontal="left" vertical="top" wrapText="1"/>
    </xf>
    <xf numFmtId="0" fontId="96" fillId="0" borderId="14" xfId="0" applyFont="1" applyBorder="1" applyNumberFormat="1">
      <alignment vertical="center" wrapText="1"/>
    </xf>
    <xf numFmtId="0" fontId="96" fillId="0" borderId="19" xfId="0" applyFont="1" applyBorder="1" applyNumberFormat="1">
      <alignment vertical="center" wrapText="1"/>
    </xf>
    <xf numFmtId="0" fontId="96" fillId="0" borderId="25" xfId="0" applyFont="1" applyBorder="1" applyNumberFormat="1">
      <alignment vertical="center" wrapText="1"/>
    </xf>
    <xf numFmtId="49" fontId="96" fillId="0" borderId="14" xfId="0" applyFont="1" applyBorder="1" applyNumberFormat="1">
      <alignment horizontal="left" vertical="top" wrapText="1"/>
    </xf>
    <xf numFmtId="166" fontId="23" fillId="42" borderId="19" xfId="0" applyFont="1" applyFill="1" applyBorder="1" applyNumberFormat="1">
      <alignment horizontal="right" vertical="center" wrapText="1"/>
      <protection locked="0"/>
    </xf>
    <xf numFmtId="0" fontId="23" fillId="0" borderId="15" xfId="0" applyFont="1" applyBorder="1" applyNumberFormat="1">
      <alignment horizontal="center" vertical="center" wrapText="1"/>
    </xf>
    <xf numFmtId="0" fontId="23" fillId="0" borderId="22" xfId="0" applyFont="1" applyBorder="1" applyNumberFormat="1">
      <alignment horizontal="center" vertical="center" wrapText="1"/>
    </xf>
    <xf numFmtId="49" fontId="23" fillId="40" borderId="39" xfId="0" applyFont="1" applyFill="1" applyBorder="1" applyNumberFormat="1">
      <alignment vertical="center" wrapText="1"/>
    </xf>
    <xf numFmtId="49" fontId="48" fillId="40" borderId="21" xfId="0" applyFont="1" applyFill="1" applyBorder="1" applyNumberFormat="1">
      <alignment horizontal="left" vertical="center" indent="1"/>
    </xf>
    <xf numFmtId="49" fontId="23" fillId="40" borderId="39" xfId="0" applyFont="1" applyFill="1" applyBorder="1" applyNumberFormat="1">
      <alignment vertical="center" wrapText="1"/>
    </xf>
    <xf numFmtId="49" fontId="48" fillId="40" borderId="21" xfId="0" applyFont="1" applyFill="1" applyBorder="1" applyNumberFormat="1">
      <alignment horizontal="left" vertical="center" indent="1"/>
    </xf>
    <xf numFmtId="0" fontId="77" fillId="0" borderId="0" xfId="0" applyFont="1" applyNumberFormat="1">
      <alignment horizontal="center" vertical="center" wrapText="1"/>
    </xf>
    <xf numFmtId="4" fontId="23" fillId="42" borderId="15" xfId="0" applyFont="1" applyFill="1" applyBorder="1" applyNumberFormat="1">
      <alignment horizontal="right" vertical="center" wrapText="1"/>
      <protection locked="0"/>
    </xf>
    <xf numFmtId="166" fontId="23" fillId="42" borderId="15" xfId="0" applyFont="1" applyFill="1" applyBorder="1" applyNumberFormat="1">
      <alignment horizontal="right" vertical="center" wrapText="1"/>
      <protection locked="0"/>
    </xf>
    <xf numFmtId="166" fontId="23" fillId="38" borderId="15" xfId="0" applyFont="1" applyFill="1" applyBorder="1" applyNumberFormat="1">
      <alignment horizontal="right" vertical="center" wrapText="1"/>
    </xf>
    <xf numFmtId="4" fontId="23" fillId="42" borderId="31" xfId="0" applyFont="1" applyFill="1" applyBorder="1" applyNumberFormat="1">
      <alignment horizontal="right" vertical="center" wrapText="1"/>
      <protection locked="0"/>
    </xf>
    <xf numFmtId="49" fontId="96" fillId="34" borderId="14" xfId="0" applyFont="1" applyFill="1" applyBorder="1" applyNumberFormat="1">
      <alignment horizontal="center" vertical="top"/>
    </xf>
    <xf numFmtId="49" fontId="100" fillId="0" borderId="0" xfId="0" applyFont="1" applyNumberFormat="1">
      <alignment vertical="top"/>
    </xf>
    <xf numFmtId="49" fontId="96" fillId="0" borderId="14" xfId="0" applyFont="1" applyBorder="1" applyNumberFormat="1">
      <alignment horizontal="center" vertical="top" wrapText="1"/>
    </xf>
    <xf numFmtId="49" fontId="96" fillId="0" borderId="14" xfId="0" applyFont="1" applyBorder="1" applyNumberFormat="1">
      <alignment vertical="top" wrapText="1"/>
    </xf>
    <xf numFmtId="0" fontId="96" fillId="0" borderId="14" xfId="0" applyFont="1" applyBorder="1" applyNumberFormat="1">
      <alignment vertical="top" wrapText="1"/>
    </xf>
    <xf numFmtId="49" fontId="96" fillId="0" borderId="14" xfId="0" applyFont="1" applyBorder="1" applyNumberFormat="1">
      <alignment vertical="top"/>
    </xf>
    <xf numFmtId="49" fontId="100" fillId="0" borderId="14" xfId="0" applyFont="1" applyBorder="1" applyNumberFormat="1">
      <alignment vertical="top"/>
    </xf>
    <xf numFmtId="49" fontId="96" fillId="0" borderId="0" xfId="0" applyFont="1" applyNumberFormat="1">
      <alignment horizontal="center" vertical="center" wrapText="1"/>
    </xf>
    <xf numFmtId="49" fontId="96" fillId="0" borderId="0" xfId="0" applyFont="1" applyNumberFormat="1">
      <alignment horizontal="left" vertical="center" wrapText="1"/>
    </xf>
    <xf numFmtId="49" fontId="96" fillId="48" borderId="0" xfId="0" applyFont="1" applyFill="1" applyNumberFormat="1">
      <alignment horizontal="center" vertical="center" wrapText="1"/>
    </xf>
    <xf numFmtId="0" fontId="96" fillId="0" borderId="0" xfId="0" applyFont="1" applyNumberFormat="1">
      <alignment vertical="center" wrapText="1"/>
    </xf>
    <xf numFmtId="0" fontId="55" fillId="0" borderId="14" xfId="0" applyFont="1" applyBorder="1" applyNumberFormat="1">
      <alignment horizontal="left" vertical="center" wrapText="1" indent="3"/>
    </xf>
    <xf numFmtId="49" fontId="55" fillId="0" borderId="14" xfId="0" applyFont="1" applyBorder="1" applyNumberFormat="1">
      <alignment vertical="center" wrapText="1"/>
    </xf>
    <xf numFmtId="0" fontId="55" fillId="0" borderId="19" xfId="0" applyFont="1" applyBorder="1" applyNumberFormat="1">
      <alignment vertical="top" wrapText="1"/>
    </xf>
    <xf numFmtId="0" fontId="55" fillId="0" borderId="38" xfId="0" applyFont="1" applyBorder="1" applyNumberFormat="1">
      <alignment horizontal="left" vertical="center" wrapText="1" indent="1"/>
    </xf>
    <xf numFmtId="0" fontId="55" fillId="0" borderId="38" xfId="0" applyFont="1" applyBorder="1" applyNumberFormat="1">
      <alignment horizontal="center" vertical="center" wrapText="1"/>
    </xf>
    <xf numFmtId="0" fontId="55" fillId="0" borderId="19" xfId="0" applyFont="1" applyBorder="1" applyNumberFormat="1">
      <alignment vertical="center" wrapText="1"/>
    </xf>
    <xf numFmtId="0" fontId="55" fillId="0" borderId="25" xfId="0" applyFont="1" applyBorder="1" applyNumberFormat="1">
      <alignment horizontal="left" vertical="center" wrapText="1" indent="1"/>
    </xf>
    <xf numFmtId="0" fontId="55" fillId="0" borderId="19" xfId="0" applyFont="1" applyBorder="1" applyNumberFormat="1">
      <alignment horizontal="left" vertical="center" wrapText="1" indent="1"/>
    </xf>
    <xf numFmtId="49" fontId="100" fillId="34" borderId="14" xfId="0" applyFont="1" applyFill="1" applyBorder="1" applyNumberFormat="1">
      <alignment horizontal="center" vertical="top" wrapText="1"/>
    </xf>
    <xf numFmtId="49" fontId="100" fillId="34" borderId="14" xfId="0" applyFont="1" applyFill="1" applyBorder="1" applyNumberFormat="1">
      <alignment horizontal="left" vertical="top" wrapText="1"/>
    </xf>
    <xf numFmtId="49" fontId="100" fillId="34" borderId="0" xfId="0" applyFont="1" applyFill="1" applyNumberFormat="1">
      <alignment horizontal="left" vertical="top" wrapText="1"/>
    </xf>
    <xf numFmtId="0" fontId="96" fillId="0" borderId="16" xfId="0" applyFont="1" applyBorder="1" applyNumberFormat="1">
      <alignment horizontal="center" vertical="center" wrapText="1"/>
    </xf>
    <xf numFmtId="0" fontId="23" fillId="0" borderId="25" xfId="0" applyFont="1" applyBorder="1" applyNumberFormat="1">
      <alignment vertical="top" wrapText="1"/>
    </xf>
    <xf numFmtId="0" fontId="23" fillId="0" borderId="25" xfId="0" applyFont="1" applyBorder="1" applyNumberFormat="1">
      <alignment vertical="top" wrapText="1"/>
    </xf>
    <xf numFmtId="0" fontId="96" fillId="0" borderId="16" xfId="0" applyFont="1" applyBorder="1" applyNumberFormat="1">
      <alignment horizontal="center" vertical="center"/>
    </xf>
    <xf numFmtId="49" fontId="55" fillId="37" borderId="14" xfId="0" applyFont="1" applyFill="1" applyBorder="1" applyNumberFormat="1">
      <alignment horizontal="center" vertical="center"/>
    </xf>
    <xf numFmtId="0" fontId="55" fillId="37" borderId="14" xfId="0" applyFont="1" applyFill="1" applyBorder="1" applyNumberFormat="1">
      <alignment horizontal="left" vertical="center" wrapText="1" indent="1"/>
    </xf>
    <xf numFmtId="0" fontId="55" fillId="37" borderId="14" xfId="0" applyFont="1" applyFill="1" applyBorder="1" applyNumberFormat="1">
      <alignment vertical="center" wrapText="1"/>
    </xf>
    <xf numFmtId="49" fontId="55" fillId="0" borderId="14" xfId="0" applyFont="1" applyBorder="1" applyNumberFormat="1">
      <alignment horizontal="center" vertical="center"/>
    </xf>
    <xf numFmtId="0" fontId="55" fillId="0" borderId="14" xfId="0" applyFont="1" applyBorder="1" applyNumberFormat="1">
      <alignment horizontal="left" vertical="center" wrapText="1" indent="1"/>
    </xf>
    <xf numFmtId="0" fontId="55" fillId="0" borderId="14" xfId="0" applyFont="1" applyBorder="1" applyNumberFormat="1">
      <alignment horizontal="left" vertical="center" wrapText="1"/>
    </xf>
    <xf numFmtId="0" fontId="55" fillId="0" borderId="14" xfId="0" applyFont="1" applyBorder="1" applyNumberFormat="1">
      <alignment vertical="center" wrapText="1"/>
    </xf>
    <xf numFmtId="0" fontId="55" fillId="0" borderId="14" xfId="0" applyFont="1" applyBorder="1" applyNumberFormat="1">
      <alignment horizontal="center" vertical="center" wrapText="1"/>
    </xf>
    <xf numFmtId="0" fontId="55" fillId="37" borderId="14" xfId="0" applyFont="1" applyFill="1" applyBorder="1" applyNumberFormat="1">
      <alignment horizontal="left" vertical="center" wrapText="1" indent="2"/>
    </xf>
    <xf numFmtId="49" fontId="55" fillId="0" borderId="14" xfId="0" applyFont="1" applyBorder="1" applyNumberFormat="1">
      <alignment horizontal="left" vertical="center" wrapText="1"/>
    </xf>
    <xf numFmtId="49" fontId="55" fillId="0" borderId="14" xfId="0" applyFont="1" applyBorder="1" applyNumberFormat="1">
      <alignment horizontal="left" vertical="center" wrapText="1"/>
    </xf>
    <xf numFmtId="2" fontId="23" fillId="0" borderId="25" xfId="0" applyFont="1" applyBorder="1" applyNumberFormat="1">
      <alignment horizontal="center" vertical="center" wrapText="1"/>
    </xf>
    <xf numFmtId="0" fontId="105" fillId="0" borderId="0" xfId="0" applyFont="1" applyNumberFormat="1">
      <alignment horizontal="center" vertical="center" wrapText="1"/>
    </xf>
    <xf numFmtId="0" fontId="106" fillId="37" borderId="0" xfId="0" applyFont="1" applyFill="1" applyNumberFormat="1">
      <alignment horizontal="right" vertical="center"/>
    </xf>
    <xf numFmtId="0" fontId="23" fillId="0" borderId="25" xfId="0" applyFont="1" applyBorder="1" applyNumberFormat="1">
      <alignment horizontal="left" vertical="center" wrapText="1"/>
    </xf>
    <xf numFmtId="49" fontId="54" fillId="0" borderId="0" xfId="0" applyFont="1" applyNumberFormat="1">
      <alignment horizontal="center" vertical="center" wrapText="1"/>
    </xf>
    <xf numFmtId="0" fontId="55" fillId="0" borderId="29" xfId="0" applyFont="1" applyBorder="1" applyNumberFormat="1">
      <alignment vertical="center" wrapText="1"/>
    </xf>
    <xf numFmtId="49" fontId="34" fillId="0" borderId="16" xfId="0" applyFont="1" applyBorder="1" applyNumberFormat="1">
      <alignment horizontal="left" vertical="center" wrapText="1"/>
    </xf>
    <xf numFmtId="49" fontId="34" fillId="0" borderId="17" xfId="0" applyFont="1" applyBorder="1" applyNumberFormat="1">
      <alignment horizontal="left" vertical="center" wrapText="1"/>
    </xf>
    <xf numFmtId="49" fontId="55" fillId="0" borderId="0" xfId="0" applyFont="1" applyNumberFormat="1">
      <alignment horizontal="center" vertical="center" wrapText="1"/>
    </xf>
    <xf numFmtId="0" fontId="55" fillId="0" borderId="0" xfId="0" applyFont="1" applyNumberFormat="1">
      <alignment horizontal="center" vertical="center" wrapText="1"/>
    </xf>
    <xf numFmtId="4" fontId="23" fillId="0" borderId="19" xfId="0" applyFont="1" applyBorder="1" applyNumberFormat="1">
      <alignment horizontal="center" vertical="center" wrapText="1"/>
    </xf>
    <xf numFmtId="4" fontId="23" fillId="0" borderId="34" xfId="0" applyFont="1" applyBorder="1" applyNumberFormat="1">
      <alignment horizontal="center" vertical="center" wrapText="1"/>
    </xf>
    <xf numFmtId="49" fontId="34" fillId="0" borderId="39" xfId="0" applyFont="1" applyBorder="1" applyNumberFormat="1">
      <alignment horizontal="left" vertical="center" wrapText="1"/>
    </xf>
    <xf numFmtId="49" fontId="34" fillId="0" borderId="32" xfId="0" applyFont="1" applyBorder="1" applyNumberFormat="1">
      <alignment horizontal="left" vertical="center" wrapText="1"/>
    </xf>
    <xf numFmtId="0" fontId="23" fillId="0" borderId="38" xfId="0" applyFont="1" applyBorder="1" applyNumberFormat="1">
      <alignment vertical="center" wrapText="1"/>
    </xf>
    <xf numFmtId="0" fontId="23" fillId="0" borderId="34" xfId="0" applyFont="1" applyBorder="1" applyNumberFormat="1">
      <alignment horizontal="left" vertical="center" wrapText="1"/>
    </xf>
    <xf numFmtId="49" fontId="54" fillId="0" borderId="0" xfId="0" applyFont="1" applyNumberFormat="1">
      <alignment horizontal="center" vertical="center" wrapText="1"/>
    </xf>
    <xf numFmtId="0" fontId="23" fillId="0" borderId="0" xfId="0" applyFont="1" applyNumberFormat="1">
      <alignment vertical="top" wrapText="1"/>
    </xf>
    <xf numFmtId="0" fontId="23" fillId="0" borderId="0" xfId="0" applyFont="1" applyNumberFormat="1">
      <alignment vertical="top"/>
    </xf>
    <xf numFmtId="4" fontId="23" fillId="0" borderId="42" xfId="0" applyFont="1" applyBorder="1" applyNumberFormat="1">
      <alignment horizontal="center" vertical="center" wrapText="1"/>
    </xf>
    <xf numFmtId="0" fontId="55" fillId="0" borderId="0" xfId="0" applyFont="1" applyNumberFormat="1">
      <alignment horizontal="center" vertical="top"/>
    </xf>
    <xf numFmtId="49" fontId="55" fillId="0" borderId="0" xfId="0" applyFont="1" applyNumberFormat="1">
      <alignment vertical="top"/>
    </xf>
    <xf numFmtId="0" fontId="55" fillId="0" borderId="25" xfId="0" applyFont="1" applyBorder="1" applyNumberFormat="1">
      <alignment vertical="center" wrapText="1"/>
    </xf>
    <xf numFmtId="4" fontId="55" fillId="0" borderId="14" xfId="0" applyFont="1" applyBorder="1" applyNumberFormat="1">
      <alignment horizontal="right" vertical="center" wrapText="1"/>
    </xf>
    <xf numFmtId="2" fontId="55" fillId="0" borderId="25" xfId="0" applyFont="1" applyBorder="1" applyNumberFormat="1">
      <alignment horizontal="center" vertical="center" wrapText="1"/>
    </xf>
    <xf numFmtId="0" fontId="55" fillId="0" borderId="14" xfId="0" applyFont="1" applyBorder="1" applyNumberFormat="1">
      <alignment horizontal="left" vertical="center" wrapText="1"/>
    </xf>
    <xf numFmtId="49" fontId="55" fillId="0" borderId="16" xfId="0" applyFont="1" applyBorder="1" applyNumberFormat="1">
      <alignment horizontal="left" vertical="center"/>
    </xf>
    <xf numFmtId="49" fontId="55" fillId="0" borderId="17" xfId="0" applyFont="1" applyBorder="1" applyNumberFormat="1">
      <alignment horizontal="left" vertical="center" indent="1"/>
    </xf>
    <xf numFmtId="49" fontId="55" fillId="0" borderId="17" xfId="0" applyFont="1" applyBorder="1" applyNumberFormat="1">
      <alignment horizontal="left" vertical="center"/>
    </xf>
    <xf numFmtId="0" fontId="55" fillId="0" borderId="14" xfId="0" applyFont="1" applyBorder="1" applyNumberFormat="1">
      <alignment horizontal="left" vertical="center" indent="1"/>
    </xf>
    <xf numFmtId="49" fontId="48" fillId="0" borderId="21" xfId="0" applyFont="1" applyBorder="1" applyNumberFormat="1">
      <alignment horizontal="right" vertical="center"/>
    </xf>
    <xf numFmtId="0" fontId="23" fillId="43" borderId="14" xfId="0" applyFont="1" applyFill="1" applyBorder="1" applyNumberFormat="1">
      <alignment horizontal="left" vertical="center" wrapText="1" indent="1"/>
    </xf>
    <xf numFmtId="0" fontId="23" fillId="0" borderId="14" xfId="0" applyFont="1" applyBorder="1" applyNumberFormat="1">
      <alignment horizontal="center" vertical="center" wrapText="1"/>
    </xf>
    <xf numFmtId="0" fontId="55" fillId="0" borderId="0" xfId="0" applyFont="1" applyNumberFormat="1">
      <alignment horizontal="center" vertical="center" wrapText="1"/>
    </xf>
    <xf numFmtId="49" fontId="54" fillId="0" borderId="0" xfId="0" applyFont="1" applyNumberFormat="1">
      <alignment horizontal="center" vertical="center" wrapText="1"/>
    </xf>
    <xf numFmtId="49" fontId="55" fillId="0" borderId="0" xfId="0" applyFont="1" applyNumberFormat="1">
      <alignment horizontal="center" vertical="center" wrapText="1"/>
    </xf>
    <xf numFmtId="0" fontId="66" fillId="37" borderId="0" xfId="0" applyFont="1" applyFill="1" applyNumberFormat="1">
      <alignment horizontal="left" vertical="center" wrapText="1" indent="1"/>
    </xf>
    <xf numFmtId="0" fontId="23" fillId="0" borderId="0" xfId="0" applyFont="1" applyNumberFormat="1">
      <alignment horizontal="left" vertical="center" wrapText="1" indent="1"/>
    </xf>
    <xf numFmtId="49" fontId="34" fillId="39" borderId="15" xfId="0" applyFont="1" applyFill="1" applyBorder="1" applyNumberFormat="1">
      <alignment horizontal="left" vertical="center" wrapText="1"/>
      <protection locked="0"/>
    </xf>
    <xf numFmtId="49" fontId="23" fillId="0" borderId="0" xfId="0" applyFont="1" applyNumberFormat="1">
      <alignment horizontal="center" vertical="center" wrapText="1"/>
    </xf>
    <xf numFmtId="0" fontId="23" fillId="0" borderId="21" xfId="0" applyFont="1" applyBorder="1" applyNumberFormat="1">
      <alignment vertical="center" wrapText="1"/>
    </xf>
    <xf numFmtId="0" fontId="23" fillId="0" borderId="29" xfId="0" applyFont="1" applyBorder="1" applyNumberFormat="1">
      <alignment vertical="center" wrapText="1"/>
    </xf>
    <xf numFmtId="49" fontId="23" fillId="40" borderId="43" xfId="0" applyFont="1" applyFill="1" applyBorder="1" applyNumberFormat="1">
      <alignment horizontal="center" vertical="center" wrapText="1"/>
    </xf>
    <xf numFmtId="49" fontId="36" fillId="40" borderId="44" xfId="0" applyFont="1" applyFill="1" applyBorder="1" applyNumberFormat="1">
      <alignment horizontal="right" vertical="center" wrapText="1"/>
    </xf>
    <xf numFmtId="49" fontId="36" fillId="40" borderId="45" xfId="0" applyFont="1" applyFill="1" applyBorder="1" applyNumberFormat="1">
      <alignment horizontal="right" vertical="center" wrapText="1"/>
    </xf>
    <xf numFmtId="49" fontId="53" fillId="0" borderId="0" xfId="0" applyFont="1" applyNumberFormat="1">
      <alignment vertical="top"/>
    </xf>
    <xf numFmtId="49" fontId="53" fillId="0" borderId="0" xfId="0" applyFont="1" applyNumberFormat="1">
      <alignment vertical="center" wrapText="1"/>
    </xf>
    <xf numFmtId="0" fontId="53" fillId="0" borderId="0" xfId="0" applyFont="1" applyNumberFormat="1">
      <alignment vertical="center" wrapText="1"/>
    </xf>
    <xf numFmtId="49" fontId="99" fillId="0" borderId="0" xfId="0" applyFont="1" applyNumberFormat="1">
      <alignment vertical="center" wrapText="1"/>
    </xf>
    <xf numFmtId="49" fontId="0" fillId="0" borderId="0" xfId="0" applyFont="1" applyNumberFormat="1">
      <alignment vertical="center" wrapText="1"/>
    </xf>
    <xf numFmtId="49" fontId="40" fillId="49" borderId="0" xfId="0" applyFont="1" applyFill="1" applyNumberFormat="1">
      <alignment horizontal="center" vertical="center"/>
    </xf>
    <xf numFmtId="0" fontId="0" fillId="50" borderId="0" xfId="0" applyFont="1" applyFill="1" applyNumberFormat="1">
      <alignment horizontal="left" vertical="center"/>
    </xf>
    <xf numFmtId="0" fontId="0" fillId="51" borderId="14" xfId="0" applyFont="1" applyFill="1" applyBorder="1" applyNumberFormat="1">
      <alignment horizontal="center" vertical="center"/>
    </xf>
    <xf numFmtId="49" fontId="0" fillId="0" borderId="0" xfId="0" applyFont="1" applyNumberFormat="1">
      <alignment vertical="center"/>
    </xf>
    <xf numFmtId="49" fontId="54" fillId="49" borderId="14" xfId="0" applyFont="1" applyFill="1" applyBorder="1" applyNumberFormat="1">
      <alignment horizontal="center" vertical="center"/>
    </xf>
    <xf numFmtId="49" fontId="54" fillId="52" borderId="14" xfId="0" applyFont="1" applyFill="1" applyBorder="1" applyNumberFormat="1">
      <alignment horizontal="center" vertical="center"/>
    </xf>
    <xf numFmtId="49" fontId="0" fillId="53" borderId="14" xfId="0" applyFont="1" applyFill="1" applyBorder="1" applyNumberFormat="1">
      <alignment horizontal="center" vertical="center"/>
    </xf>
    <xf numFmtId="49" fontId="23" fillId="0" borderId="0" xfId="0" applyFont="1" applyNumberFormat="1">
      <alignment vertical="top"/>
    </xf>
    <xf numFmtId="0" fontId="23" fillId="0" borderId="14" xfId="0" applyFont="1" applyBorder="1" applyNumberFormat="1">
      <alignment vertical="center"/>
    </xf>
    <xf numFmtId="0" fontId="0" fillId="0" borderId="14" xfId="0" applyFont="1" applyBorder="1" applyNumberFormat="1">
      <alignment vertical="center"/>
    </xf>
    <xf numFmtId="0" fontId="0" fillId="0" borderId="14" xfId="0" applyFont="1" applyBorder="1" applyNumberFormat="1">
      <alignment vertical="center"/>
    </xf>
    <xf numFmtId="0" fontId="0" fillId="0" borderId="16" xfId="0" applyFont="1" applyBorder="1" applyNumberFormat="1">
      <alignment vertical="center"/>
    </xf>
    <xf numFmtId="0" fontId="0" fillId="0" borderId="16" xfId="0" applyFont="1" applyBorder="1" applyNumberFormat="1">
      <alignment vertical="center"/>
    </xf>
    <xf numFmtId="49" fontId="23" fillId="0" borderId="46" xfId="0" applyFont="1" applyBorder="1" applyNumberFormat="1">
      <alignment vertical="center"/>
    </xf>
    <xf numFmtId="49" fontId="23" fillId="0" borderId="47" xfId="0" applyFont="1" applyBorder="1" applyNumberFormat="1">
      <alignment vertical="top"/>
    </xf>
    <xf numFmtId="0" fontId="0" fillId="0" borderId="15" xfId="0" applyFont="1" applyBorder="1" applyNumberFormat="1">
      <alignment vertical="center"/>
    </xf>
    <xf numFmtId="0" fontId="0" fillId="0" borderId="14" xfId="0" applyFont="1" applyBorder="1" applyNumberFormat="1">
      <alignment horizontal="right" vertical="top"/>
    </xf>
    <xf numFmtId="0" fontId="0" fillId="0" borderId="14" xfId="0" applyFont="1" applyBorder="1" applyNumberFormat="1">
      <alignment vertical="top"/>
    </xf>
    <xf numFmtId="0" fontId="23" fillId="0" borderId="15" xfId="0" applyFont="1" applyBorder="1" applyNumberFormat="1">
      <alignment vertical="center"/>
    </xf>
    <xf numFmtId="49" fontId="23" fillId="0" borderId="14" xfId="0" applyFont="1" applyBorder="1" applyNumberFormat="1">
      <alignment vertical="center"/>
    </xf>
    <xf numFmtId="0" fontId="0" fillId="0" borderId="0" xfId="0" applyFont="1" applyNumberFormat="1">
      <alignment vertical="top"/>
    </xf>
    <xf numFmtId="0" fontId="23" fillId="0" borderId="14" xfId="0" applyFont="1" applyBorder="1" applyNumberFormat="1">
      <alignment vertical="top"/>
    </xf>
    <xf numFmtId="49" fontId="23" fillId="0" borderId="14" xfId="0" applyFont="1" applyBorder="1" applyNumberFormat="1">
      <alignment vertical="top"/>
    </xf>
    <xf numFmtId="49" fontId="0" fillId="0" borderId="0" xfId="0" applyFont="1" applyNumberFormat="1">
      <alignment vertical="top"/>
    </xf>
    <xf numFmtId="0" fontId="23" fillId="0" borderId="0" xfId="0" applyFont="1" applyNumberFormat="1">
      <alignment vertical="center"/>
    </xf>
    <xf numFmtId="49" fontId="23" fillId="0" borderId="16" xfId="0" applyFont="1" applyBorder="1" applyNumberFormat="1">
      <alignment vertical="top"/>
    </xf>
    <xf numFmtId="0" fontId="0" fillId="0" borderId="0" xfId="0" applyFont="1" applyNumberFormat="1">
      <alignment vertical="center"/>
    </xf>
    <xf numFmtId="0" fontId="23" fillId="0" borderId="0" xfId="0" applyFont="1" applyNumberFormat="1">
      <alignment vertical="top"/>
    </xf>
    <xf numFmtId="49" fontId="23" fillId="0" borderId="14" xfId="0" applyFont="1" applyBorder="1" applyNumberFormat="1">
      <alignment vertical="top"/>
    </xf>
    <xf numFmtId="49" fontId="0" fillId="0" borderId="16" xfId="0" applyFont="1" applyBorder="1" applyNumberFormat="1">
      <alignment vertical="top"/>
    </xf>
    <xf numFmtId="0" fontId="0" fillId="0" borderId="19" xfId="0" applyFont="1" applyBorder="1" applyNumberFormat="1">
      <alignment vertical="top"/>
    </xf>
    <xf numFmtId="0" fontId="23" fillId="0" borderId="19" xfId="0" applyFont="1" applyBorder="1" applyNumberFormat="1">
      <alignment vertical="center"/>
    </xf>
    <xf numFmtId="49" fontId="23" fillId="0" borderId="33" xfId="0" applyFont="1" applyBorder="1" applyNumberFormat="1">
      <alignment horizontal="center" vertical="center"/>
    </xf>
    <xf numFmtId="49" fontId="23" fillId="0" borderId="0" xfId="0" applyFont="1" applyNumberFormat="1">
      <alignment vertical="top"/>
    </xf>
    <xf numFmtId="49" fontId="23" fillId="0" borderId="0" xfId="0" applyFont="1" applyNumberFormat="1">
      <alignment vertical="top"/>
    </xf>
    <xf numFmtId="49" fontId="0" fillId="39" borderId="33" xfId="0" applyFont="1" applyFill="1" applyBorder="1" applyNumberFormat="1">
      <alignment horizontal="left" vertical="center"/>
      <protection locked="0"/>
    </xf>
    <xf numFmtId="49" fontId="0" fillId="0" borderId="14" xfId="0" applyFont="1" applyBorder="1" applyNumberFormat="1">
      <alignment horizontal="center" vertical="center"/>
    </xf>
    <xf numFmtId="49" fontId="0" fillId="0" borderId="33" xfId="0" applyFont="1" applyBorder="1" applyNumberFormat="1">
      <alignment horizontal="right" vertical="center"/>
    </xf>
    <xf numFmtId="0" fontId="0" fillId="38" borderId="33" xfId="0" applyFont="1" applyFill="1" applyBorder="1" applyNumberFormat="1">
      <alignment horizontal="center" vertical="center"/>
    </xf>
    <xf numFmtId="49" fontId="0" fillId="0" borderId="33" xfId="0" applyFont="1" applyBorder="1" applyNumberFormat="1">
      <alignment horizontal="center" vertical="center"/>
    </xf>
    <xf numFmtId="49" fontId="0" fillId="0" borderId="0" xfId="0" applyFont="1" applyNumberFormat="1">
      <alignment horizontal="left" vertical="center"/>
    </xf>
    <xf numFmtId="0" fontId="0" fillId="0" borderId="0" xfId="0" applyFont="1" applyNumberFormat="1">
      <alignment horizontal="center" vertical="center"/>
    </xf>
    <xf numFmtId="0" fontId="107" fillId="0" borderId="48" xfId="0" applyFont="1" applyBorder="1" applyNumberFormat="1">
      <alignment horizontal="center" vertical="center"/>
    </xf>
    <xf numFmtId="0" fontId="0" fillId="0" borderId="48" xfId="0" applyFont="1" applyBorder="1" applyNumberFormat="1">
      <alignment horizontal="center" vertical="center"/>
    </xf>
    <xf numFmtId="49" fontId="40" fillId="49" borderId="14" xfId="0" applyFont="1" applyFill="1" applyBorder="1" applyNumberFormat="1">
      <alignment horizontal="right" vertical="center"/>
    </xf>
    <xf numFmtId="49" fontId="23" fillId="39" borderId="39" xfId="0" applyFont="1" applyFill="1" applyBorder="1" applyNumberFormat="1">
      <alignment vertical="top"/>
      <protection locked="0"/>
    </xf>
    <xf numFmtId="0" fontId="23" fillId="0" borderId="14" xfId="0" applyFont="1" applyBorder="1" applyNumberFormat="1">
      <alignment vertical="top"/>
    </xf>
    <xf numFmtId="49" fontId="23" fillId="34" borderId="25" xfId="0" applyFont="1" applyFill="1" applyBorder="1" applyNumberFormat="1">
      <alignment vertical="top"/>
    </xf>
    <xf numFmtId="49" fontId="23" fillId="34" borderId="14" xfId="0" applyFont="1" applyFill="1" applyBorder="1" applyNumberFormat="1">
      <alignment vertical="top"/>
    </xf>
    <xf numFmtId="0" fontId="0" fillId="0" borderId="34" xfId="0" applyFont="1" applyBorder="1" applyNumberFormat="1">
      <alignment horizontal="center" vertical="center"/>
    </xf>
    <xf numFmtId="0" fontId="0" fillId="0" borderId="33" xfId="0" applyFont="1" applyBorder="1" applyNumberFormat="1">
      <alignment horizontal="center" vertical="center"/>
    </xf>
    <xf numFmtId="49" fontId="0" fillId="0" borderId="0" xfId="0" applyFont="1" applyNumberFormat="1">
      <alignment vertical="center"/>
    </xf>
    <xf numFmtId="49" fontId="40" fillId="49" borderId="16" xfId="0" applyFont="1" applyFill="1" applyBorder="1" applyNumberFormat="1">
      <alignment horizontal="right" vertical="center"/>
    </xf>
    <xf numFmtId="49" fontId="23" fillId="0" borderId="0" xfId="0" applyFont="1" applyNumberFormat="1">
      <alignment vertical="center"/>
    </xf>
    <xf numFmtId="0" fontId="0" fillId="50" borderId="0" xfId="0" applyFont="1" applyFill="1" applyNumberFormat="1">
      <alignment horizontal="right" vertical="center"/>
    </xf>
    <xf numFmtId="0" fontId="108" fillId="0" borderId="49" xfId="0" applyFont="1" applyBorder="1" applyNumberFormat="1">
      <alignment horizontal="left" vertical="center" indent="1"/>
    </xf>
    <xf numFmtId="0" fontId="108" fillId="0" borderId="50" xfId="0" applyFont="1" applyBorder="1" applyNumberFormat="1">
      <alignment horizontal="left" vertical="center" indent="1"/>
    </xf>
    <xf numFmtId="0" fontId="108" fillId="0" borderId="51" xfId="0" applyFont="1" applyBorder="1" applyNumberFormat="1">
      <alignment horizontal="left" vertical="center" indent="1"/>
    </xf>
    <xf numFmtId="0" fontId="23" fillId="37" borderId="0" xfId="0" applyFont="1" applyFill="1" applyNumberFormat="1">
      <alignment vertical="center" wrapText="1"/>
    </xf>
    <xf numFmtId="0" fontId="23" fillId="0" borderId="0" xfId="0" applyFont="1" applyNumberFormat="1">
      <alignment vertical="center" wrapText="1"/>
    </xf>
    <xf numFmtId="0" fontId="40" fillId="0" borderId="0" xfId="0" applyFont="1" applyNumberFormat="1">
      <alignment vertical="center" wrapText="1"/>
    </xf>
    <xf numFmtId="49" fontId="23" fillId="0" borderId="0" xfId="0" applyFont="1" applyNumberFormat="1">
      <alignment vertical="top"/>
    </xf>
    <xf numFmtId="0" fontId="54" fillId="0" borderId="0" xfId="0" applyFont="1" applyNumberFormat="1">
      <alignment vertical="center" wrapText="1"/>
    </xf>
    <xf numFmtId="49" fontId="103" fillId="0" borderId="0" xfId="0" applyFont="1" applyNumberFormat="1">
      <alignment horizontal="center" vertical="center" wrapText="1"/>
    </xf>
    <xf numFmtId="0" fontId="23" fillId="37" borderId="0" xfId="0" applyFont="1" applyFill="1" applyNumberFormat="1">
      <alignment vertical="center" wrapText="1"/>
    </xf>
    <xf numFmtId="0" fontId="23" fillId="0" borderId="0" xfId="0" applyFont="1" applyNumberFormat="1">
      <alignment vertical="center" wrapText="1"/>
    </xf>
    <xf numFmtId="0" fontId="36" fillId="37" borderId="41" xfId="0" applyFont="1" applyFill="1" applyBorder="1" applyNumberFormat="1">
      <alignment horizontal="center" wrapText="1"/>
    </xf>
    <xf numFmtId="49" fontId="78" fillId="0" borderId="41" xfId="0" applyFont="1" applyBorder="1" applyNumberFormat="1">
      <alignment vertical="top"/>
    </xf>
    <xf numFmtId="0" fontId="0" fillId="0" borderId="14" xfId="0" applyFont="1" applyBorder="1" applyNumberFormat="1">
      <alignment horizontal="center" vertical="center" wrapText="1"/>
    </xf>
    <xf numFmtId="0" fontId="23" fillId="0" borderId="0" xfId="0" applyFont="1" applyNumberFormat="1">
      <alignment horizontal="left" vertical="center" wrapText="1" indent="3"/>
    </xf>
    <xf numFmtId="0" fontId="23" fillId="0" borderId="0" xfId="0" applyFont="1" applyNumberFormat="1">
      <alignment horizontal="left" vertical="center" wrapText="1" indent="3"/>
    </xf>
    <xf numFmtId="0" fontId="23" fillId="0" borderId="0" xfId="0" applyFont="1" applyNumberFormat="1">
      <alignment vertical="center" wrapText="1"/>
    </xf>
    <xf numFmtId="0" fontId="40" fillId="0" borderId="0" xfId="0" applyFont="1" applyNumberFormat="1">
      <alignment vertical="center" wrapText="1"/>
    </xf>
    <xf numFmtId="49" fontId="23" fillId="0" borderId="0" xfId="0" applyFont="1" applyNumberFormat="1">
      <alignment vertical="top"/>
    </xf>
    <xf numFmtId="0" fontId="54" fillId="0" borderId="0" xfId="0" applyFont="1" applyNumberFormat="1">
      <alignment vertical="center" wrapText="1"/>
    </xf>
    <xf numFmtId="0" fontId="23" fillId="0" borderId="14" xfId="0" applyFont="1" applyBorder="1" applyNumberFormat="1">
      <alignment horizontal="center" vertical="center" wrapText="1"/>
    </xf>
    <xf numFmtId="0" fontId="23" fillId="0" borderId="0" xfId="0" applyFont="1" applyNumberFormat="1">
      <alignment vertical="center" wrapText="1"/>
    </xf>
    <xf numFmtId="0" fontId="23" fillId="37" borderId="41" xfId="0" applyFont="1" applyFill="1" applyBorder="1" applyNumberFormat="1">
      <alignment vertical="center" wrapText="1"/>
    </xf>
    <xf numFmtId="0" fontId="23" fillId="0" borderId="0" xfId="0" applyFont="1" applyNumberFormat="1">
      <alignment vertical="center" wrapText="1"/>
    </xf>
    <xf numFmtId="0" fontId="40" fillId="0" borderId="0" xfId="0" applyFont="1" applyNumberFormat="1">
      <alignment vertical="center" wrapText="1"/>
    </xf>
    <xf numFmtId="49" fontId="23" fillId="0" borderId="0" xfId="0" applyFont="1" applyNumberFormat="1">
      <alignment vertical="top"/>
    </xf>
    <xf numFmtId="0" fontId="54" fillId="0" borderId="0" xfId="0" applyFont="1" applyNumberFormat="1">
      <alignment vertical="center" wrapText="1"/>
    </xf>
    <xf numFmtId="0" fontId="23" fillId="0" borderId="0" xfId="0" applyFont="1" applyNumberFormat="1">
      <alignment vertical="center" wrapText="1"/>
    </xf>
    <xf numFmtId="0" fontId="23" fillId="0" borderId="0" xfId="0" applyFont="1" applyNumberFormat="1">
      <alignment vertical="center" wrapText="1"/>
    </xf>
    <xf numFmtId="0" fontId="23" fillId="37" borderId="41" xfId="0" applyFont="1" applyFill="1" applyBorder="1" applyNumberFormat="1">
      <alignment vertical="center" wrapText="1"/>
    </xf>
    <xf numFmtId="0" fontId="23" fillId="42" borderId="14" xfId="0" applyFont="1" applyFill="1" applyBorder="1" applyNumberFormat="1">
      <alignment horizontal="left" vertical="center" wrapText="1" indent="1"/>
      <protection locked="0"/>
    </xf>
    <xf numFmtId="49" fontId="54" fillId="49" borderId="0" xfId="0" applyFont="1" applyFill="1" applyNumberFormat="1">
      <alignment horizontal="center" vertical="center" wrapText="1"/>
    </xf>
    <xf numFmtId="0" fontId="23" fillId="0" borderId="14" xfId="0" applyFont="1" applyBorder="1" applyNumberFormat="1">
      <alignment horizontal="center" vertical="center" wrapText="1"/>
    </xf>
    <xf numFmtId="0" fontId="23" fillId="0" borderId="14" xfId="0" applyFont="1" applyBorder="1" applyNumberFormat="1">
      <alignment horizontal="center" vertical="center" wrapText="1"/>
    </xf>
    <xf numFmtId="0" fontId="23" fillId="0" borderId="0" xfId="0" applyFont="1" applyNumberFormat="1">
      <alignment vertical="center" wrapText="1"/>
    </xf>
    <xf numFmtId="0" fontId="40" fillId="0" borderId="0" xfId="0" applyFont="1" applyNumberFormat="1">
      <alignment vertical="center" wrapText="1"/>
    </xf>
    <xf numFmtId="49" fontId="23" fillId="0" borderId="0" xfId="0" applyFont="1" applyNumberFormat="1">
      <alignment vertical="top"/>
    </xf>
    <xf numFmtId="49" fontId="109" fillId="0" borderId="18" xfId="0" applyFont="1" applyBorder="1" applyNumberFormat="1">
      <alignment vertical="top"/>
    </xf>
    <xf numFmtId="0" fontId="0" fillId="0" borderId="0" xfId="0" applyFont="1" applyNumberFormat="1">
      <alignment vertical="top"/>
    </xf>
    <xf numFmtId="0" fontId="54" fillId="0" borderId="0" xfId="0" applyFont="1" applyNumberFormat="1">
      <alignment vertical="center" wrapText="1"/>
    </xf>
    <xf numFmtId="49" fontId="34" fillId="42" borderId="14" xfId="0" applyFont="1" applyFill="1" applyBorder="1" applyNumberFormat="1">
      <alignment horizontal="left" vertical="center" wrapText="1"/>
      <protection locked="0"/>
    </xf>
    <xf numFmtId="0" fontId="23" fillId="0" borderId="16" xfId="0" applyFont="1" applyBorder="1" applyNumberFormat="1">
      <alignment horizontal="left" vertical="center"/>
    </xf>
    <xf numFmtId="0" fontId="0" fillId="0" borderId="16" xfId="0" applyFont="1" applyBorder="1" applyNumberFormat="1">
      <alignment horizontal="left" vertical="center"/>
    </xf>
    <xf numFmtId="49" fontId="34" fillId="42" borderId="14" xfId="0" applyFont="1" applyFill="1" applyBorder="1" applyNumberFormat="1">
      <alignment horizontal="left" vertical="center" wrapText="1"/>
      <protection locked="0"/>
    </xf>
    <xf numFmtId="0" fontId="23" fillId="37" borderId="28" xfId="0" applyFont="1" applyFill="1" applyBorder="1" applyNumberFormat="1">
      <alignment horizontal="right" vertical="center" wrapText="1" indent="1"/>
    </xf>
    <xf numFmtId="49" fontId="54" fillId="0" borderId="0" xfId="0" applyFont="1" applyNumberFormat="1">
      <alignment horizontal="center" vertical="center" wrapText="1"/>
    </xf>
    <xf numFmtId="49" fontId="55" fillId="0" borderId="0" xfId="0" applyFont="1" applyNumberFormat="1">
      <alignment horizontal="center" vertical="center" wrapText="1"/>
    </xf>
    <xf numFmtId="49" fontId="48" fillId="40" borderId="17" xfId="0" applyFont="1" applyFill="1" applyBorder="1" applyNumberFormat="1">
      <alignment horizontal="left" vertical="center" indent="1"/>
    </xf>
    <xf numFmtId="4" fontId="23" fillId="42" borderId="33" xfId="0" applyFont="1" applyFill="1" applyBorder="1" applyNumberFormat="1">
      <alignment horizontal="right" vertical="center" wrapText="1"/>
      <protection locked="0"/>
    </xf>
    <xf numFmtId="0" fontId="23" fillId="37" borderId="0" xfId="0" applyFont="1" applyFill="1" applyNumberFormat="1">
      <alignment vertical="center" wrapText="1"/>
    </xf>
    <xf numFmtId="0" fontId="23" fillId="0" borderId="40" xfId="0" applyFont="1" applyBorder="1" applyNumberFormat="1">
      <alignment vertical="center" wrapText="1"/>
    </xf>
    <xf numFmtId="0" fontId="23" fillId="0" borderId="0" xfId="0" applyFont="1" applyNumberFormat="1">
      <alignment vertical="center"/>
    </xf>
    <xf numFmtId="0" fontId="23" fillId="0" borderId="0" xfId="0" applyFont="1" applyNumberFormat="1">
      <alignment vertical="center" wrapText="1"/>
    </xf>
    <xf numFmtId="0" fontId="23" fillId="40" borderId="52" xfId="0" applyFont="1" applyFill="1" applyBorder="1" applyNumberFormat="1">
      <alignment vertical="center" wrapText="1"/>
    </xf>
    <xf numFmtId="0" fontId="23" fillId="40" borderId="53" xfId="0" applyFont="1" applyFill="1" applyBorder="1" applyNumberFormat="1">
      <alignment vertical="center" wrapText="1"/>
    </xf>
    <xf numFmtId="49" fontId="110" fillId="40" borderId="16" xfId="0" applyFont="1" applyFill="1" applyBorder="1" applyNumberFormat="1">
      <alignment horizontal="left" vertical="center" indent="1"/>
    </xf>
    <xf numFmtId="49" fontId="110" fillId="40" borderId="17" xfId="0" applyFont="1" applyFill="1" applyBorder="1" applyNumberFormat="1">
      <alignment horizontal="left" vertical="center" indent="1"/>
    </xf>
    <xf numFmtId="49" fontId="99" fillId="40" borderId="45" xfId="0" applyFont="1" applyFill="1" applyBorder="1" applyNumberFormat="1">
      <alignment horizontal="center" vertical="center"/>
    </xf>
    <xf numFmtId="49" fontId="110" fillId="40" borderId="45" xfId="0" applyFont="1" applyFill="1" applyBorder="1" applyNumberFormat="1">
      <alignment horizontal="left" vertical="center" indent="1"/>
    </xf>
    <xf numFmtId="0" fontId="53" fillId="43" borderId="14" xfId="0" applyFont="1" applyFill="1" applyBorder="1" applyNumberFormat="1">
      <alignment horizontal="left" vertical="center" wrapText="1" indent="1"/>
    </xf>
    <xf numFmtId="49" fontId="53" fillId="40" borderId="17" xfId="0" applyFont="1" applyFill="1" applyBorder="1" applyNumberFormat="1">
      <alignment vertical="top" wrapText="1"/>
    </xf>
    <xf numFmtId="49" fontId="53" fillId="40" borderId="15" xfId="0" applyFont="1" applyFill="1" applyBorder="1" applyNumberFormat="1">
      <alignment vertical="top" wrapText="1"/>
    </xf>
    <xf numFmtId="49" fontId="53" fillId="40" borderId="54" xfId="0" applyFont="1" applyFill="1" applyBorder="1" applyNumberFormat="1">
      <alignment vertical="top" wrapText="1"/>
    </xf>
    <xf numFmtId="49" fontId="110" fillId="40" borderId="54" xfId="0" applyFont="1" applyFill="1" applyBorder="1" applyNumberFormat="1">
      <alignment horizontal="left" vertical="center" indent="1"/>
    </xf>
    <xf numFmtId="0" fontId="23" fillId="40" borderId="55" xfId="0" applyFont="1" applyFill="1" applyBorder="1" applyNumberFormat="1">
      <alignment vertical="center" wrapText="1"/>
    </xf>
    <xf numFmtId="0" fontId="23" fillId="37" borderId="41" xfId="0" applyFont="1" applyFill="1" applyBorder="1" applyNumberFormat="1">
      <alignment vertical="center" wrapText="1"/>
    </xf>
    <xf numFmtId="0" fontId="0" fillId="0" borderId="51" xfId="0" applyFont="1" applyBorder="1" applyNumberFormat="1">
      <alignment horizontal="left" vertical="center" wrapText="1"/>
    </xf>
    <xf numFmtId="0" fontId="23" fillId="0" borderId="51" xfId="0" applyFont="1" applyBorder="1" applyNumberFormat="1">
      <alignment vertical="center" wrapText="1"/>
    </xf>
    <xf numFmtId="0" fontId="23" fillId="0" borderId="56" xfId="0" applyFont="1" applyBorder="1" applyNumberFormat="1">
      <alignment vertical="center" wrapText="1"/>
    </xf>
    <xf numFmtId="0" fontId="23" fillId="0" borderId="57" xfId="0" applyFont="1" applyBorder="1" applyNumberFormat="1">
      <alignment vertical="center" wrapText="1"/>
    </xf>
    <xf numFmtId="0" fontId="23" fillId="43" borderId="14" xfId="0" applyFont="1" applyFill="1" applyBorder="1" applyNumberFormat="1">
      <alignment horizontal="left" vertical="center" wrapText="1" indent="1"/>
    </xf>
    <xf numFmtId="0" fontId="0" fillId="40" borderId="52" xfId="0" applyFont="1" applyFill="1" applyBorder="1" applyNumberFormat="1">
      <alignment horizontal="left" vertical="center"/>
    </xf>
    <xf numFmtId="0" fontId="23" fillId="37" borderId="14" xfId="0" applyFont="1" applyFill="1" applyBorder="1" applyNumberFormat="1">
      <alignment horizontal="center" vertical="center" wrapText="1"/>
    </xf>
    <xf numFmtId="49" fontId="44" fillId="0" borderId="14" xfId="0" applyFont="1" applyBorder="1" applyNumberFormat="1">
      <alignment horizontal="center" vertical="center"/>
    </xf>
    <xf numFmtId="49" fontId="44" fillId="34" borderId="14" xfId="0" applyFont="1" applyFill="1" applyBorder="1" applyNumberFormat="1">
      <alignment horizontal="center" vertical="center"/>
    </xf>
    <xf numFmtId="0" fontId="44" fillId="0" borderId="14" xfId="0" applyFont="1" applyBorder="1" applyNumberFormat="1">
      <alignment horizontal="center" vertical="center"/>
    </xf>
    <xf numFmtId="49" fontId="44" fillId="0" borderId="25" xfId="0" applyFont="1" applyBorder="1" applyNumberFormat="1">
      <alignment horizontal="center" vertical="center"/>
    </xf>
    <xf numFmtId="49" fontId="23" fillId="0" borderId="0" xfId="0" applyFont="1" applyNumberFormat="1">
      <alignment vertical="center"/>
    </xf>
    <xf numFmtId="49" fontId="54" fillId="0" borderId="19" xfId="0" applyFont="1" applyBorder="1" applyNumberFormat="1">
      <alignment horizontal="center" vertical="center"/>
    </xf>
    <xf numFmtId="49" fontId="23" fillId="0" borderId="19" xfId="0" applyFont="1" applyBorder="1" applyNumberFormat="1">
      <alignment horizontal="center" vertical="center"/>
    </xf>
    <xf numFmtId="0" fontId="23" fillId="0" borderId="19" xfId="0" applyFont="1" applyBorder="1" applyNumberFormat="1">
      <alignment horizontal="right" vertical="center"/>
    </xf>
    <xf numFmtId="0" fontId="23" fillId="0" borderId="19" xfId="0" applyFont="1" applyBorder="1" applyNumberFormat="1">
      <alignment horizontal="center" vertical="center"/>
    </xf>
    <xf numFmtId="0" fontId="23" fillId="0" borderId="14" xfId="0" applyFont="1" applyBorder="1" applyNumberFormat="1">
      <alignment horizontal="right" vertical="center"/>
    </xf>
    <xf numFmtId="49" fontId="23" fillId="0" borderId="0" xfId="0" applyFont="1" applyNumberFormat="1">
      <alignment vertical="center"/>
    </xf>
    <xf numFmtId="49" fontId="23" fillId="0" borderId="58" xfId="0" applyFont="1" applyBorder="1" applyNumberFormat="1">
      <alignment horizontal="center" vertical="center"/>
    </xf>
    <xf numFmtId="0" fontId="23" fillId="0" borderId="58" xfId="0" applyFont="1" applyBorder="1" applyNumberFormat="1">
      <alignment horizontal="right" vertical="center"/>
    </xf>
    <xf numFmtId="0" fontId="23" fillId="0" borderId="58" xfId="0" applyFont="1" applyBorder="1" applyNumberFormat="1">
      <alignment horizontal="center" vertical="center"/>
    </xf>
    <xf numFmtId="0" fontId="23" fillId="0" borderId="17" xfId="0" applyFont="1" applyBorder="1" applyNumberFormat="1">
      <alignment horizontal="right" vertical="center"/>
    </xf>
    <xf numFmtId="0" fontId="23" fillId="0" borderId="15" xfId="0" applyFont="1" applyBorder="1" applyNumberFormat="1">
      <alignment horizontal="right" vertical="center"/>
    </xf>
    <xf numFmtId="0" fontId="23" fillId="37" borderId="14" xfId="0" applyFont="1" applyFill="1" applyBorder="1" applyNumberFormat="1">
      <alignment horizontal="center" vertical="center"/>
    </xf>
    <xf numFmtId="0" fontId="23" fillId="43" borderId="14" xfId="0" applyFont="1" applyFill="1" applyBorder="1" applyNumberFormat="1">
      <alignment horizontal="left" vertical="center" wrapText="1" indent="1"/>
    </xf>
    <xf numFmtId="0" fontId="23" fillId="42" borderId="14" xfId="0" applyFont="1" applyFill="1" applyBorder="1" applyNumberFormat="1">
      <alignment horizontal="left" vertical="center" wrapText="1" indent="1"/>
      <protection locked="0"/>
    </xf>
    <xf numFmtId="0" fontId="23" fillId="34" borderId="14" xfId="0" applyFont="1" applyFill="1" applyBorder="1" applyNumberFormat="1">
      <alignment horizontal="right" vertical="center"/>
    </xf>
    <xf numFmtId="4" fontId="23" fillId="39" borderId="14" xfId="0" applyFont="1" applyFill="1" applyBorder="1" applyNumberFormat="1">
      <alignment horizontal="right" vertical="center"/>
      <protection locked="0"/>
    </xf>
    <xf numFmtId="49" fontId="48" fillId="40" borderId="59" xfId="0" applyFont="1" applyFill="1" applyBorder="1" applyNumberFormat="1">
      <alignment horizontal="left" vertical="center" indent="1"/>
    </xf>
    <xf numFmtId="49" fontId="48" fillId="40" borderId="53" xfId="0" applyFont="1" applyFill="1" applyBorder="1" applyNumberFormat="1">
      <alignment horizontal="left" vertical="center" indent="1"/>
    </xf>
    <xf numFmtId="49" fontId="48" fillId="54" borderId="15" xfId="0" applyFont="1" applyFill="1" applyBorder="1" applyNumberFormat="1">
      <alignment horizontal="left" vertical="center" indent="1"/>
    </xf>
    <xf numFmtId="49" fontId="23" fillId="0" borderId="0" xfId="0" applyFont="1" applyNumberFormat="1">
      <alignment vertical="top"/>
    </xf>
    <xf numFmtId="0" fontId="23" fillId="50" borderId="0" xfId="0" applyFont="1" applyFill="1" applyNumberFormat="1">
      <alignment horizontal="left" vertical="center"/>
    </xf>
    <xf numFmtId="49" fontId="23" fillId="0" borderId="0" xfId="0" applyFont="1" applyNumberFormat="1">
      <alignment vertical="center" wrapText="1"/>
    </xf>
    <xf numFmtId="0" fontId="23" fillId="0" borderId="0" xfId="0" applyFont="1" applyNumberFormat="1">
      <alignment horizontal="right" vertical="center" wrapText="1"/>
    </xf>
    <xf numFmtId="0" fontId="55" fillId="0" borderId="0" xfId="0" applyFont="1" applyNumberFormat="1">
      <alignment horizontal="center" vertical="center" wrapText="1"/>
    </xf>
    <xf numFmtId="0" fontId="0" fillId="0" borderId="14" xfId="0" applyFont="1" applyBorder="1" applyNumberFormat="1">
      <alignment horizontal="center" vertical="center" wrapText="1"/>
    </xf>
    <xf numFmtId="0" fontId="0" fillId="0" borderId="14" xfId="0" applyFont="1" applyBorder="1" applyNumberFormat="1">
      <alignment horizontal="center" vertical="center" wrapText="1"/>
    </xf>
    <xf numFmtId="49" fontId="23" fillId="0" borderId="14" xfId="0" applyFont="1" applyBorder="1" applyNumberFormat="1">
      <alignment horizontal="left" vertical="center" wrapText="1"/>
    </xf>
    <xf numFmtId="0" fontId="23" fillId="37" borderId="14" xfId="0" applyFont="1" applyFill="1" applyBorder="1" applyNumberFormat="1">
      <alignment horizontal="left" vertical="center" wrapText="1"/>
    </xf>
    <xf numFmtId="49" fontId="0" fillId="0" borderId="14" xfId="0" applyFont="1" applyBorder="1" applyNumberFormat="1">
      <alignment horizontal="center" vertical="center" wrapText="1"/>
    </xf>
    <xf numFmtId="49" fontId="0" fillId="0" borderId="14" xfId="0" applyFont="1" applyBorder="1" applyNumberFormat="1">
      <alignment horizontal="center" vertical="center"/>
    </xf>
    <xf numFmtId="0" fontId="23" fillId="37" borderId="21" xfId="0" applyFont="1" applyFill="1" applyBorder="1" applyNumberFormat="1">
      <alignment vertical="center" wrapText="1"/>
    </xf>
    <xf numFmtId="49" fontId="55" fillId="0" borderId="0" xfId="0" applyFont="1" applyNumberFormat="1">
      <alignment vertical="top"/>
    </xf>
    <xf numFmtId="0" fontId="55" fillId="0" borderId="41" xfId="0" applyFont="1" applyBorder="1" applyNumberFormat="1">
      <alignment vertical="center" wrapText="1"/>
    </xf>
    <xf numFmtId="49" fontId="0" fillId="0" borderId="14" xfId="0" applyFont="1" applyBorder="1" applyNumberFormat="1">
      <alignment horizontal="center" vertical="center"/>
    </xf>
    <xf numFmtId="49" fontId="0" fillId="0" borderId="14" xfId="0" applyFont="1" applyBorder="1" applyNumberFormat="1">
      <alignment horizontal="center" vertical="center" wrapText="1"/>
    </xf>
    <xf numFmtId="49" fontId="0" fillId="38" borderId="14" xfId="0" applyFont="1" applyFill="1" applyBorder="1" applyNumberFormat="1">
      <alignment horizontal="center" vertical="center"/>
    </xf>
    <xf numFmtId="49" fontId="23" fillId="0" borderId="24" xfId="0" applyFont="1" applyBorder="1" applyNumberFormat="1">
      <alignment vertical="top"/>
    </xf>
    <xf numFmtId="0" fontId="23" fillId="0" borderId="24" xfId="0" applyFont="1" applyBorder="1" applyNumberFormat="1">
      <alignment vertical="center" wrapText="1"/>
    </xf>
    <xf numFmtId="4" fontId="0" fillId="39" borderId="14" xfId="0" applyFont="1" applyFill="1" applyBorder="1" applyNumberFormat="1">
      <alignment horizontal="right" vertical="center" wrapText="1"/>
      <protection locked="0"/>
    </xf>
    <xf numFmtId="4" fontId="0" fillId="38" borderId="14" xfId="0" applyFont="1" applyFill="1" applyBorder="1" applyNumberFormat="1">
      <alignment horizontal="right" vertical="center" wrapText="1"/>
    </xf>
    <xf numFmtId="49" fontId="0" fillId="0" borderId="14" xfId="0" applyFont="1" applyBorder="1" applyNumberFormat="1">
      <alignment horizontal="left" vertical="center" wrapText="1" indent="2"/>
    </xf>
    <xf numFmtId="49" fontId="0" fillId="0" borderId="14" xfId="0" applyFont="1" applyBorder="1" applyNumberFormat="1">
      <alignment horizontal="left" vertical="center" wrapText="1" indent="3"/>
    </xf>
    <xf numFmtId="49" fontId="0" fillId="0" borderId="14" xfId="0" applyFont="1" applyBorder="1" applyNumberFormat="1">
      <alignment horizontal="left" vertical="center" wrapText="1"/>
    </xf>
    <xf numFmtId="0" fontId="23" fillId="0" borderId="40" xfId="0" applyFont="1" applyBorder="1" applyNumberFormat="1">
      <alignment vertical="center"/>
    </xf>
    <xf numFmtId="49" fontId="48" fillId="40" borderId="17" xfId="0" applyFont="1" applyFill="1" applyBorder="1" applyNumberFormat="1">
      <alignment horizontal="left" vertical="center" indent="1"/>
    </xf>
    <xf numFmtId="49" fontId="23" fillId="42" borderId="19" xfId="0" applyFont="1" applyFill="1" applyBorder="1" applyNumberFormat="1">
      <alignment horizontal="left" vertical="center" wrapText="1" indent="1"/>
      <protection locked="0"/>
    </xf>
    <xf numFmtId="0" fontId="22" fillId="0" borderId="0" xfId="0" applyFont="1" applyNumberFormat="1">
      <alignment vertical="center" wrapText="1"/>
    </xf>
    <xf numFmtId="0" fontId="23" fillId="37" borderId="29" xfId="0" applyFont="1" applyFill="1" applyBorder="1" applyNumberFormat="1">
      <alignment vertical="center" wrapText="1"/>
    </xf>
    <xf numFmtId="0" fontId="55" fillId="37" borderId="21" xfId="0" applyFont="1" applyFill="1" applyBorder="1" applyNumberFormat="1">
      <alignment horizontal="center" vertical="center" wrapText="1"/>
    </xf>
    <xf numFmtId="49" fontId="77" fillId="0" borderId="0" xfId="0" applyFont="1" applyNumberFormat="1">
      <alignment vertical="center" wrapText="1"/>
    </xf>
    <xf numFmtId="0" fontId="111" fillId="37" borderId="0" xfId="0" applyFont="1" applyFill="1" applyNumberFormat="1">
      <alignment vertical="center" wrapText="1"/>
    </xf>
    <xf numFmtId="0" fontId="23" fillId="0" borderId="0" xfId="0" applyFont="1" applyNumberFormat="1">
      <alignment vertical="center"/>
    </xf>
    <xf numFmtId="49" fontId="55" fillId="37" borderId="0" xfId="0" applyFont="1" applyFill="1" applyNumberFormat="1">
      <alignment horizontal="center" vertical="center" wrapText="1"/>
    </xf>
    <xf numFmtId="0" fontId="23" fillId="0" borderId="0" xfId="0" applyFont="1" applyNumberFormat="1">
      <alignment horizontal="left" vertical="center" wrapText="1"/>
    </xf>
    <xf numFmtId="0" fontId="55" fillId="0" borderId="0" xfId="0" applyFont="1" applyNumberFormat="1">
      <alignment vertical="center"/>
    </xf>
    <xf numFmtId="0" fontId="23" fillId="0" borderId="0" xfId="0" applyFont="1" applyNumberFormat="1">
      <alignment horizontal="left" vertical="center" wrapText="1" indent="1"/>
    </xf>
    <xf numFmtId="0" fontId="23" fillId="0" borderId="0" xfId="0" applyFont="1" applyNumberFormat="1">
      <alignment horizontal="right" vertical="top" wrapText="1"/>
    </xf>
    <xf numFmtId="0" fontId="112" fillId="37" borderId="0" xfId="0" applyFont="1" applyFill="1" applyNumberFormat="1">
      <alignment vertical="center" wrapText="1"/>
    </xf>
    <xf numFmtId="49" fontId="85" fillId="37" borderId="21" xfId="0" applyFont="1" applyFill="1" applyBorder="1" applyNumberFormat="1">
      <alignment horizontal="center" vertical="center" wrapText="1"/>
    </xf>
    <xf numFmtId="0" fontId="85" fillId="37" borderId="21" xfId="0" applyFont="1" applyFill="1" applyBorder="1" applyNumberFormat="1">
      <alignment horizontal="center" vertical="center" wrapText="1"/>
    </xf>
    <xf numFmtId="164" fontId="23" fillId="39" borderId="14" xfId="0" applyFont="1" applyFill="1" applyBorder="1" applyNumberFormat="1">
      <alignment horizontal="right" vertical="center" wrapText="1"/>
      <protection locked="0"/>
    </xf>
    <xf numFmtId="0" fontId="53" fillId="0" borderId="14" xfId="0" applyFont="1" applyBorder="1" applyNumberFormat="1">
      <alignment vertical="top" wrapText="1"/>
    </xf>
    <xf numFmtId="0" fontId="23" fillId="43" borderId="14" xfId="0" applyFont="1" applyFill="1" applyBorder="1" applyNumberFormat="1">
      <alignment horizontal="left" vertical="center" wrapText="1" indent="6"/>
      <protection locked="0"/>
    </xf>
    <xf numFmtId="0" fontId="23" fillId="0" borderId="0" xfId="0" applyFont="1" applyNumberFormat="1">
      <alignment vertical="center"/>
    </xf>
    <xf numFmtId="0" fontId="113" fillId="0" borderId="0" xfId="0" applyFont="1" applyNumberFormat="1">
      <alignment vertical="center"/>
    </xf>
    <xf numFmtId="0" fontId="113" fillId="0" borderId="0" xfId="0" applyFont="1" applyNumberFormat="1">
      <alignment vertical="center"/>
    </xf>
    <xf numFmtId="0" fontId="23" fillId="0" borderId="0" xfId="0" applyFont="1" applyNumberFormat="1">
      <alignment vertical="center"/>
    </xf>
    <xf numFmtId="0" fontId="23" fillId="0" borderId="0" xfId="0" applyFont="1" applyNumberFormat="1">
      <alignment vertical="center"/>
    </xf>
    <xf numFmtId="0" fontId="113" fillId="0" borderId="0" xfId="0" applyFont="1" applyNumberFormat="1">
      <alignment vertical="center"/>
    </xf>
    <xf numFmtId="0" fontId="23" fillId="0" borderId="0" xfId="0" applyFont="1" applyNumberFormat="1">
      <alignment vertical="center"/>
    </xf>
    <xf numFmtId="0" fontId="23" fillId="0" borderId="0" xfId="0" applyFont="1" applyNumberFormat="1">
      <alignment vertical="center"/>
    </xf>
    <xf numFmtId="0" fontId="23" fillId="0" borderId="0" xfId="0" applyFont="1" applyNumberFormat="1">
      <alignment horizontal="left" vertical="center" indent="1"/>
    </xf>
    <xf numFmtId="49" fontId="114" fillId="40" borderId="17" xfId="0" applyFont="1" applyFill="1" applyBorder="1" applyNumberFormat="1">
      <alignment horizontal="left" vertical="center" indent="3"/>
    </xf>
    <xf numFmtId="49" fontId="77" fillId="40" borderId="17" xfId="0" applyFont="1" applyFill="1" applyBorder="1" applyNumberFormat="1">
      <alignment horizontal="center" vertical="center" wrapText="1"/>
    </xf>
    <xf numFmtId="49" fontId="72" fillId="40" borderId="17" xfId="0" applyFont="1" applyFill="1" applyBorder="1" applyNumberFormat="1">
      <alignment horizontal="center" vertical="center" wrapText="1"/>
    </xf>
    <xf numFmtId="49" fontId="72" fillId="40" borderId="15" xfId="0" applyFont="1" applyFill="1" applyBorder="1" applyNumberFormat="1">
      <alignment horizontal="center" vertical="center" wrapText="1"/>
    </xf>
    <xf numFmtId="49" fontId="114" fillId="40" borderId="17" xfId="0" applyFont="1" applyFill="1" applyBorder="1" applyNumberFormat="1">
      <alignment horizontal="left" vertical="center" indent="2"/>
    </xf>
    <xf numFmtId="49" fontId="114" fillId="40" borderId="17" xfId="0" applyFont="1" applyFill="1" applyBorder="1" applyNumberFormat="1">
      <alignment horizontal="left" vertical="center" indent="1"/>
    </xf>
    <xf numFmtId="49" fontId="114" fillId="40" borderId="17" xfId="0" applyFont="1" applyFill="1" applyBorder="1" applyNumberFormat="1">
      <alignment horizontal="left" vertical="center"/>
    </xf>
    <xf numFmtId="0" fontId="23" fillId="37" borderId="0" xfId="0" applyFont="1" applyFill="1" applyNumberFormat="1">
      <alignment horizontal="left" vertical="center" wrapText="1"/>
    </xf>
    <xf numFmtId="0" fontId="0" fillId="0" borderId="0" xfId="0" applyFont="1" applyNumberFormat="1">
      <alignment horizontal="left" vertical="center"/>
    </xf>
    <xf numFmtId="49" fontId="85" fillId="37" borderId="21" xfId="0" applyFont="1" applyFill="1" applyBorder="1" applyNumberFormat="1">
      <alignment horizontal="left" vertical="center" wrapText="1"/>
    </xf>
    <xf numFmtId="49" fontId="78" fillId="40" borderId="16" xfId="0" applyFont="1" applyFill="1" applyBorder="1" applyNumberFormat="1">
      <alignment horizontal="left" vertical="center"/>
    </xf>
    <xf numFmtId="49" fontId="106" fillId="40" borderId="16" xfId="0" applyFont="1" applyFill="1" applyBorder="1" applyNumberFormat="1">
      <alignment horizontal="left" vertical="center"/>
    </xf>
    <xf numFmtId="49" fontId="72" fillId="40" borderId="16" xfId="0" applyFont="1" applyFill="1" applyBorder="1" applyNumberFormat="1">
      <alignment horizontal="left" vertical="top"/>
    </xf>
    <xf numFmtId="0" fontId="0" fillId="50" borderId="0" xfId="0" applyFont="1" applyFill="1" applyNumberFormat="1">
      <alignment horizontal="right" vertical="center"/>
    </xf>
    <xf numFmtId="0" fontId="55" fillId="0" borderId="14" xfId="0" applyFont="1" applyBorder="1" applyNumberFormat="1">
      <alignment horizontal="center" vertical="center"/>
    </xf>
    <xf numFmtId="0" fontId="0" fillId="0" borderId="0" xfId="0" applyFont="1" applyNumberFormat="1">
      <alignment vertical="center"/>
    </xf>
    <xf numFmtId="0" fontId="23" fillId="0" borderId="14" xfId="0" applyFont="1" applyBorder="1" applyNumberFormat="1">
      <alignment horizontal="center" vertical="center" wrapText="1"/>
    </xf>
    <xf numFmtId="0" fontId="0" fillId="0" borderId="0" xfId="0" applyFont="1" applyNumberFormat="1">
      <alignment horizontal="left" vertical="top" wrapText="1"/>
    </xf>
    <xf numFmtId="49" fontId="23" fillId="0" borderId="0" xfId="0" applyFont="1" applyNumberFormat="1">
      <alignment vertical="center" wrapText="1"/>
    </xf>
    <xf numFmtId="0" fontId="23" fillId="0" borderId="0" xfId="0" applyFont="1" applyNumberFormat="1">
      <alignment horizontal="right" vertical="center" wrapText="1"/>
    </xf>
    <xf numFmtId="0" fontId="23" fillId="0" borderId="0" xfId="0" applyFont="1" applyNumberFormat="1">
      <alignment horizontal="left" vertical="top" wrapText="1"/>
    </xf>
    <xf numFmtId="0" fontId="85" fillId="37" borderId="21" xfId="0" applyFont="1" applyFill="1" applyBorder="1" applyNumberFormat="1">
      <alignment horizontal="center" vertical="center" wrapText="1"/>
    </xf>
    <xf numFmtId="0" fontId="23" fillId="0" borderId="0" xfId="0" applyFont="1" applyNumberFormat="1">
      <alignment horizontal="center" vertical="center" wrapText="1"/>
    </xf>
    <xf numFmtId="0" fontId="55" fillId="0" borderId="0" xfId="0" applyFont="1" applyNumberFormat="1">
      <alignment horizontal="center" vertical="center" wrapText="1"/>
    </xf>
    <xf numFmtId="0" fontId="0" fillId="0" borderId="14" xfId="0" applyFont="1" applyBorder="1" applyNumberFormat="1">
      <alignment horizontal="center" vertical="center" wrapText="1"/>
    </xf>
    <xf numFmtId="0" fontId="23" fillId="37" borderId="14" xfId="0" applyFont="1" applyFill="1" applyBorder="1" applyNumberFormat="1">
      <alignment horizontal="left" vertical="center" wrapText="1"/>
    </xf>
    <xf numFmtId="49" fontId="23" fillId="0" borderId="14" xfId="0" applyFont="1" applyBorder="1" applyNumberFormat="1">
      <alignment horizontal="left" vertical="center" wrapText="1"/>
    </xf>
    <xf numFmtId="0" fontId="59" fillId="50" borderId="0" xfId="0" applyFont="1" applyFill="1" applyNumberFormat="1">
      <alignment horizontal="left" vertical="center"/>
    </xf>
    <xf numFmtId="49" fontId="23" fillId="0" borderId="22" xfId="0" applyFont="1" applyBorder="1" applyNumberFormat="1">
      <alignment horizontal="left" vertical="center" wrapText="1"/>
    </xf>
    <xf numFmtId="0" fontId="48" fillId="0" borderId="0" xfId="0" applyFont="1" applyNumberFormat="1">
      <alignment horizontal="left" vertical="center"/>
    </xf>
    <xf numFmtId="0" fontId="48" fillId="0" borderId="26" xfId="0" applyFont="1" applyBorder="1" applyNumberFormat="1">
      <alignment horizontal="left" vertical="center"/>
    </xf>
    <xf numFmtId="0" fontId="48" fillId="0" borderId="32" xfId="0" applyFont="1" applyBorder="1" applyNumberFormat="1">
      <alignment horizontal="left" vertical="center"/>
    </xf>
    <xf numFmtId="0" fontId="48" fillId="0" borderId="29" xfId="0" applyFont="1" applyBorder="1" applyNumberFormat="1">
      <alignment horizontal="left" vertical="center"/>
    </xf>
    <xf numFmtId="0" fontId="0" fillId="0" borderId="29" xfId="0" applyFont="1" applyBorder="1" applyNumberFormat="1">
      <alignment vertical="center"/>
    </xf>
    <xf numFmtId="0" fontId="48" fillId="0" borderId="31" xfId="0" applyFont="1" applyBorder="1" applyNumberFormat="1">
      <alignment horizontal="left" vertical="center"/>
    </xf>
    <xf numFmtId="49" fontId="23" fillId="0" borderId="0" xfId="0" applyFont="1" applyNumberFormat="1">
      <alignment vertical="center" wrapText="1"/>
    </xf>
    <xf numFmtId="0" fontId="23" fillId="0" borderId="0" xfId="0" applyFont="1" applyNumberFormat="1">
      <alignment horizontal="center" vertical="center" wrapText="1"/>
    </xf>
    <xf numFmtId="0" fontId="55" fillId="0" borderId="0" xfId="0" applyFont="1" applyNumberFormat="1">
      <alignment horizontal="center" vertical="center" wrapText="1"/>
    </xf>
    <xf numFmtId="49" fontId="23" fillId="0" borderId="14" xfId="0" applyFont="1" applyBorder="1" applyNumberFormat="1">
      <alignment horizontal="left" vertical="center" wrapText="1"/>
    </xf>
    <xf numFmtId="0" fontId="53" fillId="0" borderId="19" xfId="0" applyFont="1" applyBorder="1" applyNumberFormat="1">
      <alignment vertical="top" wrapText="1"/>
    </xf>
    <xf numFmtId="0" fontId="0" fillId="0" borderId="0" xfId="0" applyFont="1" applyNumberFormat="1">
      <alignment vertical="center"/>
    </xf>
    <xf numFmtId="0" fontId="23" fillId="37" borderId="14" xfId="0" applyFont="1" applyFill="1" applyBorder="1" applyNumberFormat="1">
      <alignment horizontal="left" vertical="center" wrapText="1"/>
    </xf>
    <xf numFmtId="0" fontId="23" fillId="0" borderId="0" xfId="0" applyFont="1" applyNumberFormat="1">
      <alignment horizontal="center" vertical="center"/>
    </xf>
    <xf numFmtId="49" fontId="23" fillId="0" borderId="0" xfId="0" applyFont="1" applyNumberFormat="1">
      <alignment vertical="center" wrapText="1"/>
    </xf>
    <xf numFmtId="0" fontId="85" fillId="37" borderId="21" xfId="0" applyFont="1" applyFill="1" applyBorder="1" applyNumberFormat="1">
      <alignment horizontal="center" vertical="center" wrapText="1"/>
    </xf>
    <xf numFmtId="0" fontId="0" fillId="0" borderId="14" xfId="0" applyFont="1" applyBorder="1" applyNumberFormat="1">
      <alignment horizontal="center" vertical="center" wrapText="1"/>
    </xf>
    <xf numFmtId="0" fontId="55" fillId="0" borderId="0" xfId="0" applyFont="1" applyNumberFormat="1">
      <alignment horizontal="left" vertical="center" indent="1"/>
    </xf>
    <xf numFmtId="0" fontId="55" fillId="0" borderId="0" xfId="0" applyFont="1" applyNumberFormat="1">
      <alignment horizontal="left" vertical="center" wrapText="1"/>
    </xf>
    <xf numFmtId="49" fontId="55" fillId="0" borderId="0" xfId="0" applyFont="1" applyNumberFormat="1">
      <alignment vertical="top"/>
    </xf>
    <xf numFmtId="49" fontId="112" fillId="0" borderId="0" xfId="0" applyFont="1" applyNumberFormat="1">
      <alignment vertical="top"/>
    </xf>
    <xf numFmtId="49" fontId="102" fillId="0" borderId="21" xfId="0" applyFont="1" applyBorder="1" applyNumberFormat="1">
      <alignment horizontal="left" vertical="center"/>
    </xf>
    <xf numFmtId="49" fontId="55" fillId="0" borderId="21" xfId="0" applyFont="1" applyBorder="1" applyNumberFormat="1">
      <alignment horizontal="left" vertical="center" indent="3"/>
    </xf>
    <xf numFmtId="49" fontId="55" fillId="0" borderId="21" xfId="0" applyFont="1" applyBorder="1" applyNumberFormat="1">
      <alignment horizontal="center" vertical="center" wrapText="1"/>
    </xf>
    <xf numFmtId="49" fontId="55" fillId="0" borderId="0" xfId="0" applyFont="1" applyNumberFormat="1">
      <alignment horizontal="left" vertical="center"/>
    </xf>
    <xf numFmtId="49" fontId="102" fillId="0" borderId="0" xfId="0" applyFont="1" applyNumberFormat="1">
      <alignment horizontal="left" vertical="center"/>
    </xf>
    <xf numFmtId="49" fontId="55" fillId="0" borderId="0" xfId="0" applyFont="1" applyNumberFormat="1">
      <alignment horizontal="left" vertical="center" indent="2"/>
    </xf>
    <xf numFmtId="49" fontId="55" fillId="0" borderId="0" xfId="0" applyFont="1" applyNumberFormat="1">
      <alignment horizontal="center" vertical="center" wrapText="1"/>
    </xf>
    <xf numFmtId="49" fontId="55" fillId="0" borderId="0" xfId="0" applyFont="1" applyNumberFormat="1">
      <alignment horizontal="left" vertical="center" indent="1"/>
    </xf>
    <xf numFmtId="0" fontId="0" fillId="0" borderId="0" xfId="0" applyFont="1" applyNumberFormat="1">
      <alignment vertical="center"/>
    </xf>
    <xf numFmtId="0" fontId="23" fillId="0" borderId="0" xfId="0" applyFont="1" applyNumberFormat="1">
      <alignment horizontal="center" vertical="center" wrapText="1"/>
    </xf>
    <xf numFmtId="49" fontId="23" fillId="0" borderId="0" xfId="0" applyFont="1" applyNumberFormat="1">
      <alignment vertical="center" wrapText="1"/>
    </xf>
    <xf numFmtId="0" fontId="54" fillId="0" borderId="0" xfId="0" applyFont="1" applyNumberFormat="1">
      <alignment horizontal="center" vertical="center" wrapText="1"/>
    </xf>
    <xf numFmtId="0" fontId="23" fillId="37" borderId="14" xfId="0" applyFont="1" applyFill="1" applyBorder="1" applyNumberFormat="1">
      <alignment horizontal="center" vertical="center" wrapText="1"/>
    </xf>
    <xf numFmtId="0" fontId="55" fillId="0" borderId="0" xfId="0" applyFont="1" applyNumberFormat="1">
      <alignment horizontal="center" vertical="center" wrapText="1"/>
    </xf>
    <xf numFmtId="0" fontId="23" fillId="0" borderId="0" xfId="0" applyFont="1" applyNumberFormat="1">
      <alignment horizontal="center" vertical="center" wrapText="1"/>
    </xf>
    <xf numFmtId="0" fontId="23" fillId="0" borderId="0" xfId="0" applyFont="1" applyNumberFormat="1">
      <alignment horizontal="left" vertical="top" wrapText="1"/>
    </xf>
    <xf numFmtId="0" fontId="0" fillId="0" borderId="15" xfId="0" applyFont="1" applyBorder="1" applyNumberFormat="1">
      <alignment horizontal="center" vertical="center" wrapText="1"/>
    </xf>
    <xf numFmtId="0" fontId="85" fillId="37" borderId="21" xfId="0" applyFont="1" applyFill="1" applyBorder="1" applyNumberFormat="1">
      <alignment horizontal="center" vertical="center" wrapText="1"/>
    </xf>
    <xf numFmtId="0" fontId="23" fillId="37" borderId="14" xfId="0" applyFont="1" applyFill="1" applyBorder="1" applyNumberFormat="1">
      <alignment horizontal="left" vertical="center" wrapText="1"/>
    </xf>
    <xf numFmtId="49" fontId="23" fillId="37" borderId="14" xfId="0" applyFont="1" applyFill="1" applyBorder="1" applyNumberFormat="1">
      <alignment horizontal="center" vertical="center" wrapText="1"/>
    </xf>
    <xf numFmtId="0" fontId="0" fillId="0" borderId="14" xfId="0" applyFont="1" applyBorder="1" applyNumberFormat="1">
      <alignment horizontal="center" vertical="center" wrapText="1"/>
    </xf>
    <xf numFmtId="0" fontId="55" fillId="0" borderId="0" xfId="0" applyFont="1" applyNumberFormat="1">
      <alignment horizontal="center" vertical="center"/>
    </xf>
    <xf numFmtId="0" fontId="23" fillId="0" borderId="0" xfId="0" applyFont="1" applyNumberFormat="1">
      <alignment horizontal="right" vertical="center" wrapText="1"/>
    </xf>
    <xf numFmtId="0" fontId="85" fillId="37" borderId="0" xfId="0" applyFont="1" applyFill="1" applyNumberFormat="1">
      <alignment horizontal="center" vertical="center" wrapText="1"/>
    </xf>
    <xf numFmtId="49" fontId="23" fillId="0" borderId="14" xfId="0" applyFont="1" applyBorder="1" applyNumberFormat="1">
      <alignment horizontal="left" vertical="center" wrapText="1"/>
    </xf>
    <xf numFmtId="0" fontId="55" fillId="0" borderId="0" xfId="0" applyFont="1" applyNumberFormat="1">
      <alignment horizontal="left" vertical="center" indent="1"/>
    </xf>
    <xf numFmtId="49" fontId="112" fillId="0" borderId="0" xfId="0" applyFont="1" applyNumberFormat="1">
      <alignment vertical="top"/>
    </xf>
    <xf numFmtId="49" fontId="23" fillId="0" borderId="14" xfId="0" applyFont="1" applyBorder="1" applyNumberFormat="1">
      <alignment vertical="center" wrapText="1"/>
    </xf>
    <xf numFmtId="0" fontId="55" fillId="0" borderId="0" xfId="0" applyFont="1" applyNumberFormat="1">
      <alignment horizontal="center" vertical="center"/>
    </xf>
    <xf numFmtId="0" fontId="23" fillId="43" borderId="14" xfId="0" applyFont="1" applyFill="1" applyBorder="1" applyNumberFormat="1">
      <alignment horizontal="left" vertical="center" wrapText="1" indent="6"/>
    </xf>
    <xf numFmtId="4" fontId="23" fillId="0" borderId="19" xfId="0" applyFont="1" applyBorder="1" applyNumberFormat="1">
      <alignment horizontal="right" vertical="center" wrapText="1"/>
    </xf>
    <xf numFmtId="4" fontId="23" fillId="0" borderId="25" xfId="0" applyFont="1" applyBorder="1" applyNumberFormat="1">
      <alignment horizontal="right" vertical="center" wrapText="1"/>
    </xf>
    <xf numFmtId="0" fontId="0" fillId="0" borderId="0" xfId="0" applyFont="1" applyNumberFormat="1">
      <alignment vertical="center"/>
    </xf>
    <xf numFmtId="49" fontId="23" fillId="0" borderId="0" xfId="0" applyFont="1" applyNumberFormat="1">
      <alignment vertical="center" wrapText="1"/>
    </xf>
    <xf numFmtId="0" fontId="23" fillId="0" borderId="19" xfId="0" applyFont="1" applyBorder="1" applyNumberFormat="1">
      <alignment horizontal="center" vertical="center" wrapText="1"/>
    </xf>
    <xf numFmtId="0" fontId="85" fillId="37" borderId="21" xfId="0" applyFont="1" applyFill="1" applyBorder="1" applyNumberFormat="1">
      <alignment horizontal="center" vertical="center" wrapText="1"/>
    </xf>
    <xf numFmtId="0" fontId="55" fillId="0" borderId="0" xfId="0" applyFont="1" applyNumberFormat="1">
      <alignment horizontal="center" vertical="center" wrapText="1"/>
    </xf>
    <xf numFmtId="0" fontId="23" fillId="0" borderId="0" xfId="0" applyFont="1" applyNumberFormat="1">
      <alignment horizontal="right" vertical="center" wrapText="1"/>
    </xf>
    <xf numFmtId="0" fontId="23" fillId="0" borderId="0" xfId="0" applyFont="1" applyNumberFormat="1">
      <alignment horizontal="center" vertical="center" wrapText="1"/>
    </xf>
    <xf numFmtId="0" fontId="0" fillId="0" borderId="14" xfId="0" applyFont="1" applyBorder="1" applyNumberFormat="1">
      <alignment horizontal="center" vertical="center" wrapText="1"/>
    </xf>
    <xf numFmtId="0" fontId="23" fillId="37" borderId="14" xfId="0" applyFont="1" applyFill="1" applyBorder="1" applyNumberFormat="1">
      <alignment horizontal="left" vertical="center" wrapText="1"/>
    </xf>
    <xf numFmtId="49" fontId="23" fillId="0" borderId="14" xfId="0" applyFont="1" applyBorder="1" applyNumberFormat="1">
      <alignment horizontal="left" vertical="center" wrapText="1"/>
    </xf>
    <xf numFmtId="4" fontId="54" fillId="0" borderId="14" xfId="0" applyFont="1" applyBorder="1" applyNumberFormat="1">
      <alignment horizontal="right" vertical="center" wrapText="1"/>
    </xf>
    <xf numFmtId="164" fontId="54" fillId="0" borderId="14" xfId="0" applyFont="1" applyBorder="1" applyNumberFormat="1">
      <alignment horizontal="right" vertical="center" wrapText="1"/>
    </xf>
    <xf numFmtId="49" fontId="54" fillId="0" borderId="0" xfId="0" applyFont="1" applyNumberFormat="1">
      <alignment vertical="center" wrapText="1"/>
    </xf>
    <xf numFmtId="0" fontId="54" fillId="0" borderId="0" xfId="0" applyFont="1" applyNumberFormat="1">
      <alignment horizontal="left" vertical="center" indent="1"/>
    </xf>
    <xf numFmtId="0" fontId="54" fillId="0" borderId="0" xfId="0" applyFont="1" applyNumberFormat="1">
      <alignment horizontal="center" vertical="center"/>
    </xf>
    <xf numFmtId="0" fontId="54" fillId="0" borderId="0" xfId="0" applyFont="1" applyNumberFormat="1">
      <alignment horizontal="left" vertical="center" wrapText="1"/>
    </xf>
    <xf numFmtId="0" fontId="54" fillId="0" borderId="0" xfId="0" applyFont="1" applyNumberFormat="1">
      <alignment vertical="center" wrapText="1"/>
    </xf>
    <xf numFmtId="49" fontId="54" fillId="0" borderId="14" xfId="0" applyFont="1" applyBorder="1" applyNumberFormat="1">
      <alignment vertical="center" wrapText="1"/>
    </xf>
    <xf numFmtId="0" fontId="54" fillId="0" borderId="0" xfId="0" applyFont="1" applyNumberFormat="1">
      <alignment vertical="center"/>
    </xf>
    <xf numFmtId="0" fontId="54" fillId="0" borderId="0" xfId="0" applyFont="1" applyNumberFormat="1">
      <alignment horizontal="center" vertical="center"/>
    </xf>
    <xf numFmtId="0" fontId="54" fillId="0" borderId="0" xfId="0" applyFont="1" applyNumberFormat="1">
      <alignment vertical="center"/>
    </xf>
    <xf numFmtId="0" fontId="74" fillId="0" borderId="0" xfId="0" applyFont="1" applyNumberFormat="1">
      <alignment vertical="center" wrapText="1"/>
    </xf>
    <xf numFmtId="0" fontId="0" fillId="0" borderId="17" xfId="0" applyFont="1" applyBorder="1" applyNumberFormat="1">
      <alignment vertical="center"/>
    </xf>
    <xf numFmtId="0" fontId="55" fillId="0" borderId="14" xfId="0" applyFont="1" applyBorder="1" applyNumberFormat="1">
      <alignment horizontal="center" vertical="center" wrapText="1"/>
    </xf>
    <xf numFmtId="0" fontId="77" fillId="0" borderId="0" xfId="0" applyFont="1" applyNumberFormat="1">
      <alignment horizontal="left" vertical="center" indent="1"/>
    </xf>
    <xf numFmtId="0" fontId="77" fillId="0" borderId="0" xfId="0" applyFont="1" applyNumberFormat="1">
      <alignment horizontal="left" vertical="center" indent="1"/>
    </xf>
    <xf numFmtId="0" fontId="55" fillId="0" borderId="14" xfId="0" applyFont="1" applyBorder="1" applyNumberFormat="1">
      <alignment vertical="center" wrapText="1"/>
    </xf>
    <xf numFmtId="0" fontId="77" fillId="0" borderId="0" xfId="0" applyFont="1" applyNumberFormat="1">
      <alignment horizontal="center" vertical="center"/>
    </xf>
    <xf numFmtId="0" fontId="77" fillId="0" borderId="0" xfId="0" applyFont="1" applyNumberFormat="1">
      <alignment horizontal="left" vertical="center" wrapText="1"/>
    </xf>
    <xf numFmtId="49" fontId="77" fillId="0" borderId="0" xfId="0" applyFont="1" applyNumberFormat="1">
      <alignment horizontal="left" vertical="center"/>
    </xf>
    <xf numFmtId="0" fontId="23" fillId="0" borderId="0" xfId="0" applyFont="1" applyNumberFormat="1">
      <alignment horizontal="center" vertical="center"/>
    </xf>
    <xf numFmtId="0" fontId="77" fillId="0" borderId="0" xfId="0" applyFont="1" applyNumberFormat="1">
      <alignment horizontal="center" vertical="center"/>
    </xf>
    <xf numFmtId="4" fontId="23" fillId="0" borderId="15" xfId="0" applyFont="1" applyBorder="1" applyNumberFormat="1">
      <alignment horizontal="right" vertical="center" wrapText="1"/>
    </xf>
    <xf numFmtId="0" fontId="55" fillId="0" borderId="14" xfId="0" applyFont="1" applyBorder="1" applyNumberFormat="1">
      <alignment horizontal="left" vertical="center" wrapText="1" indent="4"/>
    </xf>
    <xf numFmtId="0" fontId="55" fillId="0" borderId="14" xfId="0" applyFont="1" applyBorder="1" applyNumberFormat="1">
      <alignment horizontal="left" vertical="center" wrapText="1" indent="6"/>
    </xf>
    <xf numFmtId="0" fontId="55" fillId="0" borderId="14" xfId="0" applyFont="1" applyBorder="1" applyNumberFormat="1">
      <alignment vertical="top" wrapText="1"/>
    </xf>
    <xf numFmtId="49" fontId="102" fillId="0" borderId="16" xfId="0" applyFont="1" applyBorder="1" applyNumberFormat="1">
      <alignment horizontal="left" vertical="center"/>
    </xf>
    <xf numFmtId="49" fontId="55" fillId="0" borderId="17" xfId="0" applyFont="1" applyBorder="1" applyNumberFormat="1">
      <alignment horizontal="left" vertical="center" indent="4"/>
    </xf>
    <xf numFmtId="49" fontId="55" fillId="0" borderId="17" xfId="0" applyFont="1" applyBorder="1" applyNumberFormat="1">
      <alignment horizontal="center" vertical="center" wrapText="1"/>
    </xf>
    <xf numFmtId="49" fontId="55" fillId="0" borderId="15" xfId="0" applyFont="1" applyBorder="1" applyNumberFormat="1">
      <alignment horizontal="center" vertical="center" wrapText="1"/>
    </xf>
    <xf numFmtId="4" fontId="23" fillId="0" borderId="38" xfId="0" applyFont="1" applyBorder="1" applyNumberFormat="1">
      <alignment horizontal="right" vertical="center" wrapText="1"/>
    </xf>
    <xf numFmtId="0" fontId="23" fillId="39" borderId="14" xfId="0" applyFont="1" applyFill="1" applyBorder="1" applyNumberFormat="1">
      <alignment horizontal="left" vertical="center" wrapText="1" indent="7"/>
      <protection locked="0"/>
    </xf>
    <xf numFmtId="0" fontId="23" fillId="40" borderId="17" xfId="0" applyFont="1" applyFill="1" applyBorder="1" applyNumberFormat="1">
      <alignment horizontal="left" vertical="center" wrapText="1" indent="6"/>
    </xf>
    <xf numFmtId="4" fontId="23" fillId="40" borderId="17" xfId="0" applyFont="1" applyFill="1" applyBorder="1" applyNumberFormat="1">
      <alignment horizontal="right" vertical="center" wrapText="1"/>
    </xf>
    <xf numFmtId="4" fontId="55" fillId="40" borderId="17" xfId="0" applyFont="1" applyFill="1" applyBorder="1" applyNumberFormat="1">
      <alignment horizontal="center" vertical="center" wrapText="1"/>
    </xf>
    <xf numFmtId="4" fontId="23" fillId="40" borderId="15" xfId="0" applyFont="1" applyFill="1" applyBorder="1" applyNumberFormat="1">
      <alignment horizontal="right" vertical="center" wrapText="1"/>
    </xf>
    <xf numFmtId="4" fontId="55" fillId="40" borderId="15" xfId="0" applyFont="1" applyFill="1" applyBorder="1" applyNumberFormat="1">
      <alignment horizontal="center" vertical="center" wrapText="1"/>
    </xf>
    <xf numFmtId="164" fontId="23" fillId="40" borderId="15" xfId="0" applyFont="1" applyFill="1" applyBorder="1" applyNumberFormat="1">
      <alignment horizontal="right" vertical="center" wrapText="1"/>
    </xf>
    <xf numFmtId="0" fontId="23" fillId="43" borderId="14" xfId="0" applyFont="1" applyFill="1" applyBorder="1" applyNumberFormat="1">
      <alignment horizontal="left" vertical="center" wrapText="1" indent="1"/>
    </xf>
    <xf numFmtId="0" fontId="55" fillId="0" borderId="14" xfId="0" applyFont="1" applyBorder="1" applyNumberFormat="1">
      <alignment horizontal="left" vertical="center" wrapText="1" indent="5"/>
    </xf>
    <xf numFmtId="49" fontId="77" fillId="0" borderId="26" xfId="0" applyFont="1" applyBorder="1" applyNumberFormat="1">
      <alignment vertical="top"/>
    </xf>
    <xf numFmtId="49" fontId="55" fillId="0" borderId="26" xfId="0" applyFont="1" applyBorder="1" applyNumberFormat="1">
      <alignment vertical="top"/>
    </xf>
    <xf numFmtId="0" fontId="23" fillId="0" borderId="14" xfId="0" applyFont="1" applyBorder="1" applyNumberFormat="1">
      <alignment horizontal="left" vertical="center" wrapText="1" indent="1"/>
    </xf>
    <xf numFmtId="4" fontId="55" fillId="0" borderId="14" xfId="0" applyFont="1" applyBorder="1" applyNumberFormat="1">
      <alignment horizontal="right" vertical="center" wrapText="1"/>
    </xf>
    <xf numFmtId="164" fontId="55" fillId="0" borderId="14" xfId="0" applyFont="1" applyBorder="1" applyNumberFormat="1">
      <alignment horizontal="right" vertical="center" wrapText="1"/>
    </xf>
    <xf numFmtId="164" fontId="23" fillId="39" borderId="16" xfId="0" applyFont="1" applyFill="1" applyBorder="1" applyNumberFormat="1">
      <alignment horizontal="right" vertical="center" wrapText="1"/>
      <protection locked="0"/>
    </xf>
    <xf numFmtId="4" fontId="55" fillId="0" borderId="16" xfId="0" applyFont="1" applyBorder="1" applyNumberFormat="1">
      <alignment horizontal="center" vertical="center" wrapText="1"/>
    </xf>
    <xf numFmtId="4" fontId="23" fillId="39" borderId="15" xfId="0" applyFont="1" applyFill="1" applyBorder="1" applyNumberFormat="1">
      <alignment horizontal="right" vertical="center" wrapText="1"/>
      <protection locked="0"/>
    </xf>
    <xf numFmtId="49" fontId="23" fillId="40" borderId="29" xfId="0" applyFont="1" applyFill="1" applyBorder="1" applyNumberFormat="1">
      <alignment horizontal="center" vertical="center" wrapText="1"/>
    </xf>
    <xf numFmtId="49" fontId="54" fillId="0" borderId="0" xfId="0" applyFont="1" applyNumberFormat="1">
      <alignment vertical="center" wrapText="1"/>
    </xf>
    <xf numFmtId="0" fontId="54" fillId="0" borderId="0" xfId="0" applyFont="1" applyNumberFormat="1">
      <alignment horizontal="center" vertical="center" wrapText="1"/>
    </xf>
    <xf numFmtId="0" fontId="61" fillId="37" borderId="0" xfId="0" applyFont="1" applyFill="1" applyNumberFormat="1">
      <alignment horizontal="center" vertical="center" wrapText="1"/>
    </xf>
    <xf numFmtId="0" fontId="61" fillId="0" borderId="0" xfId="0" applyFont="1" applyNumberFormat="1">
      <alignment vertical="center" wrapText="1"/>
    </xf>
    <xf numFmtId="0" fontId="55" fillId="0" borderId="0" xfId="0" applyFont="1" applyNumberFormat="1">
      <alignment vertical="center"/>
    </xf>
    <xf numFmtId="0" fontId="56" fillId="0" borderId="0" xfId="0" applyFont="1" applyNumberFormat="1">
      <alignment vertical="center"/>
    </xf>
    <xf numFmtId="0" fontId="55" fillId="0" borderId="0" xfId="0" applyFont="1" applyNumberFormat="1">
      <alignment vertical="center"/>
    </xf>
    <xf numFmtId="0" fontId="55" fillId="0" borderId="0" xfId="0" applyFont="1" applyNumberFormat="1">
      <alignment vertical="center"/>
    </xf>
    <xf numFmtId="0" fontId="0" fillId="0" borderId="0" xfId="0" applyFont="1" applyNumberFormat="1">
      <alignment vertical="center"/>
    </xf>
    <xf numFmtId="49" fontId="23" fillId="0" borderId="0" xfId="0" applyFont="1" applyNumberFormat="1">
      <alignment horizontal="center" vertical="center" wrapText="1"/>
    </xf>
    <xf numFmtId="49" fontId="0" fillId="0" borderId="21" xfId="0" applyFont="1" applyBorder="1" applyNumberFormat="1">
      <alignment horizontal="left" vertical="center" wrapText="1"/>
    </xf>
    <xf numFmtId="49" fontId="23" fillId="0" borderId="21" xfId="0" applyFont="1" applyBorder="1" applyNumberFormat="1">
      <alignment horizontal="center" vertical="center" wrapText="1"/>
    </xf>
    <xf numFmtId="0" fontId="54" fillId="0" borderId="0" xfId="0" applyFont="1" applyNumberFormat="1">
      <alignment horizontal="center" vertical="center" wrapText="1"/>
    </xf>
    <xf numFmtId="0" fontId="55" fillId="0" borderId="0" xfId="0" applyFont="1" applyNumberFormat="1">
      <alignment horizontal="center" vertical="center" wrapText="1"/>
    </xf>
    <xf numFmtId="0" fontId="23" fillId="0" borderId="0" xfId="0" applyFont="1" applyNumberFormat="1">
      <alignment horizontal="center" vertical="center" wrapText="1"/>
    </xf>
    <xf numFmtId="49" fontId="23" fillId="0" borderId="14" xfId="0" applyFont="1" applyBorder="1" applyNumberFormat="1">
      <alignment horizontal="left" vertical="center" wrapText="1"/>
    </xf>
    <xf numFmtId="0" fontId="23" fillId="37" borderId="14" xfId="0" applyFont="1" applyFill="1" applyBorder="1" applyNumberFormat="1">
      <alignment horizontal="left" vertical="center" wrapText="1"/>
    </xf>
    <xf numFmtId="0" fontId="55" fillId="0" borderId="0" xfId="0" applyFont="1" applyNumberFormat="1">
      <alignment horizontal="center" vertical="center"/>
    </xf>
    <xf numFmtId="49" fontId="23" fillId="0" borderId="0" xfId="0" applyFont="1" applyNumberFormat="1">
      <alignment horizontal="center" vertical="top"/>
    </xf>
    <xf numFmtId="49" fontId="40" fillId="0" borderId="0" xfId="0" applyFont="1" applyNumberFormat="1">
      <alignment horizontal="center" vertical="center"/>
    </xf>
    <xf numFmtId="0" fontId="0" fillId="0" borderId="0" xfId="0" applyFont="1" applyNumberFormat="1">
      <alignment horizontal="left" vertical="center"/>
    </xf>
    <xf numFmtId="0" fontId="59" fillId="0" borderId="0" xfId="0" applyFont="1" applyNumberFormat="1">
      <alignment horizontal="left" vertical="center"/>
    </xf>
    <xf numFmtId="49" fontId="0" fillId="0" borderId="0" xfId="0" applyFont="1" applyNumberFormat="1">
      <alignment vertical="center"/>
    </xf>
    <xf numFmtId="0" fontId="0" fillId="0" borderId="0" xfId="0" applyFont="1" applyNumberFormat="1">
      <alignment horizontal="right" vertical="top"/>
    </xf>
    <xf numFmtId="0" fontId="48" fillId="40" borderId="31" xfId="0" applyFont="1" applyFill="1" applyBorder="1" applyNumberFormat="1">
      <alignment horizontal="left" vertical="center"/>
    </xf>
    <xf numFmtId="49" fontId="55" fillId="0" borderId="16" xfId="0" applyFont="1" applyBorder="1" applyNumberFormat="1">
      <alignment horizontal="left" vertical="center" wrapText="1"/>
    </xf>
    <xf numFmtId="0" fontId="55" fillId="0" borderId="16" xfId="0" applyFont="1" applyBorder="1" applyNumberFormat="1">
      <alignment horizontal="left" vertical="center"/>
    </xf>
    <xf numFmtId="0" fontId="55" fillId="0" borderId="17" xfId="0" applyFont="1" applyBorder="1" applyNumberFormat="1">
      <alignment horizontal="left" vertical="center"/>
    </xf>
    <xf numFmtId="49" fontId="23" fillId="39" borderId="14" xfId="0" applyFont="1" applyFill="1" applyBorder="1" applyNumberFormat="1">
      <alignment horizontal="left" vertical="center" wrapText="1" indent="6"/>
      <protection locked="0"/>
    </xf>
    <xf numFmtId="4" fontId="23" fillId="0" borderId="39" xfId="0" applyFont="1" applyBorder="1" applyNumberFormat="1">
      <alignment horizontal="right" vertical="center" wrapText="1"/>
    </xf>
    <xf numFmtId="4" fontId="23" fillId="0" borderId="32" xfId="0" applyFont="1" applyBorder="1" applyNumberFormat="1">
      <alignment horizontal="right" vertical="center" wrapText="1"/>
    </xf>
    <xf numFmtId="49" fontId="0" fillId="40" borderId="31" xfId="0" applyFont="1" applyFill="1" applyBorder="1" applyNumberFormat="1">
      <alignment horizontal="center" vertical="center" wrapText="1"/>
    </xf>
    <xf numFmtId="0" fontId="0" fillId="0" borderId="0" xfId="0" applyFont="1" applyNumberFormat="1">
      <alignment vertical="center"/>
    </xf>
    <xf numFmtId="0" fontId="115" fillId="0" borderId="0" xfId="0" applyFont="1" applyNumberFormat="1">
      <alignment vertical="center" wrapText="1"/>
    </xf>
    <xf numFmtId="49" fontId="23" fillId="0" borderId="21" xfId="0" applyFont="1" applyBorder="1" applyNumberFormat="1">
      <alignment horizontal="center" vertical="center" wrapText="1"/>
    </xf>
    <xf numFmtId="49" fontId="23" fillId="0" borderId="0" xfId="0" applyFont="1" applyNumberFormat="1">
      <alignment horizontal="center" vertical="center" wrapText="1"/>
    </xf>
    <xf numFmtId="49" fontId="0" fillId="0" borderId="21" xfId="0" applyFont="1" applyBorder="1" applyNumberFormat="1">
      <alignment horizontal="left" vertical="center" wrapText="1"/>
    </xf>
    <xf numFmtId="49" fontId="23" fillId="0" borderId="0" xfId="0" applyFont="1" applyNumberFormat="1">
      <alignment vertical="center" wrapText="1"/>
    </xf>
    <xf numFmtId="0" fontId="54" fillId="0" borderId="0" xfId="0" applyFont="1" applyNumberFormat="1">
      <alignment horizontal="center" vertical="center" wrapText="1"/>
    </xf>
    <xf numFmtId="0" fontId="23" fillId="37" borderId="14" xfId="0" applyFont="1" applyFill="1" applyBorder="1" applyNumberFormat="1">
      <alignment horizontal="center" vertical="center" wrapText="1"/>
    </xf>
    <xf numFmtId="0" fontId="23" fillId="0" borderId="0" xfId="0" applyFont="1" applyNumberFormat="1">
      <alignment horizontal="left" vertical="top" wrapText="1"/>
    </xf>
    <xf numFmtId="0" fontId="55" fillId="0" borderId="0" xfId="0" applyFont="1" applyNumberFormat="1">
      <alignment horizontal="center" vertical="center" wrapText="1"/>
    </xf>
    <xf numFmtId="0" fontId="85" fillId="37" borderId="21" xfId="0" applyFont="1" applyFill="1" applyBorder="1" applyNumberFormat="1">
      <alignment horizontal="center" vertical="center" wrapText="1"/>
    </xf>
    <xf numFmtId="0" fontId="23" fillId="0" borderId="19" xfId="0" applyFont="1" applyBorder="1" applyNumberFormat="1">
      <alignment horizontal="center" vertical="center" wrapText="1"/>
    </xf>
    <xf numFmtId="0" fontId="23" fillId="0" borderId="0" xfId="0" applyFont="1" applyNumberFormat="1">
      <alignment horizontal="center" vertical="center" wrapText="1"/>
    </xf>
    <xf numFmtId="0" fontId="23" fillId="0" borderId="0" xfId="0" applyFont="1" applyNumberFormat="1">
      <alignment horizontal="right" vertical="center" wrapText="1"/>
    </xf>
    <xf numFmtId="0" fontId="0" fillId="0" borderId="14" xfId="0" applyFont="1" applyBorder="1" applyNumberFormat="1">
      <alignment horizontal="center" vertical="center" wrapText="1"/>
    </xf>
    <xf numFmtId="49" fontId="23" fillId="0" borderId="14" xfId="0" applyFont="1" applyBorder="1" applyNumberFormat="1">
      <alignment horizontal="left" vertical="center" wrapText="1"/>
    </xf>
    <xf numFmtId="0" fontId="23" fillId="37" borderId="14" xfId="0" applyFont="1" applyFill="1" applyBorder="1" applyNumberFormat="1">
      <alignment horizontal="left" vertical="center" wrapText="1"/>
    </xf>
    <xf numFmtId="0" fontId="55" fillId="0" borderId="0" xfId="0" applyFont="1" applyNumberFormat="1">
      <alignment horizontal="center" vertical="center"/>
    </xf>
    <xf numFmtId="49" fontId="23" fillId="43" borderId="14" xfId="0" applyFont="1" applyFill="1" applyBorder="1" applyNumberFormat="1">
      <alignment horizontal="center" vertical="center" wrapText="1"/>
    </xf>
    <xf numFmtId="49" fontId="55" fillId="0" borderId="14" xfId="0" applyFont="1" applyBorder="1" applyNumberFormat="1">
      <alignment horizontal="center" vertical="center" wrapText="1"/>
    </xf>
    <xf numFmtId="0" fontId="54" fillId="0" borderId="0" xfId="0" applyFont="1" applyNumberFormat="1">
      <alignment horizontal="center" vertical="center" wrapText="1"/>
    </xf>
    <xf numFmtId="0" fontId="55" fillId="0" borderId="0" xfId="0" applyFont="1" applyNumberFormat="1">
      <alignment horizontal="center" vertical="center" wrapText="1"/>
    </xf>
    <xf numFmtId="49" fontId="23" fillId="37" borderId="14" xfId="0" applyFont="1" applyFill="1" applyBorder="1" applyNumberFormat="1">
      <alignment horizontal="center" vertical="center" wrapText="1"/>
    </xf>
    <xf numFmtId="0" fontId="55" fillId="0" borderId="0" xfId="0" applyFont="1" applyNumberFormat="1">
      <alignment horizontal="center" vertical="center"/>
    </xf>
    <xf numFmtId="0" fontId="23" fillId="37" borderId="14" xfId="0" applyFont="1" applyFill="1" applyBorder="1" applyNumberFormat="1">
      <alignment horizontal="left" vertical="center" wrapText="1"/>
    </xf>
    <xf numFmtId="49" fontId="23" fillId="42" borderId="14" xfId="0" applyFont="1" applyFill="1" applyBorder="1" applyNumberFormat="1">
      <alignment horizontal="left" vertical="center" wrapText="1" indent="1"/>
      <protection locked="0"/>
    </xf>
    <xf numFmtId="0" fontId="0" fillId="0" borderId="0" xfId="0" applyFont="1" applyNumberFormat="1">
      <alignment vertical="center"/>
    </xf>
    <xf numFmtId="0" fontId="23" fillId="0" borderId="0" xfId="0" applyFont="1" applyNumberFormat="1">
      <alignment horizontal="center" vertical="center" wrapText="1"/>
    </xf>
    <xf numFmtId="49" fontId="23" fillId="43" borderId="14" xfId="0" applyFont="1" applyFill="1" applyBorder="1" applyNumberFormat="1">
      <alignment horizontal="center" vertical="center" wrapText="1"/>
    </xf>
    <xf numFmtId="49" fontId="23" fillId="0" borderId="21" xfId="0" applyFont="1" applyBorder="1" applyNumberFormat="1">
      <alignment horizontal="center" vertical="center" wrapText="1"/>
    </xf>
    <xf numFmtId="49" fontId="23" fillId="0" borderId="0" xfId="0" applyFont="1" applyNumberFormat="1">
      <alignment horizontal="center" vertical="center" wrapText="1"/>
    </xf>
    <xf numFmtId="49" fontId="0" fillId="0" borderId="21" xfId="0" applyFont="1" applyBorder="1" applyNumberFormat="1">
      <alignment horizontal="left" vertical="center" wrapText="1"/>
    </xf>
    <xf numFmtId="49" fontId="23" fillId="0" borderId="0" xfId="0" applyFont="1" applyNumberFormat="1">
      <alignment vertical="center" wrapText="1"/>
    </xf>
    <xf numFmtId="49" fontId="23" fillId="37" borderId="14" xfId="0" applyFont="1" applyFill="1" applyBorder="1" applyNumberFormat="1">
      <alignment horizontal="center" vertical="center" wrapText="1"/>
    </xf>
    <xf numFmtId="0" fontId="55" fillId="37" borderId="0" xfId="0" applyFont="1" applyFill="1" applyNumberFormat="1">
      <alignment horizontal="center" vertical="center" wrapText="1"/>
    </xf>
    <xf numFmtId="0" fontId="0" fillId="37" borderId="14" xfId="0" applyFont="1" applyFill="1" applyBorder="1" applyNumberFormat="1">
      <alignment horizontal="center" vertical="center" wrapText="1"/>
    </xf>
    <xf numFmtId="0" fontId="23" fillId="37" borderId="26" xfId="0" applyFont="1" applyFill="1" applyBorder="1" applyNumberFormat="1">
      <alignment horizontal="center" vertical="center" wrapText="1"/>
    </xf>
    <xf numFmtId="0" fontId="54" fillId="0" borderId="0" xfId="0" applyFont="1" applyNumberFormat="1">
      <alignment horizontal="center" vertical="center" wrapText="1"/>
    </xf>
    <xf numFmtId="0" fontId="23" fillId="37" borderId="14" xfId="0" applyFont="1" applyFill="1" applyBorder="1" applyNumberFormat="1">
      <alignment horizontal="center" vertical="center" wrapText="1"/>
    </xf>
    <xf numFmtId="0" fontId="23" fillId="0" borderId="0" xfId="0" applyFont="1" applyNumberFormat="1">
      <alignment horizontal="left" vertical="top" wrapText="1"/>
    </xf>
    <xf numFmtId="0" fontId="55" fillId="0" borderId="0" xfId="0" applyFont="1" applyNumberFormat="1">
      <alignment horizontal="center" vertical="center" wrapText="1"/>
    </xf>
    <xf numFmtId="0" fontId="85" fillId="37" borderId="21" xfId="0" applyFont="1" applyFill="1" applyBorder="1" applyNumberFormat="1">
      <alignment horizontal="center" vertical="center" wrapText="1"/>
    </xf>
    <xf numFmtId="0" fontId="23" fillId="0" borderId="19" xfId="0" applyFont="1" applyBorder="1" applyNumberFormat="1">
      <alignment horizontal="center" vertical="center" wrapText="1"/>
    </xf>
    <xf numFmtId="0" fontId="23" fillId="0" borderId="14" xfId="0" applyFont="1" applyBorder="1" applyNumberFormat="1">
      <alignment horizontal="center" vertical="center" wrapText="1"/>
    </xf>
    <xf numFmtId="49" fontId="55" fillId="0" borderId="14" xfId="0" applyFont="1" applyBorder="1" applyNumberFormat="1">
      <alignment horizontal="center" vertical="center" wrapText="1"/>
    </xf>
    <xf numFmtId="49" fontId="23" fillId="37" borderId="14" xfId="0" applyFont="1" applyFill="1" applyBorder="1" applyNumberFormat="1">
      <alignment horizontal="center" vertical="center" wrapText="1"/>
    </xf>
    <xf numFmtId="0" fontId="23" fillId="0" borderId="0" xfId="0" applyFont="1" applyNumberFormat="1">
      <alignment horizontal="center" vertical="center" wrapText="1"/>
    </xf>
    <xf numFmtId="0" fontId="23" fillId="0" borderId="0" xfId="0" applyFont="1" applyNumberFormat="1">
      <alignment horizontal="right" vertical="center" wrapText="1"/>
    </xf>
    <xf numFmtId="0" fontId="0" fillId="0" borderId="14" xfId="0" applyFont="1" applyBorder="1" applyNumberFormat="1">
      <alignment horizontal="center" vertical="center" wrapText="1"/>
    </xf>
    <xf numFmtId="49" fontId="23" fillId="0" borderId="14" xfId="0" applyFont="1" applyBorder="1" applyNumberFormat="1">
      <alignment horizontal="left" vertical="center" wrapText="1"/>
    </xf>
    <xf numFmtId="49" fontId="23" fillId="43" borderId="14" xfId="0" applyFont="1" applyFill="1" applyBorder="1" applyNumberFormat="1">
      <alignment horizontal="left" vertical="center" wrapText="1"/>
    </xf>
    <xf numFmtId="49" fontId="23" fillId="42" borderId="14" xfId="0" applyFont="1" applyFill="1" applyBorder="1" applyNumberFormat="1">
      <alignment horizontal="left" vertical="center" wrapText="1" indent="1"/>
      <protection locked="0"/>
    </xf>
    <xf numFmtId="0" fontId="23" fillId="37" borderId="14" xfId="0" applyFont="1" applyFill="1" applyBorder="1" applyNumberFormat="1">
      <alignment horizontal="left" vertical="center" wrapText="1"/>
    </xf>
    <xf numFmtId="0" fontId="55" fillId="0" borderId="0" xfId="0" applyFont="1" applyNumberFormat="1">
      <alignment horizontal="center" vertical="center"/>
    </xf>
    <xf numFmtId="0" fontId="45" fillId="0" borderId="0" xfId="0" applyFont="1" applyNumberFormat="1">
      <alignment horizontal="center" vertical="center" wrapText="1"/>
    </xf>
    <xf numFmtId="164" fontId="23" fillId="40" borderId="17" xfId="0" applyFont="1" applyFill="1" applyBorder="1" applyNumberFormat="1">
      <alignment horizontal="right" vertical="center" wrapText="1"/>
    </xf>
    <xf numFmtId="0" fontId="116" fillId="0" borderId="0" xfId="0" applyFont="1" applyNumberFormat="1">
      <alignment vertical="center" wrapText="1"/>
    </xf>
    <xf numFmtId="0" fontId="116" fillId="37" borderId="0" xfId="0" applyFont="1" applyFill="1" applyNumberFormat="1">
      <alignment horizontal="center" vertical="center" wrapText="1"/>
    </xf>
    <xf numFmtId="0" fontId="55" fillId="37" borderId="14" xfId="0" applyFont="1" applyFill="1" applyBorder="1" applyNumberFormat="1">
      <alignment horizontal="left" vertical="center" wrapText="1" indent="3"/>
    </xf>
    <xf numFmtId="49" fontId="48" fillId="40" borderId="29" xfId="0" applyFont="1" applyFill="1" applyBorder="1" applyNumberFormat="1">
      <alignment horizontal="left" vertical="center"/>
    </xf>
    <xf numFmtId="0" fontId="116" fillId="0" borderId="0" xfId="0" applyFont="1" applyNumberFormat="1">
      <alignment horizontal="center" vertical="center" wrapText="1"/>
    </xf>
    <xf numFmtId="49" fontId="55" fillId="0" borderId="0" xfId="0" applyFont="1" applyNumberFormat="1">
      <alignment horizontal="left" vertical="center" wrapText="1" indent="1"/>
    </xf>
    <xf numFmtId="0" fontId="55" fillId="0" borderId="0" xfId="0" applyFont="1" applyNumberFormat="1">
      <alignment horizontal="left" vertical="center" wrapText="1" indent="4"/>
    </xf>
    <xf numFmtId="0" fontId="55" fillId="0" borderId="0" xfId="0" applyFont="1" applyNumberFormat="1">
      <alignment horizontal="left" vertical="center" wrapText="1" indent="1"/>
    </xf>
    <xf numFmtId="49" fontId="23" fillId="40" borderId="16" xfId="0" applyFont="1" applyFill="1" applyBorder="1" applyNumberFormat="1">
      <alignment horizontal="center" vertical="center" wrapText="1"/>
    </xf>
    <xf numFmtId="0" fontId="55" fillId="0" borderId="26" xfId="0" applyFont="1" applyBorder="1" applyNumberFormat="1">
      <alignment horizontal="left" vertical="center" wrapText="1" indent="1"/>
    </xf>
    <xf numFmtId="0" fontId="54" fillId="0" borderId="0" xfId="0" applyFont="1" applyNumberFormat="1">
      <alignment horizontal="left" vertical="center"/>
    </xf>
    <xf numFmtId="49" fontId="54" fillId="0" borderId="0" xfId="0" applyFont="1" applyNumberFormat="1">
      <alignment horizontal="left" vertical="center"/>
    </xf>
    <xf numFmtId="0" fontId="54" fillId="0" borderId="0" xfId="0" applyFont="1" applyNumberFormat="1">
      <alignment horizontal="left" vertical="center"/>
    </xf>
    <xf numFmtId="0" fontId="74" fillId="0" borderId="0" xfId="0" applyFont="1" applyNumberFormat="1">
      <alignment horizontal="left" vertical="center"/>
    </xf>
    <xf numFmtId="0" fontId="55" fillId="0" borderId="0" xfId="0" applyFont="1" applyNumberFormat="1">
      <alignment horizontal="left" vertical="center"/>
    </xf>
    <xf numFmtId="49" fontId="23" fillId="0" borderId="0" xfId="0" applyFont="1" applyNumberFormat="1">
      <alignment horizontal="center" vertical="center" wrapText="1"/>
    </xf>
    <xf numFmtId="49" fontId="23" fillId="0" borderId="21" xfId="0" applyFont="1" applyBorder="1" applyNumberFormat="1">
      <alignment horizontal="center" vertical="center" wrapText="1"/>
    </xf>
    <xf numFmtId="49" fontId="23" fillId="0" borderId="21" xfId="0" applyFont="1" applyBorder="1" applyNumberFormat="1">
      <alignment horizontal="left" vertical="center" wrapText="1"/>
    </xf>
    <xf numFmtId="0" fontId="45" fillId="0" borderId="0" xfId="0" applyFont="1" applyNumberFormat="1">
      <alignment horizontal="center" vertical="center" wrapText="1"/>
    </xf>
    <xf numFmtId="0" fontId="45" fillId="37" borderId="0" xfId="0" applyFont="1" applyFill="1" applyNumberFormat="1">
      <alignment horizontal="center" vertical="center" wrapText="1"/>
    </xf>
    <xf numFmtId="49" fontId="54" fillId="0" borderId="0" xfId="0" applyFont="1" applyNumberFormat="1">
      <alignment horizontal="left" vertical="center"/>
    </xf>
    <xf numFmtId="49" fontId="54" fillId="0" borderId="0" xfId="0" applyFont="1" applyNumberFormat="1">
      <alignment horizontal="left" vertical="center"/>
    </xf>
    <xf numFmtId="49" fontId="54" fillId="0" borderId="0" xfId="0" applyFont="1" applyNumberFormat="1">
      <alignment horizontal="left" vertical="top"/>
    </xf>
    <xf numFmtId="49" fontId="23" fillId="37" borderId="14" xfId="0" applyFont="1" applyFill="1" applyBorder="1" applyNumberFormat="1">
      <alignment horizontal="center" vertical="center"/>
    </xf>
    <xf numFmtId="0" fontId="23" fillId="0" borderId="14" xfId="0" applyFont="1" applyBorder="1" applyNumberFormat="1">
      <alignment horizontal="center" vertical="center" wrapText="1"/>
    </xf>
    <xf numFmtId="0" fontId="23" fillId="37" borderId="14" xfId="0" applyFont="1" applyFill="1" applyBorder="1" applyNumberFormat="1">
      <alignment horizontal="left" vertical="center" wrapText="1" indent="1"/>
    </xf>
    <xf numFmtId="49" fontId="23" fillId="0" borderId="14" xfId="0" applyFont="1" applyBorder="1" applyNumberFormat="1">
      <alignment horizontal="center" vertical="center"/>
    </xf>
    <xf numFmtId="0" fontId="23" fillId="0" borderId="14" xfId="0" applyFont="1" applyBorder="1" applyNumberFormat="1">
      <alignment horizontal="left" vertical="center" wrapText="1" indent="1"/>
    </xf>
    <xf numFmtId="0" fontId="23" fillId="0" borderId="14" xfId="0" applyFont="1" applyBorder="1" applyNumberFormat="1">
      <alignment vertical="center" wrapText="1"/>
    </xf>
    <xf numFmtId="49" fontId="23" fillId="42" borderId="14" xfId="0" applyFont="1" applyFill="1" applyBorder="1" applyNumberFormat="1">
      <alignment horizontal="left" vertical="center" wrapText="1"/>
      <protection locked="0"/>
    </xf>
    <xf numFmtId="0" fontId="23" fillId="37" borderId="14" xfId="0" applyFont="1" applyFill="1" applyBorder="1" applyNumberFormat="1">
      <alignment horizontal="left" vertical="center" wrapText="1"/>
    </xf>
    <xf numFmtId="0" fontId="55" fillId="37" borderId="14" xfId="0" applyFont="1" applyFill="1" applyBorder="1" applyNumberFormat="1">
      <alignment horizontal="center" vertical="center"/>
    </xf>
    <xf numFmtId="0" fontId="77" fillId="37" borderId="0" xfId="0" applyFont="1" applyFill="1" applyNumberFormat="1">
      <alignment vertical="center" wrapText="1"/>
    </xf>
    <xf numFmtId="0" fontId="72" fillId="37" borderId="0" xfId="0" applyFont="1" applyFill="1" applyNumberFormat="1"/>
    <xf numFmtId="49" fontId="23" fillId="39" borderId="14" xfId="0" applyFont="1" applyFill="1" applyBorder="1" applyNumberFormat="1">
      <alignment horizontal="left" vertical="center" wrapText="1"/>
      <protection locked="0"/>
    </xf>
    <xf numFmtId="0" fontId="89" fillId="37" borderId="0" xfId="0" applyFont="1" applyFill="1" applyNumberFormat="1"/>
    <xf numFmtId="0" fontId="73" fillId="37" borderId="0" xfId="0" applyFont="1" applyFill="1" applyNumberFormat="1"/>
    <xf numFmtId="14" fontId="23" fillId="42" borderId="25" xfId="0" applyFont="1" applyFill="1" applyBorder="1" applyNumberFormat="1">
      <alignment horizontal="left" vertical="center" wrapText="1" indent="1"/>
      <protection locked="0"/>
    </xf>
    <xf numFmtId="0" fontId="117" fillId="0" borderId="0" xfId="0" applyFont="1" applyNumberFormat="1">
      <alignment vertical="center"/>
    </xf>
    <xf numFmtId="0" fontId="117" fillId="0" borderId="0" xfId="0" applyFont="1" applyNumberFormat="1">
      <alignment vertical="center" wrapText="1"/>
    </xf>
    <xf numFmtId="165" fontId="23" fillId="0" borderId="25" xfId="0" applyFont="1" applyBorder="1" applyNumberFormat="1">
      <alignment horizontal="center" vertical="center" wrapText="1"/>
    </xf>
    <xf numFmtId="14" fontId="23" fillId="42" borderId="14" xfId="0" applyFont="1" applyFill="1" applyBorder="1" applyNumberFormat="1">
      <alignment horizontal="left" vertical="center" wrapText="1" indent="1"/>
      <protection locked="0"/>
    </xf>
    <xf numFmtId="0" fontId="23" fillId="38" borderId="25" xfId="0" applyFont="1" applyFill="1" applyBorder="1" applyNumberFormat="1">
      <alignment horizontal="left" vertical="center" wrapText="1" indent="1"/>
    </xf>
    <xf numFmtId="165" fontId="23" fillId="0" borderId="19" xfId="0" applyFont="1" applyBorder="1" applyNumberFormat="1">
      <alignment horizontal="center" vertical="center" wrapText="1"/>
    </xf>
    <xf numFmtId="49" fontId="36" fillId="40" borderId="32" xfId="0" applyFont="1" applyFill="1" applyBorder="1" applyNumberFormat="1">
      <alignment horizontal="right" vertical="center" wrapText="1"/>
    </xf>
    <xf numFmtId="49" fontId="0" fillId="40" borderId="29" xfId="0" applyFont="1" applyFill="1" applyBorder="1" applyNumberFormat="1">
      <alignment horizontal="right" vertical="center" wrapText="1"/>
    </xf>
    <xf numFmtId="49" fontId="34" fillId="40" borderId="29" xfId="0" applyFont="1" applyFill="1" applyBorder="1" applyNumberFormat="1">
      <alignment horizontal="left" vertical="center" wrapText="1"/>
    </xf>
    <xf numFmtId="0" fontId="55" fillId="0" borderId="29" xfId="0" applyFont="1" applyBorder="1" applyNumberFormat="1">
      <alignment horizontal="center" vertical="center" wrapText="1"/>
    </xf>
    <xf numFmtId="0" fontId="55" fillId="0" borderId="0" xfId="0" applyFont="1" applyNumberFormat="1">
      <alignment horizontal="center" vertical="center"/>
    </xf>
    <xf numFmtId="0" fontId="50" fillId="0" borderId="0" xfId="0" applyFont="1" applyNumberFormat="1">
      <alignment horizontal="center" vertical="center" wrapText="1"/>
    </xf>
    <xf numFmtId="14" fontId="23" fillId="43" borderId="14" xfId="0" applyFont="1" applyFill="1" applyBorder="1" applyNumberFormat="1">
      <alignment horizontal="left" vertical="center" wrapText="1"/>
    </xf>
    <xf numFmtId="165" fontId="23" fillId="0" borderId="39" xfId="0" applyFont="1" applyBorder="1" applyNumberFormat="1">
      <alignment horizontal="center" vertical="center" wrapText="1"/>
    </xf>
    <xf numFmtId="0" fontId="23" fillId="42" borderId="14" xfId="0" applyFont="1" applyFill="1" applyBorder="1" applyNumberFormat="1">
      <alignment horizontal="center" vertical="center" wrapText="1"/>
      <protection locked="0"/>
    </xf>
    <xf numFmtId="0" fontId="54" fillId="37" borderId="0" xfId="0" applyFont="1" applyFill="1" applyNumberFormat="1"/>
    <xf numFmtId="0" fontId="23" fillId="0" borderId="17" xfId="0" applyFont="1" applyBorder="1" applyNumberFormat="1">
      <alignment horizontal="right" vertical="center" wrapText="1" indent="1"/>
    </xf>
    <xf numFmtId="0" fontId="23" fillId="38" borderId="16" xfId="0" applyFont="1" applyFill="1" applyBorder="1" applyNumberFormat="1">
      <alignment horizontal="left" vertical="top" wrapText="1"/>
    </xf>
    <xf numFmtId="49" fontId="55" fillId="0" borderId="0" xfId="0" applyFont="1" applyNumberFormat="1">
      <alignment horizontal="center" vertical="center"/>
    </xf>
    <xf numFmtId="49" fontId="72" fillId="0" borderId="0" xfId="0" applyFont="1" applyNumberFormat="1">
      <alignment vertical="top"/>
    </xf>
    <xf numFmtId="0" fontId="50" fillId="0" borderId="0" xfId="0" applyFont="1" applyNumberFormat="1">
      <alignment vertical="center"/>
    </xf>
    <xf numFmtId="0" fontId="23" fillId="0" borderId="38" xfId="0" applyFont="1" applyBorder="1" applyNumberFormat="1">
      <alignment horizontal="center" vertical="center" wrapText="1"/>
    </xf>
    <xf numFmtId="0" fontId="23" fillId="0" borderId="39" xfId="0" applyFont="1" applyBorder="1" applyNumberFormat="1">
      <alignment horizontal="center" vertical="center" wrapText="1"/>
    </xf>
    <xf numFmtId="0" fontId="23" fillId="0" borderId="19" xfId="0" applyFont="1" applyBorder="1" applyNumberFormat="1">
      <alignment horizontal="center" vertical="center" wrapText="1"/>
    </xf>
    <xf numFmtId="0" fontId="23" fillId="0" borderId="24" xfId="0" applyFont="1" applyBorder="1" applyNumberFormat="1">
      <alignment horizontal="center" vertical="center" wrapText="1"/>
    </xf>
    <xf numFmtId="49" fontId="23" fillId="0" borderId="38" xfId="0" applyFont="1" applyBorder="1" applyNumberFormat="1">
      <alignment horizontal="left" vertical="center" wrapText="1"/>
    </xf>
    <xf numFmtId="49" fontId="23" fillId="0" borderId="38" xfId="0" applyFont="1" applyBorder="1" applyNumberFormat="1">
      <alignment horizontal="center" vertical="center" wrapText="1"/>
    </xf>
    <xf numFmtId="49" fontId="23" fillId="0" borderId="19" xfId="0" applyFont="1" applyBorder="1" applyNumberFormat="1">
      <alignment horizontal="center" vertical="center" wrapText="1"/>
    </xf>
    <xf numFmtId="0" fontId="23" fillId="0" borderId="38" xfId="0" applyFont="1" applyBorder="1" applyNumberFormat="1">
      <alignment horizontal="left" vertical="center" wrapText="1"/>
    </xf>
    <xf numFmtId="49" fontId="23" fillId="0" borderId="38" xfId="0" applyFont="1" applyBorder="1" applyNumberFormat="1">
      <alignment vertical="center" wrapText="1"/>
    </xf>
    <xf numFmtId="0" fontId="23" fillId="0" borderId="25" xfId="0" applyFont="1" applyBorder="1" applyNumberFormat="1">
      <alignment horizontal="left" vertical="center" wrapText="1"/>
    </xf>
    <xf numFmtId="0" fontId="48" fillId="0" borderId="25" xfId="0" applyFont="1" applyBorder="1" applyNumberFormat="1">
      <alignment horizontal="left" vertical="center"/>
    </xf>
    <xf numFmtId="0" fontId="48" fillId="40" borderId="16" xfId="0" applyFont="1" applyFill="1" applyBorder="1" applyNumberFormat="1">
      <alignment horizontal="left" vertical="center"/>
    </xf>
    <xf numFmtId="0" fontId="48" fillId="0" borderId="38" xfId="0" applyFont="1" applyBorder="1" applyNumberFormat="1">
      <alignment horizontal="left" vertical="center"/>
    </xf>
    <xf numFmtId="0" fontId="48" fillId="40" borderId="39" xfId="0" applyFont="1" applyFill="1" applyBorder="1" applyNumberFormat="1">
      <alignment horizontal="left" vertical="center"/>
    </xf>
    <xf numFmtId="49" fontId="72" fillId="40" borderId="16" xfId="0" applyFont="1" applyFill="1" applyBorder="1" applyNumberFormat="1">
      <alignment vertical="top"/>
    </xf>
    <xf numFmtId="49" fontId="72" fillId="40" borderId="17" xfId="0" applyFont="1" applyFill="1" applyBorder="1" applyNumberFormat="1">
      <alignment vertical="top"/>
    </xf>
    <xf numFmtId="49" fontId="23" fillId="43" borderId="19" xfId="0" applyFont="1" applyFill="1" applyBorder="1" applyNumberFormat="1">
      <alignment vertical="center" wrapText="1"/>
    </xf>
    <xf numFmtId="0" fontId="23" fillId="0" borderId="39" xfId="0" applyFont="1" applyBorder="1" applyNumberFormat="1">
      <alignment horizontal="center" vertical="center" wrapText="1"/>
    </xf>
    <xf numFmtId="49" fontId="0" fillId="0" borderId="0" xfId="0" applyFont="1" applyNumberFormat="1">
      <alignment vertical="top"/>
    </xf>
    <xf numFmtId="49" fontId="54" fillId="0" borderId="0" xfId="0" applyFont="1" applyNumberFormat="1">
      <alignment horizontal="center" vertical="center"/>
    </xf>
    <xf numFmtId="0" fontId="118" fillId="0" borderId="0" xfId="0" applyFont="1" applyNumberFormat="1">
      <alignment vertical="center" wrapText="1"/>
    </xf>
    <xf numFmtId="0" fontId="119" fillId="0" borderId="0" xfId="0" applyFont="1" applyNumberFormat="1">
      <alignment vertical="center" wrapText="1"/>
    </xf>
    <xf numFmtId="0" fontId="23" fillId="0" borderId="19" xfId="0" applyFont="1" applyBorder="1" applyNumberFormat="1">
      <alignment horizontal="center" vertical="center" wrapText="1"/>
    </xf>
    <xf numFmtId="49" fontId="23" fillId="0" borderId="19" xfId="0" applyFont="1" applyBorder="1" applyNumberFormat="1">
      <alignment horizontal="left" vertical="center" wrapText="1"/>
    </xf>
    <xf numFmtId="49" fontId="23" fillId="0" borderId="19" xfId="0" applyFont="1" applyBorder="1" applyNumberFormat="1">
      <alignment horizontal="left" vertical="center" wrapText="1"/>
    </xf>
    <xf numFmtId="49" fontId="23" fillId="0" borderId="19" xfId="0" applyFont="1" applyBorder="1" applyNumberFormat="1">
      <alignment horizontal="center" vertical="center" wrapText="1"/>
    </xf>
    <xf numFmtId="0" fontId="23" fillId="0" borderId="19" xfId="0" applyFont="1" applyBorder="1" applyNumberFormat="1">
      <alignment horizontal="left" vertical="center" wrapText="1"/>
    </xf>
    <xf numFmtId="0" fontId="23" fillId="0" borderId="0" xfId="0" applyFont="1" applyNumberFormat="1">
      <alignment horizontal="left" vertical="center" wrapText="1"/>
    </xf>
    <xf numFmtId="49" fontId="23" fillId="0" borderId="21" xfId="0" applyFont="1" applyBorder="1" applyNumberFormat="1">
      <alignment vertical="center" wrapText="1"/>
    </xf>
    <xf numFmtId="49" fontId="23" fillId="0" borderId="21" xfId="0" applyFont="1" applyBorder="1" applyNumberFormat="1">
      <alignment horizontal="left" vertical="center" wrapText="1"/>
    </xf>
    <xf numFmtId="49" fontId="45" fillId="0" borderId="21" xfId="0" applyFont="1" applyBorder="1" applyNumberFormat="1">
      <alignment vertical="center" wrapText="1"/>
    </xf>
    <xf numFmtId="49" fontId="23" fillId="0" borderId="21" xfId="0" applyFont="1" applyBorder="1" applyNumberFormat="1">
      <alignment horizontal="center" vertical="center" wrapText="1"/>
    </xf>
    <xf numFmtId="0" fontId="23" fillId="0" borderId="21" xfId="0" applyFont="1" applyBorder="1" applyNumberFormat="1">
      <alignment horizontal="left" vertical="center" wrapText="1"/>
    </xf>
    <xf numFmtId="49" fontId="23" fillId="0" borderId="21" xfId="0" applyFont="1" applyBorder="1" applyNumberFormat="1">
      <alignment vertical="center" wrapText="1"/>
    </xf>
    <xf numFmtId="49" fontId="23" fillId="0" borderId="0" xfId="0" applyFont="1" applyNumberFormat="1">
      <alignment vertical="center" wrapText="1"/>
    </xf>
    <xf numFmtId="49" fontId="23" fillId="0" borderId="0" xfId="0" applyFont="1" applyNumberFormat="1">
      <alignment horizontal="left" vertical="center" wrapText="1"/>
    </xf>
    <xf numFmtId="49" fontId="45" fillId="0" borderId="0" xfId="0" applyFont="1" applyNumberFormat="1">
      <alignment vertical="center" wrapText="1"/>
    </xf>
    <xf numFmtId="49" fontId="23" fillId="0" borderId="0" xfId="0" applyFont="1" applyNumberFormat="1">
      <alignment horizontal="center" vertical="center" wrapText="1"/>
    </xf>
    <xf numFmtId="0" fontId="23" fillId="0" borderId="0" xfId="0" applyFont="1" applyNumberFormat="1">
      <alignment horizontal="left" vertical="center" wrapText="1"/>
    </xf>
    <xf numFmtId="0" fontId="48" fillId="0" borderId="0" xfId="0" applyFont="1" applyNumberFormat="1">
      <alignment horizontal="left" vertical="center"/>
    </xf>
    <xf numFmtId="49" fontId="45" fillId="0" borderId="0" xfId="0" applyFont="1" applyNumberFormat="1">
      <alignment horizontal="center" vertical="center" wrapText="1"/>
    </xf>
    <xf numFmtId="0" fontId="48" fillId="0" borderId="0" xfId="0" applyFont="1" applyNumberFormat="1">
      <alignment vertical="center"/>
    </xf>
    <xf numFmtId="49" fontId="72" fillId="0" borderId="32" xfId="0" applyFont="1" applyBorder="1" applyNumberFormat="1">
      <alignment vertical="top"/>
    </xf>
    <xf numFmtId="49" fontId="23" fillId="0" borderId="39" xfId="0" applyFont="1" applyBorder="1" applyNumberFormat="1">
      <alignment vertical="center" wrapText="1"/>
    </xf>
    <xf numFmtId="49" fontId="23" fillId="0" borderId="24" xfId="0" applyFont="1" applyBorder="1" applyNumberFormat="1">
      <alignment vertical="center" wrapText="1"/>
    </xf>
    <xf numFmtId="0" fontId="48" fillId="0" borderId="24" xfId="0" applyFont="1" applyBorder="1" applyNumberFormat="1">
      <alignment horizontal="left" vertical="center"/>
    </xf>
    <xf numFmtId="49" fontId="72" fillId="0" borderId="29" xfId="0" applyFont="1" applyBorder="1" applyNumberFormat="1">
      <alignment vertical="top"/>
    </xf>
    <xf numFmtId="49" fontId="23" fillId="0" borderId="38" xfId="0" applyFont="1" applyBorder="1" applyNumberFormat="1">
      <alignment horizontal="center" vertical="center" wrapText="1"/>
    </xf>
    <xf numFmtId="0" fontId="48" fillId="40" borderId="39" xfId="0" applyFont="1" applyFill="1" applyBorder="1" applyNumberFormat="1">
      <alignment vertical="center"/>
    </xf>
    <xf numFmtId="49" fontId="0" fillId="0" borderId="14" xfId="0" applyFont="1" applyBorder="1" applyNumberFormat="1">
      <alignment horizontal="left" vertical="center" wrapText="1" indent="1"/>
    </xf>
    <xf numFmtId="49" fontId="0" fillId="0" borderId="0" xfId="0" applyFont="1" applyNumberFormat="1">
      <alignment vertical="top"/>
    </xf>
    <xf numFmtId="0" fontId="23" fillId="0" borderId="0" xfId="0" applyFont="1" applyNumberFormat="1">
      <alignment vertical="center" wrapText="1"/>
    </xf>
    <xf numFmtId="0" fontId="40" fillId="0" borderId="0" xfId="0" applyFont="1" applyNumberFormat="1">
      <alignment vertical="center" wrapText="1"/>
    </xf>
    <xf numFmtId="0" fontId="50" fillId="0" borderId="0" xfId="0" applyFont="1" applyNumberFormat="1">
      <alignment vertical="center" wrapText="1"/>
    </xf>
    <xf numFmtId="0" fontId="23" fillId="0" borderId="0" xfId="0" applyFont="1" applyNumberFormat="1">
      <alignment horizontal="left" vertical="center" wrapText="1"/>
    </xf>
    <xf numFmtId="0" fontId="63" fillId="0" borderId="0" xfId="0" applyFont="1" applyNumberFormat="1">
      <alignment vertical="center" wrapText="1"/>
    </xf>
    <xf numFmtId="0" fontId="65" fillId="0" borderId="0" xfId="0" applyFont="1" applyNumberFormat="1">
      <alignment vertical="center" wrapText="1"/>
    </xf>
    <xf numFmtId="0" fontId="93" fillId="0" borderId="0" xfId="0" applyFont="1" applyNumberFormat="1">
      <alignment vertical="center" wrapText="1"/>
    </xf>
    <xf numFmtId="0" fontId="55" fillId="0" borderId="0" xfId="0" applyFont="1" applyNumberFormat="1">
      <alignment vertical="center" wrapText="1"/>
    </xf>
    <xf numFmtId="0" fontId="69" fillId="0" borderId="0" xfId="0" applyFont="1" applyNumberFormat="1">
      <alignment vertical="center" wrapText="1"/>
    </xf>
    <xf numFmtId="49" fontId="23" fillId="0" borderId="14" xfId="0" applyFont="1" applyBorder="1" applyNumberFormat="1">
      <alignment horizontal="center" vertical="center" wrapText="1"/>
    </xf>
    <xf numFmtId="0" fontId="45" fillId="37" borderId="14" xfId="0" applyFont="1" applyFill="1" applyBorder="1" applyNumberFormat="1">
      <alignment horizontal="center" vertical="center" wrapText="1"/>
    </xf>
    <xf numFmtId="0" fontId="23" fillId="0" borderId="0" xfId="0" applyFont="1" applyNumberFormat="1">
      <alignment vertical="center" wrapText="1"/>
    </xf>
    <xf numFmtId="0" fontId="45" fillId="37" borderId="0" xfId="0" applyFont="1" applyFill="1" applyNumberFormat="1">
      <alignment horizontal="center" vertical="center" wrapText="1"/>
    </xf>
    <xf numFmtId="49" fontId="23" fillId="0" borderId="14" xfId="0" applyFont="1" applyBorder="1" applyNumberFormat="1">
      <alignment horizontal="center" vertical="center" wrapText="1"/>
    </xf>
    <xf numFmtId="3" fontId="23" fillId="42" borderId="14" xfId="0" applyFont="1" applyFill="1" applyBorder="1" applyNumberFormat="1">
      <alignment horizontal="right" vertical="center" wrapText="1"/>
      <protection locked="0"/>
    </xf>
    <xf numFmtId="0" fontId="55" fillId="0" borderId="0" xfId="0" applyFont="1" applyNumberFormat="1">
      <alignment vertical="center" wrapText="1"/>
    </xf>
    <xf numFmtId="49" fontId="23" fillId="42" borderId="14" xfId="0" applyFont="1" applyFill="1" applyBorder="1" applyNumberFormat="1">
      <alignment horizontal="left" vertical="center" wrapText="1"/>
      <protection locked="0"/>
    </xf>
    <xf numFmtId="0" fontId="55" fillId="0" borderId="0" xfId="0" applyFont="1" applyNumberFormat="1">
      <alignment vertical="center"/>
    </xf>
    <xf numFmtId="0" fontId="45" fillId="37" borderId="14" xfId="0" applyFont="1" applyFill="1" applyBorder="1" applyNumberFormat="1">
      <alignment horizontal="center" vertical="center" wrapText="1"/>
    </xf>
    <xf numFmtId="0" fontId="54" fillId="0" borderId="24" xfId="0" applyFont="1" applyBorder="1" applyNumberFormat="1">
      <alignment vertical="center"/>
    </xf>
    <xf numFmtId="0" fontId="54" fillId="0" borderId="24" xfId="0" applyFont="1" applyBorder="1" applyNumberFormat="1">
      <alignment vertical="center"/>
    </xf>
    <xf numFmtId="0" fontId="23" fillId="0" borderId="19" xfId="0" applyFont="1" applyBorder="1" applyNumberFormat="1">
      <alignment horizontal="left" vertical="center" wrapText="1" indent="1"/>
    </xf>
    <xf numFmtId="49" fontId="23" fillId="0" borderId="60" xfId="0" applyFont="1" applyBorder="1" applyNumberFormat="1">
      <alignment horizontal="center" vertical="center" wrapText="1"/>
    </xf>
    <xf numFmtId="49" fontId="23" fillId="0" borderId="30" xfId="0" applyFont="1" applyBorder="1" applyNumberFormat="1">
      <alignment horizontal="center" vertical="center" wrapText="1"/>
    </xf>
    <xf numFmtId="0" fontId="23" fillId="0" borderId="0" xfId="0" applyFont="1" applyNumberFormat="1">
      <alignment vertical="center" wrapText="1"/>
    </xf>
    <xf numFmtId="0" fontId="40" fillId="0" borderId="0" xfId="0" applyFont="1" applyNumberFormat="1">
      <alignment vertical="center" wrapText="1"/>
    </xf>
    <xf numFmtId="0" fontId="45" fillId="0" borderId="0" xfId="0" applyFont="1" applyNumberFormat="1">
      <alignment horizontal="center" vertical="center" wrapText="1"/>
    </xf>
    <xf numFmtId="0" fontId="23" fillId="0" borderId="14" xfId="0" applyFont="1" applyBorder="1" applyNumberFormat="1">
      <alignment horizontal="center" vertical="center" wrapText="1"/>
    </xf>
    <xf numFmtId="0" fontId="23" fillId="0" borderId="0" xfId="0" applyFont="1" applyNumberFormat="1">
      <alignment vertical="center" wrapText="1"/>
    </xf>
    <xf numFmtId="0" fontId="55" fillId="0" borderId="0" xfId="0" applyFont="1" applyNumberFormat="1">
      <alignment vertical="center" wrapText="1"/>
    </xf>
    <xf numFmtId="0" fontId="23" fillId="0" borderId="14" xfId="0" applyFont="1" applyBorder="1" applyNumberFormat="1">
      <alignment horizontal="center" vertical="center" wrapText="1"/>
    </xf>
    <xf numFmtId="49" fontId="23" fillId="0" borderId="0" xfId="0" applyFont="1" applyNumberFormat="1">
      <alignment horizontal="center" vertical="center" wrapText="1"/>
    </xf>
    <xf numFmtId="0" fontId="23" fillId="0" borderId="14" xfId="0" applyFont="1" applyBorder="1" applyNumberFormat="1">
      <alignment horizontal="center" vertical="center" wrapText="1"/>
    </xf>
    <xf numFmtId="0" fontId="59" fillId="0" borderId="0" xfId="0" applyFont="1" applyNumberFormat="1">
      <alignment vertical="center"/>
    </xf>
    <xf numFmtId="0" fontId="77" fillId="0" borderId="0" xfId="0" applyFont="1" applyNumberFormat="1">
      <alignment vertical="center" wrapText="1"/>
    </xf>
    <xf numFmtId="0" fontId="55" fillId="0" borderId="0" xfId="0" applyFont="1" applyNumberFormat="1">
      <alignment vertical="center" wrapText="1"/>
    </xf>
    <xf numFmtId="0" fontId="23" fillId="0" borderId="15" xfId="0" applyFont="1" applyBorder="1" applyNumberFormat="1">
      <alignment horizontal="center" vertical="center" wrapText="1"/>
    </xf>
    <xf numFmtId="0" fontId="23" fillId="0" borderId="19" xfId="0" applyFont="1" applyBorder="1" applyNumberFormat="1">
      <alignment horizontal="center" vertical="center" wrapText="1"/>
    </xf>
    <xf numFmtId="0" fontId="23" fillId="0" borderId="17" xfId="0" applyFont="1" applyBorder="1" applyNumberFormat="1">
      <alignment horizontal="right" vertical="center" wrapText="1" indent="1"/>
    </xf>
    <xf numFmtId="0" fontId="23" fillId="0" borderId="14" xfId="0" applyFont="1" applyBorder="1" applyNumberFormat="1">
      <alignment horizontal="center" vertical="center" wrapText="1"/>
    </xf>
    <xf numFmtId="0" fontId="23" fillId="0" borderId="0" xfId="0" applyFont="1" applyNumberFormat="1">
      <alignment horizontal="left" vertical="top" wrapText="1"/>
    </xf>
    <xf numFmtId="0" fontId="23" fillId="0" borderId="14" xfId="0" applyFont="1" applyBorder="1" applyNumberFormat="1">
      <alignment horizontal="center" vertical="center" wrapText="1"/>
    </xf>
    <xf numFmtId="49" fontId="23" fillId="43" borderId="14" xfId="0" applyFont="1" applyFill="1" applyBorder="1" applyNumberFormat="1">
      <alignment horizontal="left" vertical="center" wrapText="1"/>
    </xf>
    <xf numFmtId="0" fontId="23" fillId="0" borderId="14" xfId="0" applyFont="1" applyBorder="1" applyNumberFormat="1">
      <alignment horizontal="left" vertical="center" wrapText="1" indent="2"/>
    </xf>
    <xf numFmtId="0" fontId="55" fillId="0" borderId="19" xfId="0" applyFont="1" applyBorder="1" applyNumberFormat="1">
      <alignment horizontal="center" vertical="center" wrapText="1"/>
    </xf>
    <xf numFmtId="0" fontId="23" fillId="38" borderId="16" xfId="0" applyFont="1" applyFill="1" applyBorder="1" applyNumberFormat="1">
      <alignment horizontal="left" vertical="top" wrapText="1"/>
    </xf>
    <xf numFmtId="0" fontId="23" fillId="0" borderId="14" xfId="0" applyFont="1" applyBorder="1" applyNumberFormat="1">
      <alignment horizontal="center" vertical="center" wrapText="1"/>
    </xf>
    <xf numFmtId="0" fontId="23" fillId="0" borderId="15" xfId="0" applyFont="1" applyBorder="1" applyNumberFormat="1">
      <alignment horizontal="center" vertical="center" wrapText="1"/>
    </xf>
    <xf numFmtId="0" fontId="23" fillId="0" borderId="19" xfId="0" applyFont="1" applyBorder="1" applyNumberFormat="1">
      <alignment horizontal="center" vertical="center" wrapText="1"/>
    </xf>
    <xf numFmtId="0" fontId="23" fillId="0" borderId="17" xfId="0" applyFont="1" applyBorder="1" applyNumberFormat="1">
      <alignment horizontal="right" vertical="center" wrapText="1" indent="1"/>
    </xf>
    <xf numFmtId="0" fontId="23" fillId="0" borderId="14" xfId="0" applyFont="1" applyBorder="1" applyNumberFormat="1">
      <alignment horizontal="center" vertical="center" wrapText="1"/>
    </xf>
    <xf numFmtId="0" fontId="23" fillId="0" borderId="14" xfId="0" applyFont="1" applyBorder="1" applyNumberFormat="1">
      <alignment horizontal="center" vertical="center" wrapText="1"/>
    </xf>
    <xf numFmtId="0" fontId="23" fillId="38" borderId="16" xfId="0" applyFont="1" applyFill="1" applyBorder="1" applyNumberFormat="1">
      <alignment horizontal="left" vertical="top" wrapText="1"/>
    </xf>
    <xf numFmtId="0" fontId="23" fillId="0" borderId="14" xfId="0" applyFont="1" applyBorder="1" applyNumberFormat="1">
      <alignment horizontal="center" vertical="center" wrapText="1"/>
    </xf>
    <xf numFmtId="49" fontId="0" fillId="0" borderId="14" xfId="0" applyFont="1" applyBorder="1" applyNumberFormat="1">
      <alignment vertical="center" wrapText="1"/>
    </xf>
    <xf numFmtId="0" fontId="55" fillId="0" borderId="16" xfId="0" applyFont="1" applyBorder="1" applyNumberFormat="1">
      <alignment vertical="center" wrapText="1"/>
    </xf>
    <xf numFmtId="0" fontId="55" fillId="0" borderId="16" xfId="0" applyFont="1" applyBorder="1" applyNumberFormat="1">
      <alignment horizontal="left" vertical="top" wrapText="1"/>
    </xf>
    <xf numFmtId="49" fontId="23" fillId="0" borderId="61" xfId="0" applyFont="1" applyBorder="1" applyNumberFormat="1">
      <alignment horizontal="center" vertical="center" wrapText="1"/>
    </xf>
    <xf numFmtId="0" fontId="23" fillId="0" borderId="19" xfId="0" applyFont="1" applyBorder="1" applyNumberFormat="1">
      <alignment horizontal="left" vertical="center" wrapText="1"/>
    </xf>
    <xf numFmtId="49" fontId="48" fillId="40" borderId="21" xfId="0" applyFont="1" applyFill="1" applyBorder="1" applyNumberFormat="1">
      <alignment horizontal="left" vertical="center" indent="2"/>
    </xf>
    <xf numFmtId="49" fontId="0" fillId="0" borderId="14" xfId="0" applyFont="1" applyBorder="1" applyNumberFormat="1">
      <alignment horizontal="left" vertical="center" wrapText="1" indent="1"/>
    </xf>
    <xf numFmtId="49" fontId="0" fillId="0" borderId="14" xfId="0" applyFont="1" applyBorder="1" applyNumberFormat="1">
      <alignment horizontal="left" vertical="center" wrapText="1" indent="2"/>
    </xf>
    <xf numFmtId="49" fontId="23" fillId="0" borderId="0" xfId="0" applyFont="1" applyNumberFormat="1">
      <alignment vertical="center" wrapText="1"/>
    </xf>
    <xf numFmtId="0" fontId="0" fillId="0" borderId="14" xfId="0" applyFont="1" applyBorder="1" applyNumberFormat="1">
      <alignment horizontal="center" vertical="center" wrapText="1"/>
    </xf>
    <xf numFmtId="49" fontId="23" fillId="43" borderId="14" xfId="0" applyFont="1" applyFill="1" applyBorder="1" applyNumberFormat="1">
      <alignment horizontal="left" vertical="center" wrapText="1" indent="1"/>
    </xf>
    <xf numFmtId="0" fontId="0" fillId="0" borderId="14" xfId="0" applyFont="1" applyBorder="1" applyNumberFormat="1">
      <alignment horizontal="left" vertical="center" wrapText="1" indent="1"/>
    </xf>
    <xf numFmtId="49" fontId="0" fillId="37" borderId="14" xfId="0" applyFont="1" applyFill="1" applyBorder="1" applyNumberFormat="1">
      <alignment horizontal="center" vertical="center" wrapText="1"/>
    </xf>
    <xf numFmtId="49" fontId="23" fillId="43" borderId="14" xfId="0" applyFont="1" applyFill="1" applyBorder="1" applyNumberFormat="1">
      <alignment horizontal="left" vertical="center" wrapText="1"/>
    </xf>
    <xf numFmtId="49" fontId="23" fillId="0" borderId="62" xfId="0" applyFont="1" applyBorder="1" applyNumberFormat="1">
      <alignment horizontal="center" vertical="center" wrapText="1"/>
    </xf>
    <xf numFmtId="4" fontId="23" fillId="42" borderId="19" xfId="0" applyFont="1" applyFill="1" applyBorder="1" applyNumberFormat="1">
      <alignment horizontal="right" vertical="center" wrapText="1"/>
      <protection locked="0"/>
    </xf>
    <xf numFmtId="49" fontId="48" fillId="0" borderId="21" xfId="0" applyFont="1" applyBorder="1" applyNumberFormat="1">
      <alignment horizontal="left" vertical="center"/>
    </xf>
    <xf numFmtId="49" fontId="48" fillId="0" borderId="21" xfId="0" applyFont="1" applyBorder="1" applyNumberFormat="1">
      <alignment horizontal="left" vertical="center" indent="2"/>
    </xf>
    <xf numFmtId="49" fontId="52" fillId="0" borderId="21" xfId="0" applyFont="1" applyBorder="1" applyNumberFormat="1">
      <alignment horizontal="center" vertical="top"/>
    </xf>
    <xf numFmtId="0" fontId="23" fillId="0" borderId="21" xfId="0" applyFont="1" applyBorder="1" applyNumberFormat="1">
      <alignment horizontal="left" vertical="top" wrapText="1"/>
    </xf>
    <xf numFmtId="0" fontId="23" fillId="0" borderId="0" xfId="0" applyFont="1" applyNumberFormat="1">
      <alignment horizontal="right" vertical="top" wrapText="1"/>
    </xf>
    <xf numFmtId="49" fontId="0" fillId="42" borderId="14" xfId="0" applyFont="1" applyFill="1" applyBorder="1" applyNumberFormat="1">
      <alignment horizontal="left" vertical="center" wrapText="1" indent="1"/>
      <protection locked="0"/>
    </xf>
    <xf numFmtId="49" fontId="54" fillId="0" borderId="0" xfId="0" applyFont="1" applyNumberFormat="1">
      <alignment vertical="top"/>
    </xf>
    <xf numFmtId="49" fontId="23" fillId="43" borderId="14" xfId="0" applyFont="1" applyFill="1" applyBorder="1" applyNumberFormat="1">
      <alignment horizontal="left" vertical="center" wrapText="1"/>
    </xf>
    <xf numFmtId="49" fontId="23" fillId="43" borderId="16" xfId="0" applyFont="1" applyFill="1" applyBorder="1" applyNumberFormat="1">
      <alignment horizontal="left" vertical="center" wrapText="1"/>
    </xf>
    <xf numFmtId="0" fontId="23" fillId="37" borderId="0" xfId="0" applyFont="1" applyFill="1" applyNumberFormat="1"/>
    <xf numFmtId="0" fontId="23" fillId="0" borderId="0" xfId="0" applyFont="1" applyNumberFormat="1">
      <alignment vertical="top" wrapText="1"/>
    </xf>
    <xf numFmtId="0" fontId="45" fillId="37" borderId="0" xfId="0" applyFont="1" applyFill="1" applyNumberFormat="1">
      <alignment horizontal="center" vertical="center" wrapText="1"/>
    </xf>
    <xf numFmtId="0" fontId="0" fillId="37" borderId="25" xfId="0" applyFont="1" applyFill="1" applyBorder="1" applyNumberFormat="1">
      <alignment vertical="center" wrapText="1"/>
    </xf>
    <xf numFmtId="49" fontId="0" fillId="0" borderId="0" xfId="0" applyFont="1" applyNumberFormat="1">
      <alignment vertical="top"/>
    </xf>
    <xf numFmtId="0" fontId="0" fillId="0" borderId="0" xfId="0" applyFont="1" applyNumberFormat="1">
      <alignment vertical="top"/>
    </xf>
    <xf numFmtId="49" fontId="40" fillId="49" borderId="0" xfId="0" applyFont="1" applyFill="1" applyNumberFormat="1">
      <alignment horizontal="center" vertical="center"/>
    </xf>
    <xf numFmtId="0" fontId="0" fillId="50" borderId="0" xfId="0" applyFont="1" applyFill="1" applyNumberFormat="1">
      <alignment horizontal="left" vertical="center"/>
    </xf>
    <xf numFmtId="49" fontId="0" fillId="0" borderId="0" xfId="0" applyFont="1" applyNumberFormat="1">
      <alignment vertical="center"/>
    </xf>
    <xf numFmtId="0" fontId="0" fillId="50" borderId="0" xfId="0" applyFont="1" applyFill="1" applyNumberFormat="1">
      <alignment horizontal="right" vertical="center"/>
    </xf>
    <xf numFmtId="0" fontId="59" fillId="50" borderId="0" xfId="0" applyFont="1" applyFill="1" applyNumberFormat="1">
      <alignment horizontal="left" vertical="center"/>
    </xf>
    <xf numFmtId="0" fontId="0" fillId="0" borderId="0" xfId="0" applyFont="1" applyNumberFormat="1">
      <alignment horizontal="right" vertical="top"/>
    </xf>
    <xf numFmtId="0" fontId="0" fillId="50" borderId="12" xfId="0" applyFont="1" applyFill="1" applyBorder="1" applyNumberFormat="1">
      <alignment horizontal="center"/>
    </xf>
    <xf numFmtId="0" fontId="0" fillId="0" borderId="12" xfId="0" applyFont="1" applyBorder="1" applyNumberFormat="1">
      <alignment horizontal="center"/>
    </xf>
    <xf numFmtId="0" fontId="120" fillId="0" borderId="0" xfId="0" applyFont="1" applyNumberFormat="1">
      <alignment wrapText="1"/>
    </xf>
    <xf numFmtId="49" fontId="71" fillId="0" borderId="0" xfId="0" applyFont="1" applyNumberFormat="1">
      <alignment wrapText="1"/>
    </xf>
    <xf numFmtId="49" fontId="71" fillId="0" borderId="0" xfId="0" applyFont="1" applyNumberFormat="1">
      <alignment vertical="center" wrapText="1"/>
    </xf>
    <xf numFmtId="49" fontId="121" fillId="0" borderId="0" xfId="0" applyFont="1" applyNumberFormat="1">
      <alignment wrapText="1"/>
    </xf>
    <xf numFmtId="0" fontId="38" fillId="0" borderId="0" xfId="0" applyFont="1" applyNumberFormat="1"/>
    <xf numFmtId="0" fontId="107" fillId="0" borderId="0" xfId="0" applyFont="1" applyNumberFormat="1">
      <alignment horizontal="left" vertical="center" wrapText="1"/>
    </xf>
    <xf numFmtId="49" fontId="122" fillId="0" borderId="0" xfId="0" applyFont="1" applyNumberFormat="1">
      <alignment wrapText="1"/>
    </xf>
    <xf numFmtId="0" fontId="22" fillId="0" borderId="0" xfId="0" applyFont="1" applyNumberFormat="1">
      <alignment horizontal="left" vertical="top" wrapText="1"/>
    </xf>
    <xf numFmtId="49" fontId="23" fillId="0" borderId="0" xfId="0" applyFont="1" applyNumberFormat="1">
      <alignment vertical="top" wrapText="1"/>
    </xf>
    <xf numFmtId="0" fontId="71" fillId="0" borderId="0" xfId="0" applyFont="1" applyNumberFormat="1">
      <alignment wrapText="1"/>
    </xf>
    <xf numFmtId="0" fontId="123" fillId="0" borderId="0" xfId="0" applyFont="1" applyNumberFormat="1">
      <alignment horizontal="left" vertical="center" wrapText="1"/>
    </xf>
    <xf numFmtId="0" fontId="124" fillId="0" borderId="0" xfId="0" applyFont="1" applyNumberFormat="1">
      <alignment vertical="center" wrapText="1"/>
    </xf>
    <xf numFmtId="0" fontId="71" fillId="0" borderId="40" xfId="0" applyFont="1" applyBorder="1" applyNumberFormat="1">
      <alignment wrapText="1"/>
    </xf>
    <xf numFmtId="0" fontId="71" fillId="0" borderId="0" xfId="0" applyFont="1" applyNumberFormat="1"/>
    <xf numFmtId="0" fontId="123" fillId="0" borderId="0" xfId="0" applyFont="1" applyNumberFormat="1"/>
    <xf numFmtId="0" fontId="125" fillId="0" borderId="0" xfId="0" applyFont="1" applyNumberFormat="1">
      <alignment wrapText="1"/>
    </xf>
    <xf numFmtId="0" fontId="0" fillId="39" borderId="63" xfId="0" applyFont="1" applyFill="1" applyBorder="1" applyNumberFormat="1">
      <alignment horizontal="center" vertical="center" wrapText="1"/>
    </xf>
    <xf numFmtId="0" fontId="0" fillId="55" borderId="63" xfId="0" applyFont="1" applyFill="1" applyBorder="1" applyNumberFormat="1">
      <alignment horizontal="center" vertical="center" wrapText="1"/>
    </xf>
    <xf numFmtId="0" fontId="0" fillId="38" borderId="63" xfId="0" applyFont="1" applyFill="1" applyBorder="1" applyNumberFormat="1">
      <alignment horizontal="center" vertical="center" wrapText="1"/>
    </xf>
    <xf numFmtId="0" fontId="0" fillId="42" borderId="63" xfId="0" applyFont="1" applyFill="1" applyBorder="1" applyNumberFormat="1">
      <alignment horizontal="center" vertical="center" wrapText="1"/>
    </xf>
    <xf numFmtId="0" fontId="123" fillId="0" borderId="40" xfId="0" applyFont="1" applyBorder="1" applyNumberFormat="1">
      <alignment horizontal="left" vertical="center" wrapText="1"/>
    </xf>
    <xf numFmtId="0" fontId="123" fillId="0" borderId="64" xfId="0" applyFont="1" applyBorder="1" applyNumberFormat="1">
      <alignment horizontal="left" vertical="center" wrapText="1"/>
    </xf>
    <xf numFmtId="0" fontId="125" fillId="0" borderId="0" xfId="0" applyFont="1" applyNumberFormat="1"/>
    <xf numFmtId="0" fontId="125" fillId="0" borderId="40" xfId="0" applyFont="1" applyBorder="1" applyNumberFormat="1">
      <alignment wrapText="1"/>
    </xf>
    <xf numFmtId="0" fontId="71" fillId="0" borderId="65" xfId="0" applyFont="1" applyBorder="1" applyNumberFormat="1">
      <alignment wrapText="1"/>
    </xf>
    <xf numFmtId="0" fontId="71" fillId="0" borderId="41" xfId="0" applyFont="1" applyBorder="1" applyNumberFormat="1">
      <alignment wrapText="1"/>
    </xf>
    <xf numFmtId="0" fontId="71" fillId="0" borderId="41" xfId="0" applyFont="1" applyBorder="1" applyNumberFormat="1">
      <alignment vertical="center" wrapText="1"/>
    </xf>
    <xf numFmtId="0" fontId="121" fillId="0" borderId="0" xfId="0" applyFont="1" applyNumberFormat="1"/>
    <xf numFmtId="0" fontId="44" fillId="0" borderId="26" xfId="0" applyFont="1" applyBorder="1" applyNumberFormat="1">
      <alignment horizontal="center" vertical="center" wrapText="1"/>
    </xf>
    <xf numFmtId="49" fontId="23" fillId="0" borderId="15" xfId="0" applyFont="1" applyBorder="1" applyNumberFormat="1">
      <alignment horizontal="center" vertical="center" wrapText="1"/>
    </xf>
    <xf numFmtId="49" fontId="126" fillId="0" borderId="0" xfId="0" applyFont="1" applyNumberFormat="1">
      <alignment horizontal="center" vertical="center" wrapText="1"/>
    </xf>
    <xf numFmtId="49" fontId="23" fillId="50" borderId="0" xfId="0" applyFont="1" applyFill="1" applyNumberFormat="1">
      <alignment horizontal="center" vertical="center"/>
    </xf>
    <xf numFmtId="167" fontId="0" fillId="42" borderId="14" xfId="0" applyFont="1" applyFill="1" applyBorder="1" applyNumberFormat="1">
      <alignment horizontal="left" vertical="center" wrapText="1" indent="1"/>
      <protection locked="0"/>
    </xf>
    <xf numFmtId="167" fontId="0" fillId="0" borderId="14" xfId="0" applyFont="1" applyBorder="1" applyNumberFormat="1">
      <alignment horizontal="left" vertical="center" wrapText="1" indent="1"/>
    </xf>
    <xf numFmtId="167" fontId="0" fillId="42" borderId="14" xfId="0" applyFont="1" applyFill="1" applyBorder="1" applyNumberFormat="1">
      <alignment horizontal="center" vertical="center" wrapText="1"/>
      <protection locked="0"/>
    </xf>
    <xf numFmtId="167" fontId="55" fillId="0" borderId="0" xfId="0" applyFont="1" applyNumberFormat="1">
      <alignment horizontal="center" vertical="center" wrapText="1"/>
    </xf>
    <xf numFmtId="167" fontId="55" fillId="0" borderId="14" xfId="0" applyFont="1" applyBorder="1" applyNumberFormat="1">
      <alignment horizontal="center" vertical="center" wrapText="1"/>
    </xf>
    <xf numFmtId="167" fontId="0" fillId="42" borderId="14" xfId="0" applyFont="1" applyFill="1" applyBorder="1" applyNumberFormat="1">
      <alignment horizontal="left" vertical="center" wrapText="1"/>
      <protection locked="0"/>
    </xf>
    <xf numFmtId="167" fontId="0" fillId="39" borderId="14" xfId="0" applyFont="1" applyFill="1" applyBorder="1" applyNumberFormat="1">
      <alignment horizontal="left" vertical="center" wrapText="1" indent="1"/>
      <protection locked="0"/>
    </xf>
    <xf numFmtId="167" fontId="0" fillId="42" borderId="15" xfId="0" applyFont="1" applyFill="1" applyBorder="1" applyNumberFormat="1">
      <alignment horizontal="left" vertical="center" wrapText="1"/>
      <protection locked="0"/>
    </xf>
    <xf numFmtId="0" fontId="23" fillId="0" borderId="0" xfId="0" applyFont="1" applyNumberFormat="1">
      <alignment horizontal="left" vertical="top" indent="1"/>
    </xf>
    <xf numFmtId="0" fontId="23" fillId="38" borderId="32" xfId="0" applyFont="1" applyFill="1" applyBorder="1" applyNumberFormat="1">
      <alignment horizontal="center" vertical="top"/>
    </xf>
    <xf numFmtId="0" fontId="0" fillId="0" borderId="36" xfId="0" applyFont="1" applyBorder="1" applyNumberFormat="1">
      <alignment horizontal="center" vertical="center"/>
    </xf>
    <xf numFmtId="0" fontId="0" fillId="0" borderId="35" xfId="0" applyFont="1" applyBorder="1" applyNumberFormat="1">
      <alignment horizontal="center" vertical="center"/>
    </xf>
    <xf numFmtId="0" fontId="23" fillId="38" borderId="32" xfId="0" applyFont="1" applyFill="1" applyBorder="1" applyNumberFormat="1">
      <alignment horizontal="left" vertical="top"/>
    </xf>
    <xf numFmtId="0" fontId="23" fillId="0" borderId="14" xfId="0" applyFont="1" applyBorder="1" applyNumberFormat="1">
      <alignment horizontal="left" vertical="top"/>
    </xf>
    <xf numFmtId="49" fontId="23" fillId="0" borderId="0" xfId="0" applyFont="1" applyNumberFormat="1">
      <alignment horizontal="left" vertical="top"/>
    </xf>
    <xf numFmtId="0" fontId="0" fillId="38" borderId="38" xfId="0" applyFont="1" applyFill="1" applyBorder="1" applyNumberFormat="1">
      <alignment horizontal="left" vertical="top" wrapText="1" indent="1"/>
    </xf>
    <xf numFmtId="49" fontId="23" fillId="43" borderId="38" xfId="0" applyFont="1" applyFill="1" applyBorder="1" applyNumberFormat="1">
      <alignment horizontal="center" vertical="top" wrapText="1"/>
    </xf>
    <xf numFmtId="49" fontId="0" fillId="42" borderId="38" xfId="0" applyFont="1" applyFill="1" applyBorder="1" applyNumberFormat="1">
      <alignment horizontal="center" vertical="top" wrapText="1"/>
      <protection locked="0"/>
    </xf>
    <xf numFmtId="49" fontId="0" fillId="39" borderId="38" xfId="0" applyFont="1" applyFill="1" applyBorder="1" applyNumberFormat="1">
      <alignment horizontal="center" vertical="top" wrapText="1"/>
      <protection locked="0"/>
    </xf>
    <xf numFmtId="49" fontId="23" fillId="43" borderId="38" xfId="0" applyFont="1" applyFill="1" applyBorder="1" applyNumberFormat="1">
      <alignment horizontal="left" vertical="top" wrapText="1"/>
    </xf>
    <xf numFmtId="49" fontId="23" fillId="42" borderId="38" xfId="0" applyFont="1" applyFill="1" applyBorder="1" applyNumberFormat="1">
      <alignment horizontal="left" vertical="top" wrapText="1"/>
      <protection locked="0"/>
    </xf>
    <xf numFmtId="49" fontId="0" fillId="38" borderId="38" xfId="0" applyFont="1" applyFill="1" applyBorder="1" applyNumberFormat="1">
      <alignment horizontal="center" vertical="top" wrapText="1"/>
    </xf>
    <xf numFmtId="0" fontId="23" fillId="38" borderId="38" xfId="0" applyFont="1" applyFill="1" applyBorder="1" applyNumberFormat="1">
      <alignment horizontal="center" vertical="top" wrapText="1"/>
    </xf>
    <xf numFmtId="0" fontId="23" fillId="39" borderId="38" xfId="0" applyFont="1" applyFill="1" applyBorder="1" applyNumberFormat="1">
      <alignment horizontal="left" vertical="top" wrapText="1"/>
      <protection locked="0"/>
    </xf>
    <xf numFmtId="0" fontId="48" fillId="0" borderId="38" xfId="0" applyFont="1" applyBorder="1" applyNumberFormat="1">
      <alignment horizontal="left" vertical="center"/>
    </xf>
    <xf numFmtId="0" fontId="48" fillId="39" borderId="38" xfId="0" applyFont="1" applyFill="1" applyBorder="1" applyNumberFormat="1">
      <alignment horizontal="left" vertical="center"/>
      <protection locked="0"/>
    </xf>
    <xf numFmtId="0" fontId="48" fillId="42" borderId="38" xfId="0" applyFont="1" applyFill="1" applyBorder="1" applyNumberFormat="1">
      <alignment horizontal="left" vertical="center"/>
      <protection locked="0"/>
    </xf>
    <xf numFmtId="14" fontId="23" fillId="43" borderId="38" xfId="0" applyFont="1" applyFill="1" applyBorder="1" applyNumberFormat="1">
      <alignment horizontal="left" vertical="center" wrapText="1" indent="1"/>
    </xf>
    <xf numFmtId="49" fontId="23" fillId="43" borderId="0" xfId="0" applyFont="1" applyFill="1" applyNumberFormat="1">
      <alignment horizontal="center" vertical="center" wrapText="1"/>
    </xf>
    <xf numFmtId="0" fontId="23" fillId="0" borderId="14" xfId="0" applyFont="1" applyBorder="1" applyNumberFormat="1">
      <alignment horizontal="center" vertical="center" wrapText="1"/>
    </xf>
    <xf numFmtId="0" fontId="0" fillId="37" borderId="14" xfId="0" applyFont="1" applyFill="1" applyBorder="1" applyNumberFormat="1">
      <alignment vertical="top" wrapText="1"/>
    </xf>
    <xf numFmtId="0" fontId="54" fillId="0" borderId="14" xfId="0" applyFont="1" applyBorder="1" applyNumberFormat="1">
      <alignment vertical="top" wrapText="1"/>
    </xf>
    <xf numFmtId="49" fontId="23" fillId="43" borderId="19" xfId="0" applyFont="1" applyFill="1" applyBorder="1" applyNumberFormat="1">
      <alignment vertical="center" wrapText="1"/>
    </xf>
    <xf numFmtId="49" fontId="23" fillId="43" borderId="38" xfId="0" applyFont="1" applyFill="1" applyBorder="1" applyNumberFormat="1">
      <alignment vertical="center" wrapText="1"/>
    </xf>
    <xf numFmtId="49" fontId="23" fillId="43" borderId="25" xfId="0" applyFont="1" applyFill="1" applyBorder="1" applyNumberFormat="1">
      <alignment vertical="center" wrapText="1"/>
    </xf>
    <xf numFmtId="0" fontId="0" fillId="42" borderId="14" xfId="0" applyFont="1" applyFill="1" applyBorder="1" applyNumberFormat="1">
      <alignment horizontal="left" vertical="center" wrapText="1" indent="1"/>
      <protection locked="0"/>
    </xf>
    <xf numFmtId="0" fontId="0" fillId="0" borderId="15" xfId="0" applyFont="1" applyBorder="1" applyNumberFormat="1">
      <alignment horizontal="center" vertical="center" wrapText="1"/>
    </xf>
    <xf numFmtId="0" fontId="23" fillId="0" borderId="14" xfId="0" applyFont="1" applyBorder="1" applyNumberFormat="1">
      <alignment horizontal="left" vertical="center" wrapText="1"/>
    </xf>
    <xf numFmtId="0" fontId="0" fillId="0" borderId="14" xfId="0" applyFont="1" applyBorder="1" applyNumberFormat="1">
      <alignment horizontal="center" vertical="center" wrapText="1"/>
    </xf>
    <xf numFmtId="0" fontId="0" fillId="0" borderId="15" xfId="0" applyFont="1" applyBorder="1" applyNumberFormat="1">
      <alignment horizontal="center" vertical="center" wrapText="1"/>
    </xf>
    <xf numFmtId="49" fontId="23" fillId="0" borderId="0" xfId="0" applyFont="1" applyNumberFormat="1">
      <alignment horizontal="left" vertical="center" indent="1"/>
    </xf>
    <xf numFmtId="167" fontId="0" fillId="42" borderId="16" xfId="0" applyFont="1" applyFill="1" applyBorder="1" applyNumberFormat="1">
      <alignment horizontal="left" vertical="center" wrapText="1"/>
      <protection locked="0"/>
    </xf>
    <xf numFmtId="167" fontId="0" fillId="0" borderId="13" xfId="0" applyFont="1" applyBorder="1" applyNumberFormat="1">
      <alignment horizontal="left" vertical="center" wrapText="1" indent="1"/>
    </xf>
    <xf numFmtId="49" fontId="23" fillId="37" borderId="28" xfId="0" applyFont="1" applyFill="1" applyBorder="1" applyNumberFormat="1">
      <alignment horizontal="right" vertical="center" wrapText="1" indent="1"/>
    </xf>
    <xf numFmtId="49" fontId="54" fillId="0" borderId="0" xfId="0" applyFont="1" applyNumberFormat="1">
      <alignment vertical="center" wrapText="1"/>
    </xf>
    <xf numFmtId="49" fontId="0" fillId="39" borderId="14" xfId="0" applyFont="1" applyFill="1" applyBorder="1" applyNumberFormat="1">
      <alignment horizontal="left" vertical="center" wrapText="1"/>
      <protection locked="0"/>
    </xf>
    <xf numFmtId="4" fontId="0" fillId="42" borderId="14" xfId="0" applyFont="1" applyFill="1" applyBorder="1" applyNumberFormat="1">
      <alignment horizontal="right" vertical="center" wrapText="1"/>
      <protection locked="0"/>
    </xf>
    <xf numFmtId="49" fontId="23" fillId="0" borderId="0" xfId="0" applyFont="1" applyNumberFormat="1">
      <alignment vertical="top" wrapText="1"/>
    </xf>
    <xf numFmtId="49" fontId="23" fillId="0" borderId="0" xfId="0" applyFont="1" applyNumberFormat="1">
      <alignment vertical="top"/>
    </xf>
    <xf numFmtId="49" fontId="23" fillId="0" borderId="0" xfId="0" applyFont="1" applyNumberFormat="1">
      <alignment vertical="top"/>
    </xf>
    <xf numFmtId="49" fontId="23" fillId="0" borderId="14" xfId="0" applyFont="1" applyBorder="1" applyNumberFormat="1">
      <alignment horizontal="center" vertical="center" wrapText="1"/>
    </xf>
    <xf numFmtId="49" fontId="23" fillId="0" borderId="21" xfId="0" applyFont="1" applyBorder="1" applyNumberFormat="1">
      <alignment horizontal="center" vertical="center" wrapText="1"/>
    </xf>
    <xf numFmtId="0" fontId="23" fillId="43" borderId="38" xfId="0" applyFont="1" applyFill="1" applyBorder="1" applyNumberFormat="1">
      <alignment horizontal="center" vertical="top" wrapText="1"/>
    </xf>
    <xf numFmtId="49" fontId="23" fillId="0" borderId="21" xfId="0" applyFont="1" applyBorder="1" applyNumberFormat="1">
      <alignment horizontal="left" vertical="center" wrapText="1"/>
    </xf>
    <xf numFmtId="49" fontId="23" fillId="0" borderId="0" xfId="0" applyFont="1" applyNumberFormat="1">
      <alignment horizontal="center" vertical="center" wrapText="1"/>
    </xf>
    <xf numFmtId="49" fontId="23" fillId="43" borderId="38" xfId="0" applyFont="1" applyFill="1" applyBorder="1" applyNumberFormat="1">
      <alignment horizontal="center" vertical="center" wrapText="1"/>
    </xf>
    <xf numFmtId="0" fontId="48" fillId="0" borderId="0" xfId="0" applyFont="1" applyNumberFormat="1">
      <alignment horizontal="left" vertical="center"/>
    </xf>
    <xf numFmtId="49" fontId="23" fillId="0" borderId="21" xfId="0" applyFont="1" applyBorder="1" applyNumberFormat="1">
      <alignment horizontal="left" vertical="center" wrapText="1"/>
    </xf>
    <xf numFmtId="49" fontId="23" fillId="0" borderId="0" xfId="0" applyFont="1" applyNumberFormat="1">
      <alignment horizontal="left" vertical="center" wrapText="1"/>
    </xf>
    <xf numFmtId="49" fontId="23" fillId="37" borderId="0" xfId="0" applyFont="1" applyFill="1" applyNumberFormat="1">
      <alignment horizontal="center" vertical="center" wrapText="1"/>
    </xf>
    <xf numFmtId="0" fontId="23" fillId="0" borderId="14" xfId="0" applyFont="1" applyBorder="1" applyNumberFormat="1">
      <alignment horizontal="center" vertical="center" wrapText="1"/>
    </xf>
    <xf numFmtId="0" fontId="55" fillId="0" borderId="0" xfId="0" applyFont="1" applyNumberFormat="1">
      <alignment horizontal="center" vertical="center" wrapText="1"/>
    </xf>
    <xf numFmtId="0" fontId="53" fillId="0" borderId="14" xfId="0" applyFont="1" applyBorder="1" applyNumberFormat="1">
      <alignment horizontal="center" vertical="center"/>
    </xf>
    <xf numFmtId="49" fontId="0" fillId="42" borderId="14" xfId="0" applyFont="1" applyFill="1" applyBorder="1" applyNumberFormat="1">
      <alignment horizontal="left" vertical="center" wrapText="1"/>
      <protection locked="0"/>
    </xf>
    <xf numFmtId="0" fontId="54" fillId="0" borderId="0" xfId="0" applyFont="1" applyNumberFormat="1">
      <alignment horizontal="center" vertical="top"/>
    </xf>
    <xf numFmtId="49" fontId="23" fillId="0" borderId="38" xfId="0" applyFont="1" applyBorder="1" applyNumberFormat="1">
      <alignment horizontal="center" vertical="top" wrapText="1"/>
    </xf>
    <xf numFmtId="0" fontId="23" fillId="0" borderId="14" xfId="0" applyFont="1" applyBorder="1" applyNumberFormat="1">
      <alignment horizontal="left" vertical="center" wrapText="1"/>
    </xf>
    <xf numFmtId="0" fontId="44" fillId="0" borderId="14" xfId="0" applyFont="1" applyBorder="1" applyNumberFormat="1">
      <alignment horizontal="center" vertical="center" wrapText="1"/>
    </xf>
    <xf numFmtId="49" fontId="48" fillId="40" borderId="53" xfId="0" applyFont="1" applyFill="1" applyBorder="1" applyNumberFormat="1">
      <alignment horizontal="left" vertical="center" indent="1"/>
    </xf>
    <xf numFmtId="49" fontId="23" fillId="39" borderId="14" xfId="0" applyFont="1" applyFill="1" applyBorder="1" applyNumberFormat="1">
      <alignment horizontal="left" vertical="center" wrapText="1"/>
      <protection locked="0"/>
    </xf>
    <xf numFmtId="49" fontId="55" fillId="0" borderId="14" xfId="0" applyFont="1" applyBorder="1" applyNumberFormat="1">
      <alignment horizontal="center" vertical="center" wrapText="1"/>
    </xf>
    <xf numFmtId="167" fontId="0" fillId="42" borderId="14" xfId="0" applyFont="1" applyFill="1" applyBorder="1" applyNumberFormat="1">
      <alignment horizontal="center" vertical="center" wrapText="1"/>
      <protection locked="0"/>
    </xf>
    <xf numFmtId="49" fontId="0" fillId="42" borderId="14" xfId="0" applyFont="1" applyFill="1" applyBorder="1" applyNumberFormat="1">
      <alignment horizontal="center" vertical="center" wrapText="1"/>
      <protection locked="0"/>
    </xf>
    <xf numFmtId="0" fontId="23" fillId="0" borderId="14" xfId="0" applyFont="1" applyBorder="1" applyNumberFormat="1">
      <alignment horizontal="center" vertical="center" wrapText="1"/>
    </xf>
    <xf numFmtId="0" fontId="54" fillId="0" borderId="0" xfId="0" applyFont="1" applyNumberFormat="1">
      <alignment horizontal="center" vertical="center" wrapText="1"/>
    </xf>
    <xf numFmtId="0" fontId="0" fillId="0" borderId="14" xfId="0" applyFont="1" applyBorder="1" applyNumberFormat="1">
      <alignment horizontal="left" vertical="center" wrapText="1"/>
    </xf>
    <xf numFmtId="0" fontId="23" fillId="0" borderId="38" xfId="0" applyFont="1" applyBorder="1" applyNumberFormat="1">
      <alignment horizontal="center" vertical="center" wrapText="1"/>
    </xf>
    <xf numFmtId="0" fontId="23" fillId="37" borderId="16" xfId="0" applyFont="1" applyFill="1" applyBorder="1" applyNumberFormat="1">
      <alignment horizontal="center" vertical="center" wrapText="1"/>
    </xf>
    <xf numFmtId="49" fontId="0" fillId="37" borderId="14" xfId="0" applyFont="1" applyFill="1" applyBorder="1" applyNumberFormat="1">
      <alignment horizontal="center" vertical="center" wrapText="1"/>
    </xf>
    <xf numFmtId="49" fontId="23" fillId="0" borderId="14" xfId="0" applyFont="1" applyBorder="1" applyNumberFormat="1">
      <alignment horizontal="center" vertical="center" wrapText="1"/>
    </xf>
    <xf numFmtId="49" fontId="23" fillId="43" borderId="16" xfId="0" applyFont="1" applyFill="1" applyBorder="1" applyNumberFormat="1">
      <alignment horizontal="left" vertical="center" wrapText="1"/>
    </xf>
    <xf numFmtId="0" fontId="23" fillId="0" borderId="25" xfId="0" applyFont="1" applyBorder="1" applyNumberFormat="1">
      <alignment horizontal="center" vertical="center" wrapText="1"/>
    </xf>
    <xf numFmtId="0" fontId="53" fillId="0" borderId="15" xfId="0" applyFont="1" applyBorder="1" applyNumberFormat="1">
      <alignment horizontal="center" vertical="center"/>
    </xf>
    <xf numFmtId="49" fontId="0" fillId="41" borderId="0" xfId="0" applyFont="1" applyFill="1" applyNumberFormat="1">
      <alignment vertical="top"/>
    </xf>
    <xf numFmtId="0" fontId="45" fillId="37" borderId="0" xfId="0" applyFont="1" applyFill="1" applyNumberFormat="1">
      <alignment horizontal="center" vertical="center" wrapText="1"/>
    </xf>
    <xf numFmtId="0" fontId="45" fillId="37" borderId="0" xfId="0" applyFont="1" applyFill="1" applyNumberFormat="1">
      <alignment horizontal="center"/>
    </xf>
    <xf numFmtId="0" fontId="45" fillId="0" borderId="0" xfId="0" applyFont="1" applyNumberFormat="1">
      <alignment horizontal="center" vertical="center" wrapText="1"/>
    </xf>
    <xf numFmtId="0" fontId="50" fillId="0" borderId="0" xfId="0" applyFont="1" applyNumberFormat="1">
      <alignment vertical="center" wrapText="1"/>
    </xf>
    <xf numFmtId="0" fontId="0" fillId="0" borderId="0" xfId="0" applyFont="1" applyNumberFormat="1">
      <alignment vertical="center"/>
    </xf>
    <xf numFmtId="49" fontId="0" fillId="0" borderId="14" xfId="0" applyFont="1" applyBorder="1" applyNumberFormat="1">
      <alignment vertical="top"/>
    </xf>
    <xf numFmtId="49" fontId="0" fillId="0" borderId="14" xfId="0" applyFont="1" applyBorder="1" applyNumberFormat="1">
      <alignment vertical="top"/>
    </xf>
    <xf numFmtId="49" fontId="23" fillId="0" borderId="0" xfId="0" applyFont="1" applyNumberFormat="1">
      <alignment vertical="top"/>
    </xf>
    <xf numFmtId="0" fontId="45" fillId="37" borderId="0" xfId="0" applyFont="1" applyFill="1" applyNumberFormat="1">
      <alignment vertical="top" wrapText="1"/>
    </xf>
    <xf numFmtId="49" fontId="127" fillId="42" borderId="14" xfId="0" applyFont="1" applyFill="1" applyBorder="1" applyNumberFormat="1">
      <alignment horizontal="left" vertical="center" wrapText="1"/>
      <protection locked="0"/>
    </xf>
    <xf numFmtId="49" fontId="45" fillId="0" borderId="0" xfId="0" applyFont="1" applyNumberFormat="1">
      <alignment horizontal="center" vertical="center" wrapText="1"/>
    </xf>
    <xf numFmtId="0" fontId="45" fillId="0" borderId="26" xfId="0" applyFont="1" applyBorder="1" applyNumberFormat="1">
      <alignment horizontal="center" vertical="center" wrapText="1"/>
    </xf>
    <xf numFmtId="49" fontId="128" fillId="0" borderId="0" xfId="0" applyFont="1" applyNumberFormat="1">
      <alignment horizontal="center" vertical="top" wrapText="1"/>
    </xf>
    <xf numFmtId="49" fontId="0" fillId="38" borderId="38" xfId="0" applyFont="1" applyFill="1" applyBorder="1" applyNumberFormat="1">
      <alignment vertical="top"/>
    </xf>
    <xf numFmtId="49" fontId="0" fillId="0" borderId="38" xfId="0" applyFont="1" applyBorder="1" applyNumberFormat="1">
      <alignment vertical="top"/>
    </xf>
    <xf numFmtId="49" fontId="0" fillId="42" borderId="38" xfId="0" applyFont="1" applyFill="1" applyBorder="1" applyNumberFormat="1">
      <alignment vertical="top"/>
      <protection locked="0"/>
    </xf>
    <xf numFmtId="49" fontId="0" fillId="42" borderId="19" xfId="0" applyFont="1" applyFill="1" applyBorder="1" applyNumberFormat="1">
      <alignment vertical="top"/>
      <protection locked="0"/>
    </xf>
    <xf numFmtId="49" fontId="0" fillId="42" borderId="25" xfId="0" applyFont="1" applyFill="1" applyBorder="1" applyNumberFormat="1">
      <alignment vertical="top"/>
      <protection locked="0"/>
    </xf>
    <xf numFmtId="49" fontId="128" fillId="0" borderId="38" xfId="0" applyFont="1" applyBorder="1" applyNumberFormat="1">
      <alignment horizontal="center" vertical="top" wrapText="1"/>
    </xf>
    <xf numFmtId="49" fontId="0" fillId="0" borderId="0" xfId="0" applyFont="1" applyNumberFormat="1">
      <alignment vertical="top"/>
    </xf>
    <xf numFmtId="49" fontId="0" fillId="0" borderId="21" xfId="0" applyFont="1" applyBorder="1" applyNumberFormat="1">
      <alignment vertical="top"/>
    </xf>
    <xf numFmtId="49" fontId="0" fillId="0" borderId="24" xfId="0" applyFont="1" applyBorder="1" applyNumberFormat="1">
      <alignment vertical="top"/>
    </xf>
    <xf numFmtId="49" fontId="0" fillId="0" borderId="26" xfId="0" applyFont="1" applyBorder="1" applyNumberFormat="1">
      <alignment vertical="top"/>
    </xf>
    <xf numFmtId="49" fontId="0" fillId="0" borderId="0" xfId="0" applyFont="1" applyNumberFormat="1">
      <alignment horizontal="left" vertical="top"/>
    </xf>
    <xf numFmtId="49" fontId="0" fillId="0" borderId="0" xfId="0" applyFont="1" applyNumberFormat="1">
      <alignment vertical="center"/>
    </xf>
    <xf numFmtId="0" fontId="0" fillId="0" borderId="0" xfId="0" applyFont="1" applyNumberFormat="1">
      <alignment vertical="center"/>
    </xf>
    <xf numFmtId="0" fontId="45" fillId="0" borderId="0" xfId="0" applyFont="1" applyNumberFormat="1">
      <alignment horizontal="center" vertical="center" wrapText="1"/>
    </xf>
    <xf numFmtId="49" fontId="0" fillId="42" borderId="14" xfId="0" applyFont="1" applyFill="1" applyBorder="1" applyNumberFormat="1">
      <alignment horizontal="left" vertical="center" wrapText="1"/>
      <protection locked="0"/>
    </xf>
    <xf numFmtId="0" fontId="0" fillId="0" borderId="0" xfId="0" applyFont="1" applyNumberFormat="1">
      <alignment horizontal="left" vertical="center" indent="1"/>
    </xf>
    <xf numFmtId="0" fontId="0" fillId="0" borderId="0" xfId="0" applyFont="1" applyNumberFormat="1">
      <alignment vertical="center"/>
    </xf>
    <xf numFmtId="0" fontId="0" fillId="40" borderId="17" xfId="0" applyFont="1" applyFill="1" applyBorder="1" applyNumberFormat="1">
      <alignment vertical="center"/>
    </xf>
    <xf numFmtId="49" fontId="0" fillId="0" borderId="38" xfId="0" applyFont="1" applyBorder="1" applyNumberFormat="1">
      <alignment horizontal="left" vertical="top"/>
    </xf>
    <xf numFmtId="49" fontId="0" fillId="43" borderId="38" xfId="0" applyFont="1" applyFill="1" applyBorder="1" applyNumberFormat="1">
      <alignment horizontal="left" vertical="top"/>
    </xf>
    <xf numFmtId="49" fontId="0" fillId="39" borderId="38" xfId="0" applyFont="1" applyFill="1" applyBorder="1" applyNumberFormat="1">
      <alignment horizontal="left" vertical="top"/>
      <protection locked="0"/>
    </xf>
    <xf numFmtId="49" fontId="0" fillId="43" borderId="38" xfId="0" applyFont="1" applyFill="1" applyBorder="1" applyNumberFormat="1">
      <alignment horizontal="left" vertical="center" wrapText="1"/>
      <protection locked="0"/>
    </xf>
    <xf numFmtId="49" fontId="0" fillId="0" borderId="0" xfId="0" applyFont="1" applyNumberFormat="1">
      <alignment vertical="top"/>
    </xf>
    <xf numFmtId="49" fontId="0" fillId="39" borderId="38" xfId="0" applyFont="1" applyFill="1" applyBorder="1" applyNumberFormat="1">
      <alignment vertical="top"/>
      <protection locked="0"/>
    </xf>
    <xf numFmtId="49" fontId="0" fillId="0" borderId="21" xfId="0" applyFont="1" applyBorder="1" applyNumberFormat="1">
      <alignment horizontal="left" vertical="center" wrapText="1"/>
    </xf>
    <xf numFmtId="0" fontId="0" fillId="0" borderId="0" xfId="0" applyFont="1" applyNumberFormat="1">
      <alignment vertical="center"/>
    </xf>
    <xf numFmtId="0" fontId="0" fillId="0" borderId="29" xfId="0" applyFont="1" applyBorder="1" applyNumberFormat="1">
      <alignment vertical="center"/>
    </xf>
    <xf numFmtId="49" fontId="45" fillId="0" borderId="38" xfId="0" applyFont="1" applyBorder="1" applyNumberFormat="1">
      <alignment vertical="center" wrapText="1"/>
    </xf>
    <xf numFmtId="49" fontId="45" fillId="0" borderId="38" xfId="0" applyFont="1" applyBorder="1" applyNumberFormat="1">
      <alignment horizontal="center" vertical="center" wrapText="1"/>
    </xf>
    <xf numFmtId="49" fontId="45" fillId="0" borderId="21" xfId="0" applyFont="1" applyBorder="1" applyNumberFormat="1">
      <alignment vertical="center" wrapText="1"/>
    </xf>
    <xf numFmtId="49" fontId="45" fillId="0" borderId="0" xfId="0" applyFont="1" applyNumberFormat="1">
      <alignment vertical="center" wrapText="1"/>
    </xf>
    <xf numFmtId="49" fontId="45" fillId="0" borderId="0" xfId="0" applyFont="1" applyNumberFormat="1">
      <alignment horizontal="center" vertical="center" wrapText="1"/>
    </xf>
    <xf numFmtId="0" fontId="23" fillId="37" borderId="25" xfId="0" applyFont="1" applyFill="1" applyBorder="1" applyNumberFormat="1">
      <alignment horizontal="center" vertical="center" wrapText="1"/>
    </xf>
    <xf numFmtId="0" fontId="23" fillId="0" borderId="38" xfId="0" applyFont="1" applyBorder="1" applyNumberFormat="1">
      <alignment horizontal="left" vertical="top" wrapText="1"/>
    </xf>
    <xf numFmtId="0" fontId="0" fillId="0" borderId="15" xfId="0" applyFont="1" applyBorder="1" applyNumberFormat="1">
      <alignment horizontal="center" vertical="center" wrapText="1"/>
    </xf>
    <xf numFmtId="4" fontId="0" fillId="42" borderId="15" xfId="0" applyFont="1" applyFill="1" applyBorder="1" applyNumberFormat="1">
      <alignment horizontal="right" vertical="center" wrapText="1"/>
      <protection locked="0"/>
    </xf>
    <xf numFmtId="0" fontId="0" fillId="0" borderId="15" xfId="0" applyFont="1" applyBorder="1" applyNumberFormat="1">
      <alignment horizontal="center" vertical="center" wrapText="1"/>
    </xf>
    <xf numFmtId="0" fontId="23" fillId="43" borderId="14" xfId="0" applyFont="1" applyFill="1" applyBorder="1" applyNumberFormat="1">
      <alignment horizontal="left" vertical="center" wrapText="1"/>
    </xf>
    <xf numFmtId="49" fontId="0" fillId="37" borderId="19" xfId="0" applyFont="1" applyFill="1" applyBorder="1" applyNumberFormat="1">
      <alignment horizontal="center" vertical="center" wrapText="1"/>
    </xf>
    <xf numFmtId="0" fontId="0" fillId="0" borderId="25" xfId="0" applyFont="1" applyBorder="1" applyNumberFormat="1">
      <alignment horizontal="center" vertical="center" wrapText="1"/>
    </xf>
    <xf numFmtId="0" fontId="23" fillId="43" borderId="16" xfId="0" applyFont="1" applyFill="1" applyBorder="1" applyNumberFormat="1">
      <alignment horizontal="left" vertical="center" wrapText="1"/>
    </xf>
    <xf numFmtId="49" fontId="0" fillId="0" borderId="14" xfId="0" applyFont="1" applyBorder="1" applyNumberFormat="1">
      <alignment horizontal="center" vertical="center" wrapText="1"/>
    </xf>
    <xf numFmtId="49" fontId="53" fillId="56" borderId="0" xfId="0" applyFont="1" applyFill="1" applyNumberFormat="1">
      <alignment vertical="center" wrapText="1"/>
    </xf>
    <xf numFmtId="0" fontId="54" fillId="0" borderId="0" xfId="0" applyFont="1" applyNumberFormat="1">
      <alignment vertical="top" wrapText="1"/>
    </xf>
    <xf numFmtId="49" fontId="40" fillId="0" borderId="0" xfId="0" applyFont="1" applyNumberFormat="1">
      <alignment horizontal="center" vertical="top" wrapText="1"/>
    </xf>
    <xf numFmtId="49" fontId="23" fillId="0" borderId="0" xfId="0" applyFont="1" applyNumberFormat="1">
      <alignment horizontal="center" vertical="top" wrapText="1"/>
    </xf>
    <xf numFmtId="49" fontId="23" fillId="37" borderId="0" xfId="0" applyFont="1" applyFill="1" applyNumberFormat="1">
      <alignment horizontal="center" vertical="top" wrapText="1"/>
    </xf>
    <xf numFmtId="0" fontId="0" fillId="0" borderId="38" xfId="0" applyFont="1" applyBorder="1" applyNumberFormat="1">
      <alignment horizontal="center" vertical="center" wrapText="1"/>
    </xf>
    <xf numFmtId="0" fontId="23" fillId="0" borderId="15" xfId="0" applyFont="1" applyBorder="1" applyNumberFormat="1">
      <alignment horizontal="center" vertical="center" wrapText="1"/>
    </xf>
    <xf numFmtId="0" fontId="23" fillId="0" borderId="15" xfId="0" applyFont="1" applyBorder="1" applyNumberFormat="1">
      <alignment horizontal="center" vertical="center" wrapText="1"/>
    </xf>
    <xf numFmtId="0" fontId="23" fillId="0" borderId="14" xfId="0" applyFont="1" applyBorder="1" applyNumberFormat="1">
      <alignment horizontal="center" vertical="center" wrapText="1"/>
    </xf>
    <xf numFmtId="0" fontId="23" fillId="0" borderId="19" xfId="0" applyFont="1" applyBorder="1" applyNumberFormat="1">
      <alignment horizontal="center" vertical="center" wrapText="1"/>
    </xf>
    <xf numFmtId="0" fontId="23" fillId="0" borderId="14" xfId="0" applyFont="1" applyBorder="1" applyNumberFormat="1">
      <alignment horizontal="left" vertical="center" wrapText="1"/>
    </xf>
    <xf numFmtId="0" fontId="23" fillId="0" borderId="14" xfId="0" applyFont="1" applyBorder="1" applyNumberFormat="1">
      <alignment horizontal="center" vertical="center" wrapText="1"/>
    </xf>
    <xf numFmtId="0" fontId="54" fillId="0" borderId="0" xfId="0" applyFont="1" applyNumberFormat="1">
      <alignment horizontal="center" vertical="center" wrapText="1"/>
    </xf>
    <xf numFmtId="0" fontId="54" fillId="0" borderId="14" xfId="0" applyFont="1" applyBorder="1" applyNumberFormat="1">
      <alignment horizontal="center" vertical="center" wrapText="1"/>
    </xf>
    <xf numFmtId="0" fontId="23" fillId="42" borderId="14" xfId="0" applyFont="1" applyFill="1" applyBorder="1" applyNumberFormat="1">
      <alignment horizontal="center" vertical="center" wrapText="1"/>
      <protection locked="0"/>
    </xf>
    <xf numFmtId="49" fontId="23" fillId="38" borderId="14" xfId="0" applyFont="1" applyFill="1" applyBorder="1" applyNumberFormat="1">
      <alignment horizontal="center" vertical="center" wrapText="1"/>
    </xf>
    <xf numFmtId="0" fontId="0" fillId="0" borderId="14" xfId="0" applyFont="1" applyBorder="1" applyNumberFormat="1">
      <alignment horizontal="left" vertical="top" wrapText="1"/>
    </xf>
    <xf numFmtId="14" fontId="23" fillId="43" borderId="14" xfId="0" applyFont="1" applyFill="1" applyBorder="1" applyNumberFormat="1">
      <alignment horizontal="left" vertical="center" wrapText="1" indent="1"/>
    </xf>
    <xf numFmtId="49" fontId="32" fillId="0" borderId="14" xfId="0" applyFont="1" applyBorder="1" applyNumberFormat="1">
      <alignment horizontal="left" vertical="center" wrapText="1" indent="1"/>
    </xf>
    <xf numFmtId="0" fontId="23" fillId="0" borderId="16" xfId="0" applyFont="1" applyBorder="1" applyNumberFormat="1">
      <alignment horizontal="center" vertical="center" wrapText="1"/>
    </xf>
    <xf numFmtId="49" fontId="23" fillId="0" borderId="14" xfId="0" applyFont="1" applyBorder="1" applyNumberFormat="1">
      <alignment horizontal="center" vertical="center" wrapText="1"/>
    </xf>
    <xf numFmtId="0" fontId="23" fillId="0" borderId="25" xfId="0" applyFont="1" applyBorder="1" applyNumberFormat="1">
      <alignment horizontal="left" vertical="center" wrapText="1" indent="1"/>
    </xf>
    <xf numFmtId="0" fontId="23" fillId="38" borderId="14" xfId="0" applyFont="1" applyFill="1" applyBorder="1" applyNumberFormat="1">
      <alignment horizontal="left" vertical="center" wrapText="1" indent="1"/>
    </xf>
    <xf numFmtId="0" fontId="55" fillId="0" borderId="0" xfId="0" applyFont="1" applyNumberFormat="1">
      <alignment horizontal="center" vertical="center" wrapText="1"/>
    </xf>
    <xf numFmtId="165" fontId="23" fillId="0" borderId="25" xfId="0" applyFont="1" applyBorder="1" applyNumberFormat="1">
      <alignment horizontal="center" vertical="center" wrapText="1"/>
    </xf>
    <xf numFmtId="0" fontId="23" fillId="0" borderId="0" xfId="0" applyFont="1" applyNumberFormat="1">
      <alignment horizontal="right" vertical="center" wrapText="1"/>
    </xf>
    <xf numFmtId="0" fontId="23" fillId="37" borderId="14" xfId="0" applyFont="1" applyFill="1" applyBorder="1" applyNumberFormat="1">
      <alignment vertical="top" wrapText="1"/>
    </xf>
    <xf numFmtId="0" fontId="23" fillId="37" borderId="14" xfId="0" applyFont="1" applyFill="1" applyBorder="1" applyNumberFormat="1">
      <alignment horizontal="left" vertical="top" wrapText="1"/>
    </xf>
    <xf numFmtId="49" fontId="34" fillId="39" borderId="25" xfId="0" applyFont="1" applyFill="1" applyBorder="1" applyNumberFormat="1">
      <alignment horizontal="left" vertical="center" wrapText="1"/>
      <protection locked="0"/>
    </xf>
    <xf numFmtId="49" fontId="0" fillId="40" borderId="31" xfId="0" applyFont="1" applyFill="1" applyBorder="1" applyNumberFormat="1">
      <alignment horizontal="right" vertical="center" wrapText="1"/>
    </xf>
    <xf numFmtId="0" fontId="23" fillId="0" borderId="0" xfId="0" applyFont="1" applyNumberFormat="1">
      <alignment horizontal="left" vertical="center" wrapText="1"/>
    </xf>
    <xf numFmtId="0" fontId="0" fillId="50" borderId="0" xfId="0" applyFont="1" applyFill="1" applyNumberFormat="1">
      <alignment horizontal="right" vertical="top" wrapText="1"/>
    </xf>
    <xf numFmtId="0" fontId="23" fillId="0" borderId="0" xfId="0" applyFont="1" applyNumberFormat="1">
      <alignment horizontal="left" vertical="top" wrapText="1"/>
    </xf>
    <xf numFmtId="14" fontId="23" fillId="0" borderId="25" xfId="0" applyFont="1" applyBorder="1" applyNumberFormat="1">
      <alignment horizontal="left" vertical="center" wrapText="1" indent="1"/>
    </xf>
    <xf numFmtId="0" fontId="23" fillId="0" borderId="14" xfId="0" applyFont="1" applyBorder="1" applyNumberFormat="1">
      <alignment horizontal="center" vertical="center" wrapText="1"/>
    </xf>
    <xf numFmtId="0" fontId="23" fillId="0" borderId="25" xfId="0" applyFont="1" applyBorder="1" applyNumberFormat="1">
      <alignment horizontal="center" vertical="center" wrapText="1"/>
    </xf>
    <xf numFmtId="0" fontId="23" fillId="38" borderId="14" xfId="0" applyFont="1" applyFill="1" applyBorder="1" applyNumberFormat="1">
      <alignment horizontal="left" vertical="center" wrapText="1" indent="1"/>
    </xf>
    <xf numFmtId="0" fontId="55" fillId="0" borderId="0" xfId="0" applyFont="1" applyNumberFormat="1">
      <alignment horizontal="center" vertical="center" wrapText="1"/>
    </xf>
    <xf numFmtId="0" fontId="23" fillId="38" borderId="14" xfId="0" applyFont="1" applyFill="1" applyBorder="1" applyNumberFormat="1">
      <alignment horizontal="left" vertical="center" wrapText="1"/>
    </xf>
    <xf numFmtId="165" fontId="23" fillId="0" borderId="14" xfId="0" applyFont="1" applyBorder="1" applyNumberFormat="1">
      <alignment horizontal="center" vertical="center" wrapText="1"/>
    </xf>
    <xf numFmtId="0" fontId="23" fillId="0" borderId="16" xfId="0" applyFont="1" applyBorder="1" applyNumberFormat="1">
      <alignment horizontal="center" vertical="center" wrapText="1"/>
    </xf>
    <xf numFmtId="0" fontId="55" fillId="0" borderId="0" xfId="0" applyFont="1" applyNumberFormat="1">
      <alignment horizontal="center" vertical="center" wrapText="1"/>
    </xf>
    <xf numFmtId="49" fontId="23" fillId="42" borderId="14" xfId="0" applyFont="1" applyFill="1" applyBorder="1" applyNumberFormat="1">
      <alignment horizontal="left" vertical="center" wrapText="1"/>
      <protection locked="0"/>
    </xf>
    <xf numFmtId="0" fontId="23" fillId="37" borderId="38" xfId="0" applyFont="1" applyFill="1" applyBorder="1" applyNumberFormat="1">
      <alignment vertical="center" wrapText="1"/>
    </xf>
    <xf numFmtId="165" fontId="53" fillId="0" borderId="21" xfId="0" applyFont="1" applyBorder="1" applyNumberFormat="1">
      <alignment horizontal="center" vertical="center" wrapText="1"/>
    </xf>
    <xf numFmtId="165" fontId="53" fillId="0" borderId="22" xfId="0" applyFont="1" applyBorder="1" applyNumberFormat="1">
      <alignment horizontal="center" vertical="center" wrapText="1"/>
    </xf>
    <xf numFmtId="168" fontId="23" fillId="42" borderId="14" xfId="0" applyFont="1" applyFill="1" applyBorder="1" applyNumberFormat="1">
      <alignment horizontal="left" vertical="center" wrapText="1" indent="1"/>
      <protection locked="0"/>
    </xf>
    <xf numFmtId="167" fontId="0" fillId="42" borderId="17" xfId="0" applyFont="1" applyFill="1" applyBorder="1" applyNumberFormat="1">
      <alignment horizontal="left" vertical="center" wrapText="1" indent="1"/>
      <protection locked="0"/>
    </xf>
    <xf numFmtId="49" fontId="23" fillId="42" borderId="29" xfId="0" applyFont="1" applyFill="1" applyBorder="1" applyNumberFormat="1">
      <alignment horizontal="left" vertical="center" wrapText="1"/>
      <protection locked="0"/>
    </xf>
    <xf numFmtId="49" fontId="23" fillId="42" borderId="32" xfId="0" applyFont="1" applyFill="1" applyBorder="1" applyNumberFormat="1">
      <alignment horizontal="left" vertical="center" wrapText="1"/>
      <protection locked="0"/>
    </xf>
    <xf numFmtId="49" fontId="34" fillId="40" borderId="31" xfId="0" applyFont="1" applyFill="1" applyBorder="1" applyNumberFormat="1">
      <alignment horizontal="left" vertical="center" wrapText="1"/>
    </xf>
    <xf numFmtId="0" fontId="23" fillId="42" borderId="14" xfId="0" applyFont="1" applyFill="1" applyBorder="1" applyNumberFormat="1">
      <alignment horizontal="left" vertical="top" wrapText="1" indent="1"/>
      <protection locked="0"/>
    </xf>
    <xf numFmtId="0" fontId="23" fillId="0" borderId="17" xfId="0" applyFont="1" applyBorder="1" applyNumberFormat="1">
      <alignment horizontal="center" vertical="center" wrapText="1"/>
    </xf>
    <xf numFmtId="0" fontId="55" fillId="0" borderId="0" xfId="0" applyFont="1" applyNumberFormat="1">
      <alignment horizontal="center" vertical="center" wrapText="1"/>
    </xf>
    <xf numFmtId="0" fontId="23" fillId="37" borderId="24" xfId="0" applyFont="1" applyFill="1" applyBorder="1" applyNumberFormat="1">
      <alignment vertical="center" wrapText="1"/>
    </xf>
    <xf numFmtId="0" fontId="44" fillId="0" borderId="0" xfId="73" applyFont="1" applyNumberFormat="1">
      <alignment horizontal="center" vertical="center" wrapText="1"/>
    </xf>
    <xf numFmtId="0" fontId="44" fillId="0" borderId="0" xfId="73" applyFont="1" applyNumberFormat="1">
      <alignment horizontal="center" vertical="center" wrapText="1"/>
    </xf>
    <xf numFmtId="0" fontId="44" fillId="0" borderId="0" xfId="73" applyFont="1" applyNumberFormat="1">
      <alignment horizontal="center" vertical="center" wrapText="1"/>
    </xf>
    <xf numFmtId="0" fontId="44" fillId="0" borderId="0" xfId="73" applyFont="1" applyNumberFormat="1">
      <alignment horizontal="center" vertical="center" wrapText="1"/>
    </xf>
    <xf numFmtId="0" fontId="44" fillId="0" borderId="14" xfId="73" applyFont="1" applyBorder="1" applyNumberFormat="1">
      <alignment horizontal="center" vertical="center" wrapText="1"/>
    </xf>
    <xf numFmtId="0" fontId="23" fillId="0" borderId="14" xfId="0" applyFont="1" applyBorder="1" applyNumberFormat="1">
      <alignment horizontal="left" vertical="top" wrapText="1"/>
    </xf>
    <xf numFmtId="49" fontId="23" fillId="0" borderId="21" xfId="0" applyFont="1" applyBorder="1" applyNumberFormat="1">
      <alignment horizontal="center" vertical="center" wrapText="1"/>
    </xf>
    <xf numFmtId="49" fontId="23" fillId="0" borderId="0" xfId="0" applyFont="1" applyNumberFormat="1">
      <alignment horizontal="center" vertical="center" wrapText="1"/>
    </xf>
    <xf numFmtId="49" fontId="0" fillId="0" borderId="21" xfId="0" applyFont="1" applyBorder="1" applyNumberFormat="1">
      <alignment horizontal="left" vertical="center" wrapText="1"/>
    </xf>
    <xf numFmtId="0" fontId="48" fillId="0" borderId="0" xfId="0" applyFont="1" applyNumberFormat="1">
      <alignment horizontal="left" vertical="center"/>
    </xf>
    <xf numFmtId="0" fontId="48" fillId="0" borderId="26" xfId="0" applyFont="1" applyBorder="1" applyNumberFormat="1">
      <alignment horizontal="left" vertical="center"/>
    </xf>
    <xf numFmtId="0" fontId="48" fillId="0" borderId="29" xfId="0" applyFont="1" applyBorder="1" applyNumberFormat="1">
      <alignment horizontal="left" vertical="center"/>
    </xf>
    <xf numFmtId="0" fontId="48" fillId="0" borderId="31" xfId="0" applyFont="1" applyBorder="1" applyNumberFormat="1">
      <alignment horizontal="left" vertical="center"/>
    </xf>
    <xf numFmtId="0" fontId="0" fillId="0" borderId="14" xfId="0" applyFont="1" applyBorder="1" applyNumberFormat="1">
      <alignment horizontal="center" vertical="center" wrapText="1"/>
    </xf>
    <xf numFmtId="0" fontId="23" fillId="0" borderId="0" xfId="0" applyFont="1" applyNumberFormat="1">
      <alignment horizontal="center" vertical="center" wrapText="1"/>
    </xf>
    <xf numFmtId="0" fontId="23" fillId="0" borderId="0" xfId="0" applyFont="1" applyNumberFormat="1">
      <alignment horizontal="center" vertical="center" wrapText="1"/>
    </xf>
    <xf numFmtId="0" fontId="23" fillId="0" borderId="14" xfId="0" applyFont="1" applyBorder="1" applyNumberFormat="1">
      <alignment horizontal="center" vertical="center" wrapText="1"/>
    </xf>
    <xf numFmtId="49" fontId="23" fillId="43" borderId="14" xfId="0" applyFont="1" applyFill="1" applyBorder="1" applyNumberFormat="1">
      <alignment horizontal="center" vertical="center" wrapText="1"/>
    </xf>
    <xf numFmtId="49" fontId="23" fillId="0" borderId="21" xfId="0" applyFont="1" applyBorder="1" applyNumberFormat="1">
      <alignment horizontal="center" vertical="center" wrapText="1"/>
    </xf>
    <xf numFmtId="49" fontId="23" fillId="0" borderId="0" xfId="0" applyFont="1" applyNumberFormat="1">
      <alignment horizontal="center" vertical="center" wrapText="1"/>
    </xf>
    <xf numFmtId="49" fontId="0" fillId="0" borderId="21" xfId="0" applyFont="1" applyBorder="1" applyNumberFormat="1">
      <alignment horizontal="left" vertical="center" wrapText="1"/>
    </xf>
    <xf numFmtId="0" fontId="48" fillId="0" borderId="29" xfId="0" applyFont="1" applyBorder="1" applyNumberFormat="1">
      <alignment horizontal="left" vertical="center"/>
    </xf>
    <xf numFmtId="0" fontId="48" fillId="0" borderId="31" xfId="0" applyFont="1" applyBorder="1" applyNumberFormat="1">
      <alignment horizontal="left" vertical="center"/>
    </xf>
    <xf numFmtId="0" fontId="48" fillId="0" borderId="0" xfId="0" applyFont="1" applyNumberFormat="1">
      <alignment horizontal="left" vertical="center"/>
    </xf>
    <xf numFmtId="0" fontId="48" fillId="0" borderId="26" xfId="0" applyFont="1" applyBorder="1" applyNumberFormat="1">
      <alignment horizontal="left" vertical="center"/>
    </xf>
    <xf numFmtId="0" fontId="23" fillId="37" borderId="14" xfId="0" applyFont="1" applyFill="1" applyBorder="1" applyNumberFormat="1">
      <alignment horizontal="center" vertical="center" wrapText="1"/>
    </xf>
    <xf numFmtId="0" fontId="54" fillId="0" borderId="0" xfId="0" applyFont="1" applyNumberFormat="1">
      <alignment horizontal="center" vertical="center" wrapText="1"/>
    </xf>
    <xf numFmtId="0" fontId="23" fillId="38" borderId="17" xfId="0" applyFont="1" applyFill="1" applyBorder="1" applyNumberFormat="1">
      <alignment horizontal="left" vertical="center" wrapText="1"/>
    </xf>
    <xf numFmtId="0" fontId="23" fillId="0" borderId="0" xfId="0" applyFont="1" applyNumberFormat="1">
      <alignment horizontal="left" vertical="top" wrapText="1"/>
    </xf>
    <xf numFmtId="0" fontId="55" fillId="0" borderId="0" xfId="0" applyFont="1" applyNumberFormat="1">
      <alignment horizontal="center" vertical="center" wrapText="1"/>
    </xf>
    <xf numFmtId="167" fontId="0" fillId="42" borderId="14" xfId="0" applyFont="1" applyFill="1" applyBorder="1" applyNumberFormat="1">
      <alignment horizontal="center" vertical="center" wrapText="1"/>
      <protection locked="0"/>
    </xf>
    <xf numFmtId="0" fontId="85" fillId="37" borderId="21" xfId="0" applyFont="1" applyFill="1" applyBorder="1" applyNumberFormat="1">
      <alignment horizontal="center" vertical="center" wrapText="1"/>
    </xf>
    <xf numFmtId="0" fontId="45" fillId="0" borderId="29" xfId="0" applyFont="1" applyBorder="1" applyNumberFormat="1">
      <alignment horizontal="center" vertical="center" wrapText="1"/>
    </xf>
    <xf numFmtId="0" fontId="23" fillId="37" borderId="14" xfId="0" applyFont="1" applyFill="1" applyBorder="1" applyNumberFormat="1">
      <alignment horizontal="left" vertical="center" wrapText="1"/>
    </xf>
    <xf numFmtId="0" fontId="23" fillId="37" borderId="25" xfId="0" applyFont="1" applyFill="1" applyBorder="1" applyNumberFormat="1">
      <alignment horizontal="center" vertical="center" wrapText="1"/>
    </xf>
    <xf numFmtId="0" fontId="55" fillId="0" borderId="17" xfId="0" applyFont="1" applyBorder="1" applyNumberFormat="1">
      <alignment horizontal="left" vertical="center" wrapText="1"/>
    </xf>
    <xf numFmtId="49" fontId="23" fillId="42" borderId="19" xfId="0" applyFont="1" applyFill="1" applyBorder="1" applyNumberFormat="1">
      <alignment horizontal="left" vertical="center" wrapText="1" indent="6"/>
      <protection locked="0"/>
    </xf>
    <xf numFmtId="0" fontId="23" fillId="37" borderId="19" xfId="0" applyFont="1" applyFill="1" applyBorder="1" applyNumberFormat="1">
      <alignment horizontal="left" vertical="center" wrapText="1"/>
    </xf>
    <xf numFmtId="4" fontId="23" fillId="42" borderId="14" xfId="0" applyFont="1" applyFill="1" applyBorder="1" applyNumberFormat="1">
      <alignment horizontal="left" vertical="center" wrapText="1" indent="1"/>
      <protection locked="0"/>
    </xf>
    <xf numFmtId="49" fontId="23" fillId="39" borderId="19" xfId="0" applyFont="1" applyFill="1" applyBorder="1" applyNumberFormat="1">
      <alignment horizontal="left" vertical="center" wrapText="1" indent="6"/>
      <protection locked="0"/>
    </xf>
    <xf numFmtId="49" fontId="23" fillId="0" borderId="0" xfId="0" applyFont="1" applyNumberFormat="1">
      <alignment vertical="center" wrapText="1"/>
    </xf>
    <xf numFmtId="49" fontId="55" fillId="0" borderId="14" xfId="0" applyFont="1" applyBorder="1" applyNumberFormat="1">
      <alignment horizontal="center" vertical="center" wrapText="1"/>
    </xf>
    <xf numFmtId="49" fontId="23" fillId="0" borderId="14" xfId="0" applyFont="1" applyBorder="1" applyNumberFormat="1">
      <alignment horizontal="left" vertical="center" wrapText="1"/>
    </xf>
    <xf numFmtId="0" fontId="23" fillId="37" borderId="31" xfId="0" applyFont="1" applyFill="1" applyBorder="1" applyNumberFormat="1">
      <alignment horizontal="center" vertical="center" wrapText="1"/>
    </xf>
    <xf numFmtId="0" fontId="54" fillId="0" borderId="0" xfId="0" applyFont="1" applyNumberFormat="1">
      <alignment horizontal="center" vertical="center" wrapText="1"/>
    </xf>
    <xf numFmtId="0" fontId="23" fillId="0" borderId="0" xfId="0" applyFont="1" applyNumberFormat="1">
      <alignment horizontal="right" vertical="center" wrapText="1"/>
    </xf>
    <xf numFmtId="49" fontId="23" fillId="43" borderId="17" xfId="0" applyFont="1" applyFill="1" applyBorder="1" applyNumberFormat="1">
      <alignment horizontal="center" vertical="center" wrapText="1"/>
    </xf>
    <xf numFmtId="0" fontId="23" fillId="0" borderId="0" xfId="0" applyFont="1" applyNumberFormat="1">
      <alignment horizontal="left" vertical="center"/>
    </xf>
    <xf numFmtId="49" fontId="23" fillId="0" borderId="0" xfId="0" applyFont="1" applyNumberFormat="1">
      <alignment horizontal="left" vertical="center"/>
    </xf>
    <xf numFmtId="0" fontId="23" fillId="0" borderId="0" xfId="0" applyFont="1" applyNumberFormat="1">
      <alignment horizontal="left" vertical="center"/>
    </xf>
    <xf numFmtId="0" fontId="23" fillId="0" borderId="0" xfId="0" applyFont="1" applyNumberFormat="1">
      <alignment horizontal="left" vertical="center" indent="1"/>
    </xf>
    <xf numFmtId="49" fontId="23" fillId="0" borderId="0" xfId="0" applyFont="1" applyNumberFormat="1">
      <alignment horizontal="left" vertical="center"/>
    </xf>
    <xf numFmtId="0" fontId="0" fillId="0" borderId="14" xfId="0" applyFont="1" applyBorder="1" applyNumberFormat="1">
      <alignment horizontal="center" vertical="center" wrapText="1"/>
    </xf>
    <xf numFmtId="49" fontId="0" fillId="42" borderId="14" xfId="0" applyFont="1" applyFill="1" applyBorder="1" applyNumberFormat="1">
      <alignment horizontal="left" vertical="center" wrapText="1"/>
      <protection locked="0"/>
    </xf>
    <xf numFmtId="49" fontId="23" fillId="37" borderId="0" xfId="0" applyFont="1" applyFill="1" applyNumberFormat="1">
      <alignment vertical="center" wrapText="1"/>
    </xf>
    <xf numFmtId="0" fontId="85" fillId="37" borderId="21" xfId="0" applyFont="1" applyFill="1" applyBorder="1" applyNumberFormat="1">
      <alignment horizontal="center" vertical="center" wrapText="1"/>
    </xf>
    <xf numFmtId="0" fontId="54" fillId="0" borderId="0" xfId="0" applyFont="1" applyNumberFormat="1">
      <alignment horizontal="center" vertical="center" wrapText="1"/>
    </xf>
    <xf numFmtId="49" fontId="23" fillId="0" borderId="0" xfId="0" applyFont="1" applyNumberFormat="1">
      <alignment vertical="center" wrapText="1"/>
    </xf>
    <xf numFmtId="49" fontId="23" fillId="39" borderId="14" xfId="0" applyFont="1" applyFill="1" applyBorder="1" applyNumberFormat="1">
      <alignment horizontal="left" vertical="center" indent="1"/>
      <protection locked="0"/>
    </xf>
    <xf numFmtId="49" fontId="23" fillId="37" borderId="14" xfId="0" applyFont="1" applyFill="1" applyBorder="1" applyNumberFormat="1">
      <alignment horizontal="center" vertical="center" wrapText="1"/>
    </xf>
    <xf numFmtId="0" fontId="22" fillId="48" borderId="63" xfId="0" applyFont="1" applyFill="1" applyBorder="1" applyNumberFormat="1">
      <alignment horizontal="right" vertical="center" wrapText="1" indent="1"/>
    </xf>
    <xf numFmtId="0" fontId="22" fillId="48" borderId="66" xfId="0" applyFont="1" applyFill="1" applyBorder="1" applyNumberFormat="1">
      <alignment horizontal="right" vertical="center" wrapText="1" indent="1"/>
    </xf>
    <xf numFmtId="0" fontId="22" fillId="48" borderId="40" xfId="0" applyFont="1" applyFill="1" applyBorder="1" applyNumberFormat="1">
      <alignment horizontal="right" vertical="center" wrapText="1" indent="1"/>
    </xf>
    <xf numFmtId="0" fontId="22" fillId="48" borderId="0" xfId="0" applyFont="1" applyFill="1" applyNumberFormat="1">
      <alignment horizontal="right" vertical="center" wrapText="1" indent="1"/>
    </xf>
    <xf numFmtId="0" fontId="125" fillId="0" borderId="0" xfId="0" applyFont="1" applyNumberFormat="1">
      <alignment vertical="center" wrapText="1"/>
    </xf>
    <xf numFmtId="0" fontId="22" fillId="48" borderId="67" xfId="0" applyFont="1" applyFill="1" applyBorder="1" applyNumberFormat="1">
      <alignment horizontal="right" vertical="center" wrapText="1" indent="1"/>
    </xf>
    <xf numFmtId="0" fontId="22" fillId="48" borderId="65" xfId="0" applyFont="1" applyFill="1" applyBorder="1" applyNumberFormat="1">
      <alignment horizontal="right" vertical="center" wrapText="1" indent="1"/>
    </xf>
    <xf numFmtId="0" fontId="22" fillId="48" borderId="41" xfId="0" applyFont="1" applyFill="1" applyBorder="1" applyNumberFormat="1">
      <alignment horizontal="right" vertical="center" wrapText="1" indent="1"/>
    </xf>
    <xf numFmtId="0" fontId="125" fillId="0" borderId="0" xfId="0" applyFont="1" applyNumberFormat="1">
      <alignment vertical="top" wrapText="1"/>
    </xf>
    <xf numFmtId="49" fontId="71" fillId="0" borderId="0" xfId="0" applyFont="1" applyNumberFormat="1">
      <alignment vertical="top" wrapText="1"/>
    </xf>
    <xf numFmtId="0" fontId="107" fillId="0" borderId="0" xfId="0" applyFont="1" applyNumberFormat="1">
      <alignment vertical="center" wrapText="1"/>
    </xf>
    <xf numFmtId="0" fontId="107" fillId="0" borderId="0" xfId="0" applyFont="1" applyNumberFormat="1">
      <alignment vertical="center"/>
    </xf>
    <xf numFmtId="0" fontId="22" fillId="57" borderId="68" xfId="0" applyFont="1" applyFill="1" applyBorder="1" applyNumberFormat="1">
      <alignment horizontal="center" vertical="center" wrapText="1"/>
    </xf>
    <xf numFmtId="0" fontId="22" fillId="57" borderId="69" xfId="0" applyFont="1" applyFill="1" applyBorder="1" applyNumberFormat="1">
      <alignment horizontal="center" vertical="center" wrapText="1"/>
    </xf>
    <xf numFmtId="0" fontId="22" fillId="57" borderId="70" xfId="0" applyFont="1" applyFill="1" applyBorder="1" applyNumberFormat="1">
      <alignment horizontal="center" vertical="center" wrapText="1"/>
    </xf>
    <xf numFmtId="0" fontId="125" fillId="0" borderId="40" xfId="0" applyFont="1" applyBorder="1" applyNumberFormat="1">
      <alignment vertical="center" wrapText="1"/>
    </xf>
    <xf numFmtId="0" fontId="125" fillId="0" borderId="40" xfId="0" applyFont="1" applyBorder="1" applyNumberFormat="1">
      <alignment horizontal="left" vertical="center" wrapText="1"/>
    </xf>
    <xf numFmtId="0" fontId="125" fillId="0" borderId="0" xfId="0" applyFont="1" applyNumberFormat="1">
      <alignment horizontal="left" vertical="center" wrapText="1"/>
    </xf>
    <xf numFmtId="0" fontId="23" fillId="0" borderId="15" xfId="0" applyFont="1" applyBorder="1" applyNumberFormat="1">
      <alignment horizontal="center" vertical="center" wrapText="1"/>
    </xf>
    <xf numFmtId="0" fontId="23" fillId="0" borderId="16" xfId="0" applyFont="1" applyBorder="1" applyNumberFormat="1">
      <alignment horizontal="center" vertical="center" wrapText="1"/>
    </xf>
    <xf numFmtId="0" fontId="101" fillId="0" borderId="0" xfId="0" applyFont="1" applyNumberFormat="1">
      <alignment horizontal="left" vertical="center" wrapText="1"/>
    </xf>
    <xf numFmtId="14" fontId="98" fillId="0" borderId="14" xfId="0" applyFont="1" applyBorder="1" applyNumberFormat="1">
      <alignment horizontal="center" vertical="center" wrapText="1"/>
    </xf>
    <xf numFmtId="0" fontId="23" fillId="0" borderId="0" xfId="0" applyFont="1" applyNumberFormat="1">
      <alignment horizontal="center" vertical="center" wrapText="1"/>
    </xf>
    <xf numFmtId="0" fontId="23" fillId="0" borderId="17" xfId="0" applyFont="1" applyBorder="1" applyNumberFormat="1">
      <alignment horizontal="left" vertical="center" wrapText="1" indent="1"/>
    </xf>
    <xf numFmtId="0" fontId="23" fillId="0" borderId="16" xfId="0" applyFont="1" applyBorder="1" applyNumberFormat="1">
      <alignment horizontal="center" vertical="center" wrapText="1"/>
    </xf>
    <xf numFmtId="0" fontId="23" fillId="0" borderId="17" xfId="0" applyFont="1" applyBorder="1" applyNumberFormat="1">
      <alignment horizontal="center" vertical="center" wrapText="1"/>
    </xf>
    <xf numFmtId="0" fontId="23" fillId="0" borderId="15" xfId="0" applyFont="1" applyBorder="1" applyNumberFormat="1">
      <alignment horizontal="center" vertical="center" wrapText="1"/>
    </xf>
    <xf numFmtId="4" fontId="23" fillId="0" borderId="14" xfId="0" applyFont="1" applyBorder="1" applyNumberFormat="1">
      <alignment horizontal="center" vertical="center" wrapText="1"/>
    </xf>
    <xf numFmtId="49" fontId="44" fillId="0" borderId="71" xfId="0" applyFont="1" applyBorder="1" applyNumberFormat="1">
      <alignment horizontal="center" vertical="center" wrapText="1"/>
    </xf>
    <xf numFmtId="49" fontId="44" fillId="0" borderId="72" xfId="0" applyFont="1" applyBorder="1" applyNumberFormat="1">
      <alignment horizontal="center" vertical="center" wrapText="1"/>
    </xf>
    <xf numFmtId="49" fontId="44" fillId="0" borderId="16" xfId="0" applyFont="1" applyBorder="1" applyNumberFormat="1">
      <alignment horizontal="center" vertical="center" wrapText="1"/>
    </xf>
    <xf numFmtId="49" fontId="44" fillId="0" borderId="15" xfId="0" applyFont="1" applyBorder="1" applyNumberFormat="1">
      <alignment horizontal="center" vertical="center" wrapText="1"/>
    </xf>
    <xf numFmtId="0" fontId="23" fillId="0" borderId="22" xfId="0" applyFont="1" applyBorder="1" applyNumberFormat="1">
      <alignment horizontal="left" vertical="center" wrapText="1" indent="1"/>
    </xf>
    <xf numFmtId="0" fontId="23" fillId="0" borderId="19" xfId="0" applyFont="1" applyBorder="1" applyNumberFormat="1">
      <alignment horizontal="left" vertical="center" wrapText="1" indent="1"/>
    </xf>
    <xf numFmtId="0" fontId="23" fillId="0" borderId="39" xfId="0" applyFont="1" applyBorder="1" applyNumberFormat="1">
      <alignment horizontal="left" vertical="center" wrapText="1" indent="1"/>
    </xf>
    <xf numFmtId="0" fontId="23" fillId="0" borderId="31" xfId="0" applyFont="1" applyBorder="1" applyNumberFormat="1">
      <alignment horizontal="left" vertical="center" indent="1"/>
    </xf>
    <xf numFmtId="0" fontId="23" fillId="0" borderId="25" xfId="0" applyFont="1" applyBorder="1" applyNumberFormat="1">
      <alignment horizontal="left" vertical="center" indent="1"/>
    </xf>
    <xf numFmtId="0" fontId="23" fillId="0" borderId="32" xfId="0" applyFont="1" applyBorder="1" applyNumberFormat="1">
      <alignment horizontal="left" vertical="center" indent="1"/>
    </xf>
    <xf numFmtId="0" fontId="23" fillId="0" borderId="0" xfId="0" applyFont="1" applyNumberFormat="1">
      <alignment horizontal="center" vertical="center" wrapText="1"/>
    </xf>
    <xf numFmtId="0" fontId="23" fillId="44" borderId="0" xfId="0" applyFont="1" applyFill="1" applyNumberFormat="1">
      <alignment horizontal="center" vertical="center" wrapText="1"/>
    </xf>
    <xf numFmtId="0" fontId="23" fillId="0" borderId="14" xfId="0" applyFont="1" applyBorder="1" applyNumberFormat="1">
      <alignment horizontal="center" vertical="center" wrapText="1"/>
    </xf>
    <xf numFmtId="0" fontId="80" fillId="0" borderId="39" xfId="0" applyFont="1" applyBorder="1" applyNumberFormat="1">
      <alignment horizontal="center" vertical="center" wrapText="1"/>
    </xf>
    <xf numFmtId="0" fontId="80" fillId="0" borderId="21" xfId="0" applyFont="1" applyBorder="1" applyNumberFormat="1">
      <alignment horizontal="center" vertical="center" wrapText="1"/>
    </xf>
    <xf numFmtId="0" fontId="0" fillId="0" borderId="0" xfId="0" applyFont="1" applyNumberFormat="1">
      <alignment horizontal="left" vertical="center" wrapText="1" indent="2"/>
    </xf>
    <xf numFmtId="0" fontId="0" fillId="0" borderId="0" xfId="0" applyFont="1" applyNumberFormat="1">
      <alignment horizontal="left" vertical="center" indent="2"/>
    </xf>
    <xf numFmtId="0" fontId="80" fillId="0" borderId="14" xfId="0" applyFont="1" applyBorder="1" applyNumberFormat="1">
      <alignment horizontal="center" vertical="center" wrapText="1"/>
    </xf>
    <xf numFmtId="0" fontId="23" fillId="0" borderId="73" xfId="0" applyFont="1" applyBorder="1" applyNumberFormat="1">
      <alignment horizontal="center" vertical="center" wrapText="1"/>
    </xf>
    <xf numFmtId="0" fontId="23" fillId="0" borderId="74" xfId="0" applyFont="1" applyBorder="1" applyNumberFormat="1">
      <alignment horizontal="center" vertical="center" wrapText="1"/>
    </xf>
    <xf numFmtId="0" fontId="23" fillId="43" borderId="19" xfId="0" applyFont="1" applyFill="1" applyBorder="1" applyNumberFormat="1">
      <alignment horizontal="left" vertical="center" wrapText="1" indent="1"/>
      <protection locked="0"/>
    </xf>
    <xf numFmtId="0" fontId="23" fillId="43" borderId="25" xfId="0" applyFont="1" applyFill="1" applyBorder="1" applyNumberFormat="1">
      <alignment horizontal="left" vertical="center" wrapText="1" indent="1"/>
      <protection locked="0"/>
    </xf>
    <xf numFmtId="49" fontId="23" fillId="43" borderId="14" xfId="0" applyFont="1" applyFill="1" applyBorder="1" applyNumberFormat="1">
      <alignment horizontal="center" vertical="center" wrapText="1"/>
    </xf>
    <xf numFmtId="49" fontId="23" fillId="0" borderId="14" xfId="0" applyFont="1" applyBorder="1" applyNumberFormat="1">
      <alignment horizontal="center" vertical="center" wrapText="1"/>
    </xf>
    <xf numFmtId="0" fontId="23" fillId="43" borderId="19" xfId="0" applyFont="1" applyFill="1" applyBorder="1" applyNumberFormat="1">
      <alignment horizontal="left" vertical="center" wrapText="1" indent="2"/>
    </xf>
    <xf numFmtId="0" fontId="23" fillId="43" borderId="38" xfId="0" applyFont="1" applyFill="1" applyBorder="1" applyNumberFormat="1">
      <alignment horizontal="left" vertical="center" wrapText="1" indent="2"/>
    </xf>
    <xf numFmtId="0" fontId="23" fillId="43" borderId="25" xfId="0" applyFont="1" applyFill="1" applyBorder="1" applyNumberFormat="1">
      <alignment horizontal="left" vertical="center" wrapText="1" indent="2"/>
    </xf>
    <xf numFmtId="49" fontId="23" fillId="43" borderId="25" xfId="0" applyFont="1" applyFill="1" applyBorder="1" applyNumberFormat="1">
      <alignment horizontal="center" vertical="center" wrapText="1"/>
    </xf>
    <xf numFmtId="14" fontId="86" fillId="0" borderId="75" xfId="0" applyFont="1" applyBorder="1" applyNumberFormat="1">
      <alignment horizontal="center" vertical="center" wrapText="1"/>
    </xf>
    <xf numFmtId="0" fontId="23" fillId="0" borderId="75" xfId="0" applyFont="1" applyBorder="1" applyNumberFormat="1">
      <alignment horizontal="center" vertical="center" wrapText="1"/>
    </xf>
    <xf numFmtId="49" fontId="23" fillId="0" borderId="21" xfId="0" applyFont="1" applyBorder="1" applyNumberFormat="1">
      <alignment horizontal="center" vertical="center" wrapText="1"/>
    </xf>
    <xf numFmtId="49" fontId="23" fillId="0" borderId="0" xfId="0" applyFont="1" applyNumberFormat="1">
      <alignment horizontal="center" vertical="center" wrapText="1"/>
    </xf>
    <xf numFmtId="0" fontId="0" fillId="0" borderId="21" xfId="0" applyFont="1" applyBorder="1" applyNumberFormat="1">
      <alignment horizontal="left" vertical="center" wrapText="1"/>
    </xf>
    <xf numFmtId="0" fontId="0" fillId="0" borderId="0" xfId="0" applyFont="1" applyNumberFormat="1">
      <alignment horizontal="left" vertical="center" wrapText="1"/>
    </xf>
    <xf numFmtId="49" fontId="0" fillId="0" borderId="0" xfId="0" applyFont="1" applyNumberFormat="1">
      <alignment horizontal="left" vertical="center" wrapText="1"/>
    </xf>
    <xf numFmtId="49" fontId="0" fillId="0" borderId="21" xfId="0" applyFont="1" applyBorder="1" applyNumberFormat="1">
      <alignment horizontal="left" vertical="center" wrapText="1"/>
    </xf>
    <xf numFmtId="0" fontId="0" fillId="0" borderId="14" xfId="0" applyFont="1" applyBorder="1" applyNumberFormat="1">
      <alignment horizontal="center" vertical="top"/>
    </xf>
    <xf numFmtId="49" fontId="0" fillId="0" borderId="14" xfId="0" applyFont="1" applyBorder="1" applyNumberFormat="1">
      <alignment vertical="top"/>
    </xf>
    <xf numFmtId="0" fontId="23" fillId="0" borderId="14" xfId="0" applyFont="1" applyBorder="1" applyNumberFormat="1">
      <alignment horizontal="left" vertical="top" wrapText="1"/>
    </xf>
    <xf numFmtId="49" fontId="0" fillId="0" borderId="14" xfId="0" applyFont="1" applyBorder="1" applyNumberFormat="1">
      <alignment horizontal="left" vertical="top"/>
    </xf>
    <xf numFmtId="0" fontId="23" fillId="43" borderId="19" xfId="0" applyFont="1" applyFill="1" applyBorder="1" applyNumberFormat="1">
      <alignment horizontal="center" vertical="top" wrapText="1"/>
    </xf>
    <xf numFmtId="0" fontId="23" fillId="43" borderId="38" xfId="0" applyFont="1" applyFill="1" applyBorder="1" applyNumberFormat="1">
      <alignment horizontal="center" vertical="top" wrapText="1"/>
    </xf>
    <xf numFmtId="0" fontId="23" fillId="43" borderId="25" xfId="0" applyFont="1" applyFill="1" applyBorder="1" applyNumberFormat="1">
      <alignment horizontal="center" vertical="top" wrapText="1"/>
    </xf>
    <xf numFmtId="0" fontId="0" fillId="0" borderId="39" xfId="0" applyFont="1" applyBorder="1" applyNumberFormat="1">
      <alignment horizontal="center" vertical="center"/>
    </xf>
    <xf numFmtId="0" fontId="0" fillId="0" borderId="24" xfId="0" applyFont="1" applyBorder="1" applyNumberFormat="1">
      <alignment horizontal="center" vertical="center"/>
    </xf>
    <xf numFmtId="0" fontId="0" fillId="0" borderId="21" xfId="0" applyFont="1" applyBorder="1" applyNumberFormat="1">
      <alignment horizontal="center" vertical="center"/>
    </xf>
    <xf numFmtId="0" fontId="0" fillId="0" borderId="0" xfId="0" applyFont="1" applyNumberFormat="1">
      <alignment horizontal="center" vertical="center"/>
    </xf>
    <xf numFmtId="49" fontId="23" fillId="0" borderId="21" xfId="0" applyFont="1" applyBorder="1" applyNumberFormat="1">
      <alignment horizontal="left" vertical="center" wrapText="1"/>
    </xf>
    <xf numFmtId="49" fontId="23" fillId="0" borderId="0" xfId="0" applyFont="1" applyNumberFormat="1">
      <alignment horizontal="left" vertical="center" wrapText="1"/>
    </xf>
    <xf numFmtId="49" fontId="0" fillId="0" borderId="0" xfId="0" applyFont="1" applyNumberFormat="1">
      <alignment horizontal="left" vertical="top"/>
    </xf>
    <xf numFmtId="0" fontId="0" fillId="0" borderId="0" xfId="0" applyFont="1" applyNumberFormat="1" quotePrefix="1">
      <alignment horizontal="left" vertical="top" wrapText="1" indent="1"/>
    </xf>
    <xf numFmtId="0" fontId="0" fillId="0" borderId="0" xfId="0" applyFont="1" applyNumberFormat="1">
      <alignment horizontal="left" vertical="top" wrapText="1" indent="1"/>
    </xf>
    <xf numFmtId="0" fontId="0" fillId="0" borderId="0" xfId="0" applyFont="1" applyNumberFormat="1">
      <alignment horizontal="left" vertical="top" wrapText="1"/>
    </xf>
    <xf numFmtId="0" fontId="0" fillId="0" borderId="19" xfId="0" applyFont="1" applyBorder="1" applyNumberFormat="1">
      <alignment horizontal="center" vertical="top"/>
    </xf>
    <xf numFmtId="0" fontId="0" fillId="0" borderId="38" xfId="0" applyFont="1" applyBorder="1" applyNumberFormat="1">
      <alignment horizontal="center" vertical="top"/>
    </xf>
    <xf numFmtId="0" fontId="0" fillId="0" borderId="25" xfId="0" applyFont="1" applyBorder="1" applyNumberFormat="1">
      <alignment horizontal="center" vertical="top"/>
    </xf>
    <xf numFmtId="0" fontId="23" fillId="0" borderId="19" xfId="0" applyFont="1" applyBorder="1" applyNumberFormat="1">
      <alignment horizontal="left" vertical="top" wrapText="1"/>
    </xf>
    <xf numFmtId="0" fontId="23" fillId="0" borderId="38" xfId="0" applyFont="1" applyBorder="1" applyNumberFormat="1">
      <alignment horizontal="left" vertical="top" wrapText="1"/>
    </xf>
    <xf numFmtId="0" fontId="23" fillId="0" borderId="25" xfId="0" applyFont="1" applyBorder="1" applyNumberFormat="1">
      <alignment horizontal="left" vertical="top" wrapText="1"/>
    </xf>
    <xf numFmtId="49" fontId="55" fillId="37" borderId="29" xfId="0" applyFont="1" applyFill="1" applyBorder="1" applyNumberFormat="1">
      <alignment horizontal="center" vertical="center" wrapText="1"/>
    </xf>
    <xf numFmtId="0" fontId="23" fillId="0" borderId="22" xfId="0" applyFont="1" applyBorder="1" applyNumberFormat="1">
      <alignment horizontal="left" vertical="top" wrapText="1" indent="1"/>
    </xf>
    <xf numFmtId="0" fontId="23" fillId="0" borderId="19" xfId="0" applyFont="1" applyBorder="1" applyNumberFormat="1">
      <alignment horizontal="left" vertical="top" wrapText="1" indent="1"/>
    </xf>
    <xf numFmtId="0" fontId="23" fillId="0" borderId="39" xfId="0" applyFont="1" applyBorder="1" applyNumberFormat="1">
      <alignment horizontal="left" vertical="top" wrapText="1" indent="1"/>
    </xf>
    <xf numFmtId="0" fontId="77" fillId="0" borderId="26" xfId="0" applyFont="1" applyBorder="1" applyNumberFormat="1">
      <alignment horizontal="left" vertical="center" wrapText="1" indent="1"/>
    </xf>
    <xf numFmtId="0" fontId="77" fillId="0" borderId="38" xfId="0" applyFont="1" applyBorder="1" applyNumberFormat="1">
      <alignment horizontal="left" vertical="center" wrapText="1" indent="1"/>
    </xf>
    <xf numFmtId="0" fontId="77" fillId="0" borderId="24" xfId="0" applyFont="1" applyBorder="1" applyNumberFormat="1">
      <alignment horizontal="left" vertical="center" wrapText="1" indent="1"/>
    </xf>
    <xf numFmtId="0" fontId="23" fillId="0" borderId="29" xfId="0" applyFont="1" applyBorder="1" applyNumberFormat="1">
      <alignment horizontal="left" vertical="center" indent="1"/>
    </xf>
    <xf numFmtId="0" fontId="0" fillId="0" borderId="14" xfId="0" applyFont="1" applyBorder="1" applyNumberFormat="1">
      <alignment horizontal="center" vertical="center" wrapText="1"/>
    </xf>
    <xf numFmtId="0" fontId="23" fillId="0" borderId="21" xfId="0" applyFont="1" applyBorder="1" applyNumberFormat="1">
      <alignment horizontal="left" vertical="center" wrapText="1" indent="1"/>
    </xf>
    <xf numFmtId="0" fontId="23" fillId="0" borderId="19" xfId="0" applyFont="1" applyBorder="1" applyNumberFormat="1">
      <alignment horizontal="center" vertical="center" wrapText="1"/>
    </xf>
    <xf numFmtId="0" fontId="23" fillId="0" borderId="39" xfId="0" applyFont="1" applyBorder="1" applyNumberFormat="1">
      <alignment horizontal="center" vertical="center" wrapText="1"/>
    </xf>
    <xf numFmtId="0" fontId="23" fillId="0" borderId="22" xfId="0" applyFont="1" applyBorder="1" applyNumberFormat="1">
      <alignment horizontal="center" vertical="center" wrapText="1"/>
    </xf>
    <xf numFmtId="0" fontId="23" fillId="0" borderId="24" xfId="0" applyFont="1" applyBorder="1" applyNumberFormat="1">
      <alignment horizontal="center" vertical="center" wrapText="1"/>
    </xf>
    <xf numFmtId="0" fontId="23" fillId="0" borderId="26" xfId="0" applyFont="1" applyBorder="1" applyNumberFormat="1">
      <alignment horizontal="center" vertical="center" wrapText="1"/>
    </xf>
    <xf numFmtId="0" fontId="23" fillId="0" borderId="19" xfId="0" applyFont="1" applyBorder="1" applyNumberFormat="1">
      <alignment horizontal="center" vertical="center" wrapText="1"/>
    </xf>
    <xf numFmtId="0" fontId="23" fillId="0" borderId="17" xfId="0" applyFont="1" applyBorder="1" applyNumberFormat="1">
      <alignment horizontal="center" vertical="center" wrapText="1"/>
    </xf>
    <xf numFmtId="0" fontId="23" fillId="0" borderId="14" xfId="0" applyFont="1" applyBorder="1" applyNumberFormat="1">
      <alignment horizontal="center" vertical="center" wrapText="1"/>
    </xf>
    <xf numFmtId="0" fontId="23" fillId="0" borderId="38" xfId="0" applyFont="1" applyBorder="1" applyNumberFormat="1">
      <alignment horizontal="center" vertical="center" wrapText="1"/>
    </xf>
    <xf numFmtId="0" fontId="23" fillId="0" borderId="32" xfId="0" applyFont="1" applyBorder="1" applyNumberFormat="1">
      <alignment horizontal="center" vertical="center" wrapText="1"/>
    </xf>
    <xf numFmtId="0" fontId="23" fillId="0" borderId="31" xfId="0" applyFont="1" applyBorder="1" applyNumberFormat="1">
      <alignment horizontal="center" vertical="center" wrapText="1"/>
    </xf>
    <xf numFmtId="49" fontId="23" fillId="0" borderId="14" xfId="0" applyFont="1" applyBorder="1" applyNumberFormat="1">
      <alignment horizontal="center" vertical="center"/>
    </xf>
    <xf numFmtId="49" fontId="23" fillId="0" borderId="19" xfId="0" applyFont="1" applyBorder="1" applyNumberFormat="1">
      <alignment horizontal="center" vertical="center"/>
    </xf>
    <xf numFmtId="0" fontId="23" fillId="0" borderId="14" xfId="0" applyFont="1" applyBorder="1" applyNumberFormat="1">
      <alignment horizontal="left" vertical="center" wrapText="1"/>
    </xf>
    <xf numFmtId="0" fontId="23" fillId="0" borderId="19" xfId="0" applyFont="1" applyBorder="1" applyNumberFormat="1">
      <alignment horizontal="left" vertical="center" wrapText="1"/>
    </xf>
    <xf numFmtId="0" fontId="23" fillId="0" borderId="39" xfId="0" applyFont="1" applyBorder="1" applyNumberFormat="1">
      <alignment horizontal="left" vertical="center" wrapText="1"/>
    </xf>
    <xf numFmtId="49" fontId="23" fillId="43" borderId="19" xfId="0" applyFont="1" applyFill="1" applyBorder="1" applyNumberFormat="1">
      <alignment horizontal="center" vertical="center" wrapText="1"/>
    </xf>
    <xf numFmtId="49" fontId="23" fillId="43" borderId="38" xfId="0" applyFont="1" applyFill="1" applyBorder="1" applyNumberFormat="1">
      <alignment horizontal="center" vertical="center" wrapText="1"/>
    </xf>
    <xf numFmtId="0" fontId="23" fillId="0" borderId="21" xfId="0" applyFont="1" applyBorder="1" applyNumberFormat="1">
      <alignment horizontal="center" vertical="center"/>
    </xf>
    <xf numFmtId="0" fontId="23" fillId="0" borderId="0" xfId="0" applyFont="1" applyNumberFormat="1">
      <alignment horizontal="center" vertical="center"/>
    </xf>
    <xf numFmtId="0" fontId="48" fillId="0" borderId="29" xfId="0" applyFont="1" applyBorder="1" applyNumberFormat="1">
      <alignment horizontal="left" vertical="center"/>
    </xf>
    <xf numFmtId="0" fontId="48" fillId="0" borderId="31" xfId="0" applyFont="1" applyBorder="1" applyNumberFormat="1">
      <alignment horizontal="left" vertical="center"/>
    </xf>
    <xf numFmtId="0" fontId="48" fillId="0" borderId="0" xfId="0" applyFont="1" applyNumberFormat="1">
      <alignment horizontal="left" vertical="center"/>
    </xf>
    <xf numFmtId="0" fontId="48" fillId="0" borderId="26" xfId="0" applyFont="1" applyBorder="1" applyNumberFormat="1">
      <alignment horizontal="left" vertical="center"/>
    </xf>
    <xf numFmtId="0" fontId="23" fillId="0" borderId="16" xfId="0" applyFont="1" applyBorder="1" applyNumberFormat="1">
      <alignment horizontal="left" vertical="center" wrapText="1"/>
    </xf>
    <xf numFmtId="0" fontId="23" fillId="0" borderId="29" xfId="0" applyFont="1" applyBorder="1" applyNumberFormat="1">
      <alignment horizontal="left" vertical="center" wrapText="1" indent="1"/>
    </xf>
    <xf numFmtId="49" fontId="23" fillId="37" borderId="0" xfId="0" applyFont="1" applyFill="1" applyNumberFormat="1">
      <alignment horizontal="center" vertical="center" wrapText="1"/>
    </xf>
    <xf numFmtId="0" fontId="53" fillId="0" borderId="0" xfId="0" applyFont="1" applyNumberFormat="1">
      <alignment horizontal="right" vertical="top" wrapText="1"/>
    </xf>
    <xf numFmtId="49" fontId="0" fillId="37" borderId="14" xfId="0" applyFont="1" applyFill="1" applyBorder="1" applyNumberFormat="1">
      <alignment horizontal="center" vertical="center" wrapText="1"/>
    </xf>
    <xf numFmtId="49" fontId="23" fillId="37" borderId="14" xfId="0" applyFont="1" applyFill="1" applyBorder="1" applyNumberFormat="1">
      <alignment horizontal="center" vertical="center" wrapText="1"/>
    </xf>
    <xf numFmtId="0" fontId="53" fillId="0" borderId="0" xfId="0" applyFont="1" applyNumberFormat="1">
      <alignment horizontal="left" vertical="top" wrapText="1" indent="1"/>
    </xf>
    <xf numFmtId="0" fontId="98" fillId="37" borderId="0" xfId="0" applyFont="1" applyFill="1" applyNumberFormat="1">
      <alignment horizontal="left" vertical="center" wrapText="1"/>
    </xf>
    <xf numFmtId="0" fontId="0" fillId="37" borderId="14" xfId="0" applyFont="1" applyFill="1" applyBorder="1" applyNumberFormat="1">
      <alignment horizontal="center" vertical="center" wrapText="1"/>
    </xf>
    <xf numFmtId="0" fontId="23" fillId="37" borderId="14" xfId="0" applyFont="1" applyFill="1" applyBorder="1" applyNumberFormat="1">
      <alignment horizontal="center" vertical="center" wrapText="1"/>
    </xf>
    <xf numFmtId="0" fontId="23" fillId="37" borderId="19" xfId="0" applyFont="1" applyFill="1" applyBorder="1" applyNumberFormat="1">
      <alignment horizontal="left" vertical="top" wrapText="1"/>
    </xf>
    <xf numFmtId="0" fontId="23" fillId="37" borderId="38" xfId="0" applyFont="1" applyFill="1" applyBorder="1" applyNumberFormat="1">
      <alignment horizontal="left" vertical="top" wrapText="1"/>
    </xf>
    <xf numFmtId="0" fontId="23" fillId="37" borderId="25" xfId="0" applyFont="1" applyFill="1" applyBorder="1" applyNumberFormat="1">
      <alignment horizontal="left" vertical="top" wrapText="1"/>
    </xf>
    <xf numFmtId="0" fontId="23" fillId="37" borderId="26" xfId="0" applyFont="1" applyFill="1" applyBorder="1" applyNumberFormat="1">
      <alignment horizontal="center" vertical="center" wrapText="1"/>
    </xf>
    <xf numFmtId="0" fontId="0" fillId="0" borderId="14" xfId="0" applyFont="1" applyBorder="1" applyNumberFormat="1">
      <alignment horizontal="center" vertical="center" wrapText="1"/>
    </xf>
    <xf numFmtId="0" fontId="0" fillId="0" borderId="16" xfId="0" applyFont="1" applyBorder="1" applyNumberFormat="1">
      <alignment horizontal="center" vertical="center" wrapText="1"/>
    </xf>
    <xf numFmtId="0" fontId="0" fillId="0" borderId="19" xfId="0" applyFont="1" applyBorder="1" applyNumberFormat="1">
      <alignment horizontal="center" vertical="center" wrapText="1"/>
    </xf>
    <xf numFmtId="0" fontId="0" fillId="0" borderId="25" xfId="0" applyFont="1" applyBorder="1" applyNumberFormat="1">
      <alignment horizontal="center" vertical="center" wrapText="1"/>
    </xf>
    <xf numFmtId="0" fontId="0" fillId="0" borderId="22" xfId="0" applyFont="1" applyBorder="1" applyNumberFormat="1">
      <alignment horizontal="center" vertical="center" wrapText="1"/>
    </xf>
    <xf numFmtId="0" fontId="0" fillId="0" borderId="31" xfId="0" applyFont="1" applyBorder="1" applyNumberFormat="1">
      <alignment horizontal="center" vertical="center" wrapText="1"/>
    </xf>
    <xf numFmtId="0" fontId="0" fillId="0" borderId="19" xfId="0" applyFont="1" applyBorder="1" applyNumberFormat="1">
      <alignment horizontal="center" vertical="center" wrapText="1"/>
    </xf>
    <xf numFmtId="0" fontId="0" fillId="0" borderId="25" xfId="0" applyFont="1" applyBorder="1" applyNumberFormat="1">
      <alignment horizontal="center" vertical="center" wrapText="1"/>
    </xf>
    <xf numFmtId="0" fontId="0" fillId="0" borderId="39" xfId="0" applyFont="1" applyBorder="1" applyNumberFormat="1">
      <alignment horizontal="center" vertical="center" wrapText="1"/>
    </xf>
    <xf numFmtId="0" fontId="0" fillId="0" borderId="32" xfId="0" applyFont="1" applyBorder="1" applyNumberFormat="1">
      <alignment horizontal="center" vertical="center" wrapText="1"/>
    </xf>
    <xf numFmtId="0" fontId="0" fillId="0" borderId="19" xfId="0" applyFont="1" applyBorder="1" applyNumberFormat="1">
      <alignment horizontal="left" vertical="top" wrapText="1"/>
    </xf>
    <xf numFmtId="0" fontId="0" fillId="0" borderId="25" xfId="0" applyFont="1" applyBorder="1" applyNumberFormat="1">
      <alignment horizontal="left" vertical="top" wrapText="1"/>
    </xf>
    <xf numFmtId="0" fontId="23" fillId="0" borderId="31" xfId="0" applyFont="1" applyBorder="1" applyNumberFormat="1">
      <alignment horizontal="left" vertical="center" wrapText="1" indent="1"/>
    </xf>
    <xf numFmtId="0" fontId="23" fillId="0" borderId="25" xfId="0" applyFont="1" applyBorder="1" applyNumberFormat="1">
      <alignment horizontal="left" vertical="center" wrapText="1" indent="1"/>
    </xf>
    <xf numFmtId="0" fontId="23" fillId="0" borderId="32" xfId="0" applyFont="1" applyBorder="1" applyNumberFormat="1">
      <alignment horizontal="left" vertical="center" wrapText="1" indent="1"/>
    </xf>
    <xf numFmtId="0" fontId="54" fillId="0" borderId="0" xfId="0" applyFont="1" applyNumberFormat="1">
      <alignment horizontal="center" vertical="center" wrapText="1"/>
    </xf>
    <xf numFmtId="0" fontId="0" fillId="0" borderId="17" xfId="0" applyFont="1" applyBorder="1" applyNumberFormat="1">
      <alignment horizontal="center" vertical="center" wrapText="1"/>
    </xf>
    <xf numFmtId="0" fontId="0" fillId="0" borderId="15" xfId="0" applyFont="1" applyBorder="1" applyNumberFormat="1">
      <alignment horizontal="center" vertical="center" wrapText="1"/>
    </xf>
    <xf numFmtId="0" fontId="23" fillId="0" borderId="21" xfId="0" applyFont="1" applyBorder="1" applyNumberFormat="1">
      <alignment horizontal="left" vertical="top" wrapText="1" indent="1"/>
    </xf>
    <xf numFmtId="49" fontId="0" fillId="0" borderId="39" xfId="0" applyFont="1" applyBorder="1" applyNumberFormat="1">
      <alignment horizontal="center" vertical="center" wrapText="1"/>
    </xf>
    <xf numFmtId="49" fontId="0" fillId="0" borderId="32" xfId="0" applyFont="1" applyBorder="1" applyNumberFormat="1">
      <alignment horizontal="center" vertical="center" wrapText="1"/>
    </xf>
    <xf numFmtId="0" fontId="23" fillId="43" borderId="21" xfId="0" applyFont="1" applyFill="1" applyBorder="1" applyNumberFormat="1">
      <alignment horizontal="left" vertical="center" wrapText="1"/>
    </xf>
    <xf numFmtId="0" fontId="23" fillId="43" borderId="29" xfId="0" applyFont="1" applyFill="1" applyBorder="1" applyNumberFormat="1">
      <alignment horizontal="left" vertical="center" wrapText="1"/>
    </xf>
    <xf numFmtId="0" fontId="23" fillId="0" borderId="25" xfId="0" applyFont="1" applyBorder="1" applyNumberFormat="1">
      <alignment horizontal="center" vertical="center" wrapText="1"/>
    </xf>
    <xf numFmtId="0" fontId="23" fillId="0" borderId="22" xfId="0" applyFont="1" applyBorder="1" applyNumberFormat="1">
      <alignment horizontal="left" vertical="center" wrapText="1" indent="1"/>
    </xf>
    <xf numFmtId="0" fontId="23" fillId="0" borderId="19" xfId="0" applyFont="1" applyBorder="1" applyNumberFormat="1">
      <alignment horizontal="left" vertical="center" wrapText="1" indent="1"/>
    </xf>
    <xf numFmtId="0" fontId="23" fillId="0" borderId="39" xfId="0" applyFont="1" applyBorder="1" applyNumberFormat="1">
      <alignment horizontal="left" vertical="center" wrapText="1" indent="1"/>
    </xf>
    <xf numFmtId="0" fontId="0" fillId="0" borderId="38" xfId="0" applyFont="1" applyBorder="1" applyNumberFormat="1">
      <alignment horizontal="left" vertical="top" wrapText="1"/>
    </xf>
    <xf numFmtId="0" fontId="23" fillId="43" borderId="16" xfId="0" applyFont="1" applyFill="1" applyBorder="1" applyNumberFormat="1">
      <alignment horizontal="left" vertical="center" wrapText="1"/>
    </xf>
    <xf numFmtId="0" fontId="23" fillId="43" borderId="17" xfId="0" applyFont="1" applyFill="1" applyBorder="1" applyNumberFormat="1">
      <alignment horizontal="left" vertical="center" wrapText="1"/>
    </xf>
    <xf numFmtId="0" fontId="23" fillId="43" borderId="15" xfId="0" applyFont="1" applyFill="1" applyBorder="1" applyNumberFormat="1">
      <alignment horizontal="left" vertical="center" wrapText="1"/>
    </xf>
    <xf numFmtId="0" fontId="0" fillId="37" borderId="14" xfId="0" applyFont="1" applyFill="1" applyBorder="1" applyNumberFormat="1">
      <alignment horizontal="right" vertical="center" wrapText="1" indent="1"/>
    </xf>
    <xf numFmtId="167" fontId="23" fillId="38" borderId="14" xfId="0" applyFont="1" applyFill="1" applyBorder="1" applyNumberFormat="1">
      <alignment horizontal="left" vertical="center" wrapText="1" indent="1"/>
    </xf>
    <xf numFmtId="0" fontId="23" fillId="38" borderId="14" xfId="0" applyFont="1" applyFill="1" applyBorder="1" applyNumberFormat="1">
      <alignment horizontal="left" vertical="center" wrapText="1" indent="1"/>
    </xf>
    <xf numFmtId="0" fontId="23" fillId="38" borderId="16" xfId="0" applyFont="1" applyFill="1" applyBorder="1" applyNumberFormat="1">
      <alignment horizontal="left" vertical="center" wrapText="1"/>
    </xf>
    <xf numFmtId="0" fontId="23" fillId="38" borderId="17" xfId="0" applyFont="1" applyFill="1" applyBorder="1" applyNumberFormat="1">
      <alignment horizontal="left" vertical="center" wrapText="1"/>
    </xf>
    <xf numFmtId="0" fontId="23" fillId="38" borderId="15" xfId="0" applyFont="1" applyFill="1" applyBorder="1" applyNumberFormat="1">
      <alignment horizontal="left" vertical="center" wrapText="1"/>
    </xf>
    <xf numFmtId="49" fontId="54" fillId="0" borderId="14" xfId="0" applyFont="1" applyBorder="1" applyNumberFormat="1">
      <alignment horizontal="center" vertical="center" wrapText="1"/>
    </xf>
    <xf numFmtId="167" fontId="54" fillId="0" borderId="14" xfId="0" applyFont="1" applyBorder="1" applyNumberFormat="1">
      <alignment horizontal="center" vertical="center" wrapText="1"/>
    </xf>
    <xf numFmtId="0" fontId="23" fillId="0" borderId="0" xfId="0" applyFont="1" applyNumberFormat="1">
      <alignment horizontal="left" vertical="top" wrapText="1"/>
    </xf>
    <xf numFmtId="0" fontId="54" fillId="0" borderId="14" xfId="0" applyFont="1" applyBorder="1" applyNumberFormat="1">
      <alignment horizontal="center" vertical="center"/>
    </xf>
    <xf numFmtId="0" fontId="54" fillId="0" borderId="16" xfId="0" applyFont="1" applyBorder="1" applyNumberFormat="1">
      <alignment horizontal="center" vertical="center"/>
    </xf>
    <xf numFmtId="0" fontId="54" fillId="0" borderId="14" xfId="0" applyFont="1" applyBorder="1" applyNumberFormat="1">
      <alignment horizontal="center" vertical="center" wrapText="1"/>
    </xf>
    <xf numFmtId="0" fontId="54" fillId="0" borderId="16" xfId="0" applyFont="1" applyBorder="1" applyNumberFormat="1">
      <alignment horizontal="center" vertical="center" wrapText="1"/>
    </xf>
    <xf numFmtId="0" fontId="55" fillId="0" borderId="0" xfId="0" applyFont="1" applyNumberFormat="1">
      <alignment horizontal="center" vertical="center" wrapText="1"/>
    </xf>
    <xf numFmtId="167" fontId="0" fillId="42" borderId="14" xfId="0" applyFont="1" applyFill="1" applyBorder="1" applyNumberFormat="1">
      <alignment horizontal="center" vertical="center" wrapText="1"/>
      <protection locked="0"/>
    </xf>
    <xf numFmtId="49" fontId="0" fillId="42" borderId="14" xfId="0" applyFont="1" applyFill="1" applyBorder="1" applyNumberFormat="1">
      <alignment horizontal="center" vertical="center" wrapText="1"/>
      <protection locked="0"/>
    </xf>
    <xf numFmtId="167" fontId="0" fillId="42" borderId="19" xfId="0" applyFont="1" applyFill="1" applyBorder="1" applyNumberFormat="1">
      <alignment horizontal="center" vertical="center" wrapText="1"/>
      <protection locked="0"/>
    </xf>
    <xf numFmtId="49" fontId="0" fillId="42" borderId="25" xfId="0" applyFont="1" applyFill="1" applyBorder="1" applyNumberFormat="1">
      <alignment horizontal="center" vertical="center" wrapText="1"/>
      <protection locked="0"/>
    </xf>
    <xf numFmtId="0" fontId="54" fillId="0" borderId="19" xfId="0" applyFont="1" applyBorder="1" applyNumberFormat="1">
      <alignment horizontal="center" vertical="center" wrapText="1"/>
    </xf>
    <xf numFmtId="0" fontId="54" fillId="0" borderId="25" xfId="0" applyFont="1" applyBorder="1" applyNumberFormat="1">
      <alignment horizontal="center" vertical="center" wrapText="1"/>
    </xf>
    <xf numFmtId="0" fontId="23" fillId="0" borderId="16" xfId="0" applyFont="1" applyBorder="1" applyNumberFormat="1">
      <alignment horizontal="center" vertical="center" wrapText="1"/>
    </xf>
    <xf numFmtId="0" fontId="23" fillId="0" borderId="17" xfId="0" applyFont="1" applyBorder="1" applyNumberFormat="1">
      <alignment horizontal="center" vertical="center" wrapText="1"/>
    </xf>
    <xf numFmtId="0" fontId="23" fillId="0" borderId="15" xfId="0" applyFont="1" applyBorder="1" applyNumberFormat="1">
      <alignment horizontal="center" vertical="center" wrapText="1"/>
    </xf>
    <xf numFmtId="0" fontId="0" fillId="0" borderId="16" xfId="0" applyFont="1" applyBorder="1" applyNumberFormat="1">
      <alignment horizontal="center" vertical="center" wrapText="1"/>
    </xf>
    <xf numFmtId="0" fontId="0" fillId="0" borderId="15" xfId="0" applyFont="1" applyBorder="1" applyNumberFormat="1">
      <alignment horizontal="center" vertical="center" wrapText="1"/>
    </xf>
    <xf numFmtId="0" fontId="85" fillId="37" borderId="21" xfId="0" applyFont="1" applyFill="1" applyBorder="1" applyNumberFormat="1">
      <alignment horizontal="center" vertical="center" wrapText="1"/>
    </xf>
    <xf numFmtId="0" fontId="45" fillId="0" borderId="29" xfId="0" applyFont="1" applyBorder="1" applyNumberFormat="1">
      <alignment horizontal="center" vertical="center" wrapText="1"/>
    </xf>
    <xf numFmtId="0" fontId="23" fillId="37" borderId="14" xfId="0" applyFont="1" applyFill="1" applyBorder="1" applyNumberFormat="1">
      <alignment horizontal="left" vertical="center" wrapText="1"/>
    </xf>
    <xf numFmtId="0" fontId="0" fillId="37" borderId="16" xfId="0" applyFont="1" applyFill="1" applyBorder="1" applyNumberFormat="1">
      <alignment horizontal="center" vertical="center" wrapText="1"/>
    </xf>
    <xf numFmtId="0" fontId="0" fillId="37" borderId="17" xfId="0" applyFont="1" applyFill="1" applyBorder="1" applyNumberFormat="1">
      <alignment horizontal="center" vertical="center" wrapText="1"/>
    </xf>
    <xf numFmtId="0" fontId="0" fillId="37" borderId="15" xfId="0" applyFont="1" applyFill="1" applyBorder="1" applyNumberFormat="1">
      <alignment horizontal="center" vertical="center" wrapText="1"/>
    </xf>
    <xf numFmtId="0" fontId="23" fillId="37" borderId="19" xfId="0" applyFont="1" applyFill="1" applyBorder="1" applyNumberFormat="1">
      <alignment horizontal="center" vertical="center" wrapText="1"/>
    </xf>
    <xf numFmtId="0" fontId="23" fillId="37" borderId="38" xfId="0" applyFont="1" applyFill="1" applyBorder="1" applyNumberFormat="1">
      <alignment horizontal="center" vertical="center" wrapText="1"/>
    </xf>
    <xf numFmtId="0" fontId="23" fillId="37" borderId="25" xfId="0" applyFont="1" applyFill="1" applyBorder="1" applyNumberFormat="1">
      <alignment horizontal="center" vertical="center" wrapText="1"/>
    </xf>
    <xf numFmtId="49" fontId="48" fillId="40" borderId="19" xfId="0" applyFont="1" applyFill="1" applyBorder="1" applyNumberFormat="1">
      <alignment horizontal="center" vertical="center" textRotation="90" wrapText="1"/>
    </xf>
    <xf numFmtId="49" fontId="48" fillId="40" borderId="38" xfId="0" applyFont="1" applyFill="1" applyBorder="1" applyNumberFormat="1">
      <alignment horizontal="center" vertical="center" textRotation="90" wrapText="1"/>
    </xf>
    <xf numFmtId="49" fontId="48" fillId="40" borderId="25" xfId="0" applyFont="1" applyFill="1" applyBorder="1" applyNumberFormat="1">
      <alignment horizontal="center" vertical="center" textRotation="90" wrapText="1"/>
    </xf>
    <xf numFmtId="0" fontId="23" fillId="0" borderId="19" xfId="0" applyFont="1" applyBorder="1" applyNumberFormat="1">
      <alignment horizontal="center" vertical="center" wrapText="1"/>
    </xf>
    <xf numFmtId="0" fontId="23" fillId="0" borderId="25" xfId="0" applyFont="1" applyBorder="1" applyNumberFormat="1">
      <alignment horizontal="center" vertical="center" wrapText="1"/>
    </xf>
    <xf numFmtId="0" fontId="53" fillId="0" borderId="19" xfId="0" applyFont="1" applyBorder="1" applyNumberFormat="1">
      <alignment horizontal="left" vertical="top" wrapText="1"/>
    </xf>
    <xf numFmtId="0" fontId="53" fillId="0" borderId="38" xfId="0" applyFont="1" applyBorder="1" applyNumberFormat="1">
      <alignment horizontal="left" vertical="top" wrapText="1"/>
    </xf>
    <xf numFmtId="0" fontId="53" fillId="0" borderId="25" xfId="0" applyFont="1" applyBorder="1" applyNumberFormat="1">
      <alignment horizontal="left" vertical="top" wrapText="1"/>
    </xf>
    <xf numFmtId="0" fontId="23" fillId="0" borderId="21" xfId="0" applyFont="1" applyBorder="1" applyNumberFormat="1">
      <alignment horizontal="left" vertical="top" wrapText="1" indent="1"/>
    </xf>
    <xf numFmtId="0" fontId="23" fillId="0" borderId="29" xfId="0" applyFont="1" applyBorder="1" applyNumberFormat="1">
      <alignment horizontal="left" vertical="center" wrapText="1" indent="1"/>
    </xf>
    <xf numFmtId="0" fontId="23" fillId="0" borderId="14" xfId="0" applyFont="1" applyBorder="1" applyNumberFormat="1">
      <alignment horizontal="center" vertical="center"/>
    </xf>
    <xf numFmtId="0" fontId="23" fillId="0" borderId="16" xfId="0" applyFont="1" applyBorder="1" applyNumberFormat="1">
      <alignment horizontal="center" vertical="center"/>
    </xf>
    <xf numFmtId="0" fontId="55" fillId="0" borderId="19" xfId="0" applyFont="1" applyBorder="1" applyNumberFormat="1">
      <alignment horizontal="center" vertical="center" wrapText="1"/>
    </xf>
    <xf numFmtId="0" fontId="55" fillId="0" borderId="25" xfId="0" applyFont="1" applyBorder="1" applyNumberFormat="1">
      <alignment horizontal="center" vertical="center" wrapText="1"/>
    </xf>
    <xf numFmtId="0" fontId="23" fillId="0" borderId="39" xfId="0" applyFont="1" applyBorder="1" applyNumberFormat="1">
      <alignment horizontal="center" vertical="center" wrapText="1"/>
    </xf>
    <xf numFmtId="0" fontId="23" fillId="0" borderId="32" xfId="0" applyFont="1" applyBorder="1" applyNumberFormat="1">
      <alignment horizontal="center" vertical="center" wrapText="1"/>
    </xf>
    <xf numFmtId="0" fontId="0" fillId="37" borderId="21" xfId="0" applyFont="1" applyFill="1" applyBorder="1" applyNumberFormat="1">
      <alignment horizontal="center" vertical="center" wrapText="1"/>
    </xf>
    <xf numFmtId="0" fontId="55" fillId="0" borderId="16" xfId="0" applyFont="1" applyBorder="1" applyNumberFormat="1">
      <alignment horizontal="left" vertical="center" wrapText="1"/>
    </xf>
    <xf numFmtId="0" fontId="55" fillId="0" borderId="17" xfId="0" applyFont="1" applyBorder="1" applyNumberFormat="1">
      <alignment horizontal="left" vertical="center" wrapText="1"/>
    </xf>
    <xf numFmtId="0" fontId="55" fillId="0" borderId="15" xfId="0" applyFont="1" applyBorder="1" applyNumberFormat="1">
      <alignment horizontal="left" vertical="center" wrapText="1"/>
    </xf>
    <xf numFmtId="0" fontId="0" fillId="0" borderId="0" xfId="0" applyFont="1" applyNumberFormat="1">
      <alignment horizontal="left" vertical="top" wrapText="1"/>
    </xf>
    <xf numFmtId="0" fontId="23" fillId="0" borderId="21" xfId="0" applyFont="1" applyBorder="1" applyNumberFormat="1">
      <alignment horizontal="left" vertical="center" wrapText="1" indent="1"/>
    </xf>
    <xf numFmtId="49" fontId="0" fillId="42" borderId="14" xfId="0" applyFont="1" applyFill="1" applyBorder="1" applyNumberFormat="1">
      <alignment horizontal="center" vertical="center" wrapText="1"/>
      <protection locked="0"/>
    </xf>
    <xf numFmtId="0" fontId="23" fillId="0" borderId="14" xfId="0" applyFont="1" applyBorder="1" applyNumberFormat="1">
      <alignment horizontal="center" vertical="center" wrapText="1"/>
    </xf>
    <xf numFmtId="0" fontId="0" fillId="0" borderId="19" xfId="0" applyFont="1" applyBorder="1" applyNumberFormat="1">
      <alignment horizontal="center" vertical="center" wrapText="1"/>
    </xf>
    <xf numFmtId="0" fontId="0" fillId="0" borderId="38" xfId="0" applyFont="1" applyBorder="1" applyNumberFormat="1">
      <alignment horizontal="center" vertical="center" wrapText="1"/>
    </xf>
    <xf numFmtId="0" fontId="0" fillId="0" borderId="25"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39" xfId="0" applyFont="1" applyBorder="1" applyNumberFormat="1">
      <alignment horizontal="center" vertical="center" wrapText="1"/>
    </xf>
    <xf numFmtId="0" fontId="0" fillId="0" borderId="22" xfId="0" applyFont="1" applyBorder="1" applyNumberFormat="1">
      <alignment horizontal="center" vertical="center" wrapText="1"/>
    </xf>
    <xf numFmtId="0" fontId="0" fillId="0" borderId="32" xfId="0" applyFont="1" applyBorder="1" applyNumberFormat="1">
      <alignment horizontal="center" vertical="center" wrapText="1"/>
    </xf>
    <xf numFmtId="0" fontId="0" fillId="0" borderId="31" xfId="0" applyFont="1" applyBorder="1" applyNumberFormat="1">
      <alignment horizontal="center" vertical="center" wrapText="1"/>
    </xf>
    <xf numFmtId="0" fontId="23" fillId="0" borderId="21" xfId="0" applyFont="1" applyBorder="1" applyNumberFormat="1">
      <alignment horizontal="center" vertical="center" wrapText="1"/>
    </xf>
    <xf numFmtId="0" fontId="23" fillId="0" borderId="22" xfId="0" applyFont="1" applyBorder="1" applyNumberFormat="1">
      <alignment horizontal="center" vertical="center" wrapText="1"/>
    </xf>
    <xf numFmtId="0" fontId="23" fillId="0" borderId="29" xfId="0" applyFont="1" applyBorder="1" applyNumberFormat="1">
      <alignment horizontal="center" vertical="center" wrapText="1"/>
    </xf>
    <xf numFmtId="0" fontId="23" fillId="0" borderId="31" xfId="0" applyFont="1" applyBorder="1" applyNumberFormat="1">
      <alignment horizontal="center" vertical="center" wrapText="1"/>
    </xf>
    <xf numFmtId="0" fontId="23" fillId="0" borderId="24" xfId="0" applyFont="1" applyBorder="1" applyNumberFormat="1">
      <alignment horizontal="center" vertical="center" wrapText="1"/>
    </xf>
    <xf numFmtId="0" fontId="23" fillId="0" borderId="14" xfId="0" applyFont="1" applyBorder="1" applyNumberFormat="1">
      <alignment horizontal="center" vertical="center"/>
    </xf>
    <xf numFmtId="0" fontId="23" fillId="0" borderId="16" xfId="0" applyFont="1" applyBorder="1" applyNumberFormat="1">
      <alignment horizontal="center" vertical="center"/>
    </xf>
    <xf numFmtId="0" fontId="23" fillId="43" borderId="22" xfId="0" applyFont="1" applyFill="1" applyBorder="1" applyNumberFormat="1">
      <alignment horizontal="left" vertical="center" wrapText="1"/>
    </xf>
    <xf numFmtId="49" fontId="23" fillId="0" borderId="14" xfId="0" applyFont="1" applyBorder="1" applyNumberFormat="1">
      <alignment horizontal="left" vertical="center" wrapText="1" indent="1"/>
    </xf>
    <xf numFmtId="0" fontId="0" fillId="37" borderId="39" xfId="0" applyFont="1" applyFill="1" applyBorder="1" applyNumberFormat="1">
      <alignment horizontal="center" vertical="center" wrapText="1"/>
    </xf>
    <xf numFmtId="0" fontId="0" fillId="37" borderId="22" xfId="0" applyFont="1" applyFill="1" applyBorder="1" applyNumberFormat="1">
      <alignment horizontal="center" vertical="center" wrapText="1"/>
    </xf>
    <xf numFmtId="0" fontId="0" fillId="37" borderId="24" xfId="0" applyFont="1" applyFill="1" applyBorder="1" applyNumberFormat="1">
      <alignment horizontal="center" vertical="center" wrapText="1"/>
    </xf>
    <xf numFmtId="0" fontId="0" fillId="37" borderId="0" xfId="0" applyFont="1" applyFill="1" applyNumberFormat="1">
      <alignment horizontal="center" vertical="center" wrapText="1"/>
    </xf>
    <xf numFmtId="0" fontId="0" fillId="37" borderId="32" xfId="0" applyFont="1" applyFill="1" applyBorder="1" applyNumberFormat="1">
      <alignment horizontal="center" vertical="center" wrapText="1"/>
    </xf>
    <xf numFmtId="0" fontId="0" fillId="37" borderId="29" xfId="0" applyFont="1" applyFill="1" applyBorder="1" applyNumberFormat="1">
      <alignment horizontal="center" vertical="center" wrapText="1"/>
    </xf>
    <xf numFmtId="0" fontId="0" fillId="37" borderId="31" xfId="0" applyFont="1" applyFill="1" applyBorder="1" applyNumberFormat="1">
      <alignment horizontal="center" vertical="center" wrapText="1"/>
    </xf>
    <xf numFmtId="0" fontId="45" fillId="0" borderId="14" xfId="0" applyFont="1" applyBorder="1" applyNumberFormat="1">
      <alignment horizontal="center" vertical="center" wrapText="1"/>
    </xf>
    <xf numFmtId="49" fontId="23" fillId="42" borderId="19" xfId="0" applyFont="1" applyFill="1" applyBorder="1" applyNumberFormat="1">
      <alignment horizontal="left" vertical="center" wrapText="1" indent="6"/>
      <protection locked="0"/>
    </xf>
    <xf numFmtId="49" fontId="23" fillId="42" borderId="38" xfId="0" applyFont="1" applyFill="1" applyBorder="1" applyNumberFormat="1">
      <alignment horizontal="left" vertical="center" wrapText="1" indent="6"/>
      <protection locked="0"/>
    </xf>
    <xf numFmtId="49" fontId="23" fillId="42" borderId="25" xfId="0" applyFont="1" applyFill="1" applyBorder="1" applyNumberFormat="1">
      <alignment horizontal="left" vertical="center" wrapText="1" indent="6"/>
      <protection locked="0"/>
    </xf>
    <xf numFmtId="0" fontId="23" fillId="37" borderId="19" xfId="0" applyFont="1" applyFill="1" applyBorder="1" applyNumberFormat="1">
      <alignment horizontal="left" vertical="center" wrapText="1"/>
    </xf>
    <xf numFmtId="0" fontId="23" fillId="37" borderId="38" xfId="0" applyFont="1" applyFill="1" applyBorder="1" applyNumberFormat="1">
      <alignment horizontal="left" vertical="center" wrapText="1"/>
    </xf>
    <xf numFmtId="0" fontId="23" fillId="37" borderId="25" xfId="0" applyFont="1" applyFill="1" applyBorder="1" applyNumberFormat="1">
      <alignment horizontal="left" vertical="center" wrapText="1"/>
    </xf>
    <xf numFmtId="0" fontId="55" fillId="0" borderId="26" xfId="0" applyFont="1" applyBorder="1" applyNumberFormat="1">
      <alignment horizontal="center" vertical="top" wrapText="1"/>
    </xf>
    <xf numFmtId="0" fontId="0" fillId="37" borderId="26" xfId="0" applyFont="1" applyFill="1" applyBorder="1" applyNumberFormat="1">
      <alignment horizontal="center" vertical="center" wrapText="1"/>
    </xf>
    <xf numFmtId="0" fontId="23" fillId="37" borderId="39" xfId="0" applyFont="1" applyFill="1" applyBorder="1" applyNumberFormat="1">
      <alignment horizontal="center" vertical="center" wrapText="1"/>
    </xf>
    <xf numFmtId="0" fontId="23" fillId="37" borderId="24" xfId="0" applyFont="1" applyFill="1" applyBorder="1" applyNumberFormat="1">
      <alignment horizontal="center" vertical="center" wrapText="1"/>
    </xf>
    <xf numFmtId="0" fontId="23" fillId="37" borderId="32" xfId="0" applyFont="1" applyFill="1" applyBorder="1" applyNumberFormat="1">
      <alignment horizontal="center" vertical="center" wrapText="1"/>
    </xf>
    <xf numFmtId="0" fontId="23" fillId="42" borderId="14" xfId="0" applyFont="1" applyFill="1" applyBorder="1" applyNumberFormat="1">
      <alignment horizontal="center" vertical="center" wrapText="1"/>
      <protection locked="0"/>
    </xf>
    <xf numFmtId="49" fontId="23" fillId="43" borderId="14" xfId="0" applyFont="1" applyFill="1" applyBorder="1" applyNumberFormat="1">
      <alignment horizontal="left" vertical="center" wrapText="1" indent="1"/>
    </xf>
    <xf numFmtId="0" fontId="23" fillId="39" borderId="16" xfId="0" applyFont="1" applyFill="1" applyBorder="1" applyNumberFormat="1">
      <alignment horizontal="left" vertical="center" wrapText="1"/>
      <protection locked="0"/>
    </xf>
    <xf numFmtId="0" fontId="23" fillId="39" borderId="17" xfId="0" applyFont="1" applyFill="1" applyBorder="1" applyNumberFormat="1">
      <alignment horizontal="left" vertical="center" wrapText="1"/>
      <protection locked="0"/>
    </xf>
    <xf numFmtId="0" fontId="23" fillId="39" borderId="15" xfId="0" applyFont="1" applyFill="1" applyBorder="1" applyNumberFormat="1">
      <alignment horizontal="left" vertical="center" wrapText="1"/>
      <protection locked="0"/>
    </xf>
    <xf numFmtId="49" fontId="23" fillId="39" borderId="16" xfId="0" applyFont="1" applyFill="1" applyBorder="1" applyNumberFormat="1">
      <alignment horizontal="left" vertical="center" wrapText="1"/>
      <protection locked="0"/>
    </xf>
    <xf numFmtId="49" fontId="23" fillId="39" borderId="17" xfId="0" applyFont="1" applyFill="1" applyBorder="1" applyNumberFormat="1">
      <alignment horizontal="left" vertical="center" wrapText="1"/>
      <protection locked="0"/>
    </xf>
    <xf numFmtId="49" fontId="23" fillId="39" borderId="15" xfId="0" applyFont="1" applyFill="1" applyBorder="1" applyNumberFormat="1">
      <alignment horizontal="left" vertical="center" wrapText="1"/>
      <protection locked="0"/>
    </xf>
    <xf numFmtId="0" fontId="53" fillId="0" borderId="14" xfId="0" applyFont="1" applyBorder="1" applyNumberFormat="1">
      <alignment horizontal="left" vertical="top" wrapText="1"/>
    </xf>
    <xf numFmtId="0" fontId="23" fillId="42" borderId="15" xfId="0" applyFont="1" applyFill="1" applyBorder="1" applyNumberFormat="1">
      <alignment horizontal="center" vertical="center" wrapText="1"/>
      <protection locked="0"/>
    </xf>
    <xf numFmtId="49" fontId="23" fillId="43" borderId="14" xfId="0" applyFont="1" applyFill="1" applyBorder="1" applyNumberFormat="1">
      <alignment horizontal="left" vertical="center" wrapText="1" indent="1"/>
      <protection locked="0"/>
    </xf>
    <xf numFmtId="4" fontId="23" fillId="42" borderId="14" xfId="0" applyFont="1" applyFill="1" applyBorder="1" applyNumberFormat="1">
      <alignment horizontal="left" vertical="center" wrapText="1" indent="1"/>
      <protection locked="0"/>
    </xf>
    <xf numFmtId="49" fontId="23" fillId="39" borderId="19" xfId="0" applyFont="1" applyFill="1" applyBorder="1" applyNumberFormat="1">
      <alignment horizontal="left" vertical="center" wrapText="1" indent="6"/>
      <protection locked="0"/>
    </xf>
    <xf numFmtId="49" fontId="23" fillId="39" borderId="38" xfId="0" applyFont="1" applyFill="1" applyBorder="1" applyNumberFormat="1">
      <alignment horizontal="left" vertical="center" wrapText="1" indent="6"/>
      <protection locked="0"/>
    </xf>
    <xf numFmtId="49" fontId="23" fillId="39" borderId="25" xfId="0" applyFont="1" applyFill="1" applyBorder="1" applyNumberFormat="1">
      <alignment horizontal="left" vertical="center" wrapText="1" indent="6"/>
      <protection locked="0"/>
    </xf>
    <xf numFmtId="4" fontId="23" fillId="42" borderId="14" xfId="0" applyFont="1" applyFill="1" applyBorder="1" applyNumberFormat="1">
      <alignment horizontal="center" vertical="center" wrapText="1"/>
      <protection locked="0"/>
    </xf>
    <xf numFmtId="49" fontId="23" fillId="43" borderId="22" xfId="0" applyFont="1" applyFill="1" applyBorder="1" applyNumberFormat="1">
      <alignment horizontal="center" vertical="center" wrapText="1"/>
    </xf>
    <xf numFmtId="49" fontId="23" fillId="43" borderId="31" xfId="0" applyFont="1" applyFill="1" applyBorder="1" applyNumberFormat="1">
      <alignment horizontal="center" vertical="center" wrapText="1"/>
    </xf>
    <xf numFmtId="0" fontId="55" fillId="0" borderId="21" xfId="0" applyFont="1" applyBorder="1" applyNumberFormat="1">
      <alignment horizontal="left" vertical="center" wrapText="1"/>
    </xf>
    <xf numFmtId="49" fontId="23" fillId="37" borderId="14" xfId="0" applyFont="1" applyFill="1" applyBorder="1" applyNumberFormat="1">
      <alignment horizontal="center" vertical="center" wrapText="1"/>
    </xf>
    <xf numFmtId="0" fontId="23" fillId="0" borderId="14" xfId="0" applyFont="1" applyBorder="1" applyNumberFormat="1">
      <alignment horizontal="center" vertical="center" wrapText="1"/>
    </xf>
    <xf numFmtId="49" fontId="96" fillId="48" borderId="0" xfId="0" applyFont="1" applyFill="1" applyNumberFormat="1">
      <alignment horizontal="center" vertical="center" textRotation="90" wrapText="1"/>
    </xf>
    <xf numFmtId="0" fontId="77" fillId="0" borderId="0" xfId="0" applyFont="1" applyNumberFormat="1">
      <alignment horizontal="center" vertical="center" wrapText="1"/>
    </xf>
    <xf numFmtId="49" fontId="96" fillId="48" borderId="0" xfId="0" applyFont="1" applyFill="1" applyNumberFormat="1">
      <alignment horizontal="center" vertical="center" textRotation="90" wrapText="1"/>
    </xf>
    <xf numFmtId="0" fontId="23" fillId="0" borderId="17" xfId="0" applyFont="1" applyBorder="1" applyNumberFormat="1">
      <alignment horizontal="right" vertical="center" wrapText="1" indent="1"/>
    </xf>
    <xf numFmtId="0" fontId="23" fillId="0" borderId="15" xfId="0" applyFont="1" applyBorder="1" applyNumberFormat="1">
      <alignment horizontal="right" vertical="center" wrapText="1" indent="1"/>
    </xf>
    <xf numFmtId="0" fontId="23" fillId="0" borderId="16" xfId="0" applyFont="1" applyBorder="1" applyNumberFormat="1">
      <alignment horizontal="right" vertical="center" wrapText="1"/>
    </xf>
    <xf numFmtId="0" fontId="23" fillId="0" borderId="17" xfId="0" applyFont="1" applyBorder="1" applyNumberFormat="1">
      <alignment horizontal="right" vertical="center" wrapText="1"/>
    </xf>
    <xf numFmtId="49" fontId="55" fillId="0" borderId="19" xfId="0" applyFont="1" applyBorder="1" applyNumberFormat="1">
      <alignment horizontal="center" vertical="center" wrapText="1"/>
    </xf>
    <xf numFmtId="49" fontId="55" fillId="0" borderId="38" xfId="0" applyFont="1" applyBorder="1" applyNumberFormat="1">
      <alignment horizontal="center" vertical="center" wrapText="1"/>
    </xf>
    <xf numFmtId="49" fontId="55" fillId="0" borderId="25" xfId="0" applyFont="1" applyBorder="1" applyNumberFormat="1">
      <alignment horizontal="center" vertical="center" wrapText="1"/>
    </xf>
    <xf numFmtId="0" fontId="0" fillId="38" borderId="14" xfId="0" applyFont="1" applyFill="1" applyBorder="1" applyNumberFormat="1">
      <alignment horizontal="left" vertical="center" wrapText="1" indent="1"/>
    </xf>
    <xf numFmtId="0" fontId="53" fillId="0" borderId="0" xfId="0" applyFont="1" applyNumberFormat="1">
      <alignment horizontal="left" vertical="top" wrapText="1"/>
    </xf>
    <xf numFmtId="0" fontId="23" fillId="0" borderId="25" xfId="0" applyFont="1" applyBorder="1" applyNumberFormat="1">
      <alignment horizontal="left" vertical="center" wrapText="1"/>
    </xf>
    <xf numFmtId="0" fontId="55" fillId="0" borderId="0" xfId="0" applyFont="1" applyNumberFormat="1">
      <alignment horizontal="center" vertical="center" wrapText="1"/>
    </xf>
    <xf numFmtId="0" fontId="54" fillId="0" borderId="0" xfId="0" applyFont="1" applyNumberFormat="1">
      <alignment horizontal="center" vertical="top"/>
    </xf>
    <xf numFmtId="0" fontId="0" fillId="0" borderId="16" xfId="0" applyFont="1" applyBorder="1" applyNumberFormat="1">
      <alignment horizontal="right" vertical="center" wrapText="1" indent="1"/>
    </xf>
    <xf numFmtId="0" fontId="0" fillId="0" borderId="17" xfId="0" applyFont="1" applyBorder="1" applyNumberFormat="1">
      <alignment horizontal="right" vertical="center" wrapText="1" indent="1"/>
    </xf>
    <xf numFmtId="0" fontId="0" fillId="0" borderId="15" xfId="0" applyFont="1" applyBorder="1" applyNumberFormat="1">
      <alignment horizontal="right" vertical="center" wrapText="1" indent="1"/>
    </xf>
    <xf numFmtId="0" fontId="55" fillId="0" borderId="17" xfId="0" applyFont="1" applyBorder="1" applyNumberFormat="1">
      <alignment horizontal="right" vertical="center" wrapText="1" indent="1"/>
    </xf>
    <xf numFmtId="0" fontId="55" fillId="0" borderId="15" xfId="0" applyFont="1" applyBorder="1" applyNumberFormat="1">
      <alignment horizontal="right" vertical="center" wrapText="1" indent="1"/>
    </xf>
    <xf numFmtId="0" fontId="23" fillId="38" borderId="16" xfId="0" applyFont="1" applyFill="1" applyBorder="1" applyNumberFormat="1">
      <alignment horizontal="left" vertical="top" wrapText="1"/>
    </xf>
    <xf numFmtId="0" fontId="23" fillId="38" borderId="15" xfId="0" applyFont="1" applyFill="1" applyBorder="1" applyNumberFormat="1">
      <alignment horizontal="left" vertical="top" wrapText="1"/>
    </xf>
    <xf numFmtId="49" fontId="23" fillId="58" borderId="0" xfId="0" applyFont="1" applyFill="1" applyNumberFormat="1">
      <alignment horizontal="center" vertical="center" textRotation="90" wrapText="1"/>
    </xf>
    <xf numFmtId="0" fontId="23" fillId="0" borderId="0" xfId="0" applyFont="1" applyNumberFormat="1">
      <alignment horizontal="left" vertical="top" wrapText="1"/>
    </xf>
    <xf numFmtId="49" fontId="23" fillId="0" borderId="0" xfId="0" applyFont="1" applyNumberFormat="1">
      <alignment vertical="center" wrapText="1"/>
    </xf>
    <xf numFmtId="0" fontId="44" fillId="0" borderId="26" xfId="0" applyFont="1" applyBorder="1" applyNumberFormat="1">
      <alignment horizontal="center" vertical="center" wrapText="1"/>
    </xf>
    <xf numFmtId="0" fontId="23" fillId="38" borderId="16" xfId="0" applyFont="1" applyFill="1" applyBorder="1" applyNumberFormat="1">
      <alignment horizontal="left" vertical="top" wrapText="1" indent="1"/>
    </xf>
    <xf numFmtId="0" fontId="23" fillId="38" borderId="15" xfId="0" applyFont="1" applyFill="1" applyBorder="1" applyNumberFormat="1">
      <alignment horizontal="left" vertical="top" wrapText="1" indent="1"/>
    </xf>
    <xf numFmtId="49" fontId="0" fillId="0" borderId="14" xfId="0" applyFont="1" applyBorder="1" applyNumberFormat="1">
      <alignment horizontal="center" vertical="center" wrapText="1"/>
    </xf>
    <xf numFmtId="49" fontId="23" fillId="0" borderId="16" xfId="0" applyFont="1" applyBorder="1" applyNumberFormat="1">
      <alignment horizontal="center" vertical="center" wrapText="1"/>
    </xf>
    <xf numFmtId="49" fontId="55" fillId="0" borderId="14" xfId="0" applyFont="1" applyBorder="1" applyNumberFormat="1">
      <alignment horizontal="center" vertical="center" wrapText="1"/>
    </xf>
    <xf numFmtId="49" fontId="23" fillId="0" borderId="14" xfId="0" applyFont="1" applyBorder="1" applyNumberFormat="1">
      <alignment horizontal="left" vertical="center" wrapText="1"/>
    </xf>
    <xf numFmtId="0" fontId="0" fillId="37" borderId="16" xfId="0" applyFont="1" applyFill="1" applyBorder="1" applyNumberFormat="1">
      <alignment horizontal="center" vertical="center" wrapText="1"/>
    </xf>
    <xf numFmtId="0" fontId="0" fillId="37" borderId="17" xfId="0" applyFont="1" applyFill="1" applyBorder="1" applyNumberFormat="1">
      <alignment horizontal="center" vertical="center" wrapText="1"/>
    </xf>
    <xf numFmtId="0" fontId="0" fillId="37" borderId="15" xfId="0" applyFont="1" applyFill="1" applyBorder="1" applyNumberFormat="1">
      <alignment horizontal="center" vertical="center" wrapText="1"/>
    </xf>
    <xf numFmtId="0" fontId="0" fillId="0" borderId="14" xfId="0" applyFont="1" applyBorder="1" applyNumberFormat="1">
      <alignment horizontal="left" vertical="center" wrapText="1" indent="1"/>
    </xf>
    <xf numFmtId="0" fontId="0" fillId="0" borderId="14" xfId="0" applyFont="1" applyBorder="1" applyNumberFormat="1">
      <alignment horizontal="center" vertical="center" wrapText="1"/>
    </xf>
    <xf numFmtId="0" fontId="23" fillId="0" borderId="0" xfId="0" applyFont="1" applyNumberFormat="1">
      <alignment horizontal="left" vertical="center" wrapText="1"/>
    </xf>
    <xf numFmtId="0" fontId="23" fillId="37" borderId="14" xfId="0" applyFont="1" applyFill="1" applyBorder="1" applyNumberFormat="1">
      <alignment horizontal="center" vertical="center" wrapText="1"/>
    </xf>
    <xf numFmtId="0" fontId="23" fillId="37" borderId="39" xfId="0" applyFont="1" applyFill="1" applyBorder="1" applyNumberFormat="1">
      <alignment horizontal="center" vertical="center" wrapText="1"/>
    </xf>
    <xf numFmtId="0" fontId="23" fillId="37" borderId="22" xfId="0" applyFont="1" applyFill="1" applyBorder="1" applyNumberFormat="1">
      <alignment horizontal="center" vertical="center" wrapText="1"/>
    </xf>
    <xf numFmtId="0" fontId="23" fillId="37" borderId="24" xfId="0" applyFont="1" applyFill="1" applyBorder="1" applyNumberFormat="1">
      <alignment horizontal="center" vertical="center" wrapText="1"/>
    </xf>
    <xf numFmtId="0" fontId="23" fillId="37" borderId="26" xfId="0" applyFont="1" applyFill="1" applyBorder="1" applyNumberFormat="1">
      <alignment horizontal="center" vertical="center" wrapText="1"/>
    </xf>
    <xf numFmtId="0" fontId="23" fillId="37" borderId="32" xfId="0" applyFont="1" applyFill="1" applyBorder="1" applyNumberFormat="1">
      <alignment horizontal="center" vertical="center" wrapText="1"/>
    </xf>
    <xf numFmtId="0" fontId="23" fillId="37" borderId="31" xfId="0" applyFont="1" applyFill="1" applyBorder="1" applyNumberFormat="1">
      <alignment horizontal="center" vertical="center" wrapText="1"/>
    </xf>
    <xf numFmtId="0" fontId="23" fillId="0" borderId="63" xfId="0" applyFont="1" applyBorder="1" applyNumberFormat="1">
      <alignment horizontal="center" vertical="center"/>
    </xf>
    <xf numFmtId="0" fontId="23" fillId="0" borderId="64" xfId="0" applyFont="1" applyBorder="1" applyNumberFormat="1">
      <alignment horizontal="center" vertical="center"/>
    </xf>
    <xf numFmtId="0" fontId="23" fillId="0" borderId="66" xfId="0" applyFont="1" applyBorder="1" applyNumberFormat="1">
      <alignment horizontal="center" vertical="center"/>
    </xf>
    <xf numFmtId="0" fontId="23" fillId="0" borderId="76" xfId="0" applyFont="1" applyBorder="1" applyNumberFormat="1">
      <alignment horizontal="center" vertical="center"/>
    </xf>
    <xf numFmtId="0" fontId="23" fillId="0" borderId="45" xfId="0" applyFont="1" applyBorder="1" applyNumberFormat="1">
      <alignment horizontal="center" vertical="center"/>
    </xf>
    <xf numFmtId="49" fontId="0" fillId="0" borderId="14" xfId="0" applyFont="1" applyBorder="1" applyNumberFormat="1">
      <alignment vertical="center" wrapText="1"/>
    </xf>
    <xf numFmtId="49" fontId="0" fillId="0" borderId="14" xfId="0" applyFont="1" applyBorder="1" applyNumberFormat="1">
      <alignment horizontal="left" vertical="center" wrapText="1"/>
    </xf>
    <xf numFmtId="49" fontId="0" fillId="0" borderId="19" xfId="0" applyFont="1" applyBorder="1" applyNumberFormat="1">
      <alignment horizontal="center" vertical="center" wrapText="1"/>
    </xf>
    <xf numFmtId="49" fontId="0" fillId="0" borderId="38" xfId="0" applyFont="1" applyBorder="1" applyNumberFormat="1">
      <alignment horizontal="center" vertical="center" wrapText="1"/>
    </xf>
    <xf numFmtId="49" fontId="0" fillId="0" borderId="25" xfId="0" applyFont="1" applyBorder="1" applyNumberFormat="1">
      <alignment horizontal="center" vertical="center" wrapText="1"/>
    </xf>
    <xf numFmtId="49" fontId="0" fillId="0" borderId="14" xfId="0" applyFont="1" applyBorder="1" applyNumberFormat="1">
      <alignment horizontal="center" vertical="center" wrapText="1"/>
    </xf>
    <xf numFmtId="0" fontId="0" fillId="38" borderId="14" xfId="0" applyFont="1" applyFill="1" applyBorder="1" applyNumberFormat="1">
      <alignment horizontal="center" vertical="center" wrapText="1"/>
    </xf>
    <xf numFmtId="49" fontId="0" fillId="0" borderId="14" xfId="0" applyFont="1" applyBorder="1" applyNumberFormat="1">
      <alignment horizontal="center" vertical="center"/>
    </xf>
    <xf numFmtId="0" fontId="23" fillId="37" borderId="22" xfId="0" applyFont="1" applyFill="1" applyBorder="1" applyNumberFormat="1">
      <alignment horizontal="center" vertical="center" wrapText="1"/>
    </xf>
    <xf numFmtId="0" fontId="23" fillId="37" borderId="31" xfId="0" applyFont="1" applyFill="1" applyBorder="1" applyNumberFormat="1">
      <alignment horizontal="center" vertical="center" wrapText="1"/>
    </xf>
    <xf numFmtId="0" fontId="23" fillId="37" borderId="16" xfId="0" applyFont="1" applyFill="1" applyBorder="1" applyNumberFormat="1">
      <alignment horizontal="center" vertical="center" wrapText="1"/>
    </xf>
    <xf numFmtId="0" fontId="23" fillId="37" borderId="15" xfId="0" applyFont="1" applyFill="1" applyBorder="1" applyNumberFormat="1">
      <alignment horizontal="center" vertical="center" wrapText="1"/>
    </xf>
    <xf numFmtId="0" fontId="23" fillId="34" borderId="14" xfId="0" applyFont="1" applyFill="1" applyBorder="1" applyNumberFormat="1">
      <alignment horizontal="center" vertical="center" wrapText="1"/>
    </xf>
    <xf numFmtId="0" fontId="23" fillId="34" borderId="16" xfId="0" applyFont="1" applyFill="1" applyBorder="1" applyNumberFormat="1">
      <alignment horizontal="center" vertical="center" wrapText="1"/>
    </xf>
    <xf numFmtId="0" fontId="23" fillId="37" borderId="17" xfId="0" applyFont="1" applyFill="1" applyBorder="1" applyNumberFormat="1">
      <alignment horizontal="center" vertical="center" wrapText="1"/>
    </xf>
    <xf numFmtId="49" fontId="23" fillId="53" borderId="16" xfId="0" applyFont="1" applyFill="1" applyBorder="1" applyNumberFormat="1">
      <alignment horizontal="center" vertical="center" wrapText="1"/>
    </xf>
    <xf numFmtId="49" fontId="23" fillId="53" borderId="17" xfId="0" applyFont="1" applyFill="1" applyBorder="1" applyNumberFormat="1">
      <alignment horizontal="center" vertical="center" wrapText="1"/>
    </xf>
    <xf numFmtId="49" fontId="23" fillId="34" borderId="21" xfId="0" applyFont="1" applyFill="1" applyBorder="1" applyNumberFormat="1">
      <alignment horizontal="center" vertical="center" wrapText="1"/>
    </xf>
    <xf numFmtId="49" fontId="23" fillId="34" borderId="0" xfId="0" applyFont="1" applyFill="1" applyNumberFormat="1">
      <alignment horizontal="center" vertical="center" wrapText="1"/>
    </xf>
    <xf numFmtId="49" fontId="23" fillId="34" borderId="29" xfId="0" applyFont="1" applyFill="1" applyBorder="1" applyNumberFormat="1">
      <alignment horizontal="center" vertical="center" wrapText="1"/>
    </xf>
    <xf numFmtId="0" fontId="23" fillId="34" borderId="15" xfId="0" applyFont="1" applyFill="1" applyBorder="1" applyNumberFormat="1">
      <alignment horizontal="center" vertical="center" wrapText="1"/>
    </xf>
    <xf numFmtId="0" fontId="23" fillId="51" borderId="16" xfId="0" applyFont="1" applyFill="1" applyBorder="1" applyNumberFormat="1">
      <alignment horizontal="center" vertical="center" wrapText="1"/>
    </xf>
    <xf numFmtId="0" fontId="23" fillId="51" borderId="17" xfId="0" applyFont="1" applyFill="1" applyBorder="1" applyNumberFormat="1">
      <alignment horizontal="center" vertical="center" wrapText="1"/>
    </xf>
    <xf numFmtId="0" fontId="23" fillId="51" borderId="15" xfId="0" applyFont="1" applyFill="1" applyBorder="1" applyNumberFormat="1">
      <alignment horizontal="center" vertical="center" wrapText="1"/>
    </xf>
    <xf numFmtId="49" fontId="54" fillId="49" borderId="16" xfId="0" applyFont="1" applyFill="1" applyBorder="1" applyNumberFormat="1">
      <alignment horizontal="center" vertical="center" wrapText="1"/>
    </xf>
    <xf numFmtId="49" fontId="54" fillId="49" borderId="17" xfId="0" applyFont="1" applyFill="1" applyBorder="1" applyNumberFormat="1">
      <alignment horizontal="center" vertical="center" wrapText="1"/>
    </xf>
    <xf numFmtId="49" fontId="54" fillId="49" borderId="15" xfId="0" applyFont="1" applyFill="1" applyBorder="1" applyNumberFormat="1">
      <alignment horizontal="center" vertical="center" wrapText="1"/>
    </xf>
    <xf numFmtId="49" fontId="54" fillId="52" borderId="16" xfId="0" applyFont="1" applyFill="1" applyBorder="1" applyNumberFormat="1">
      <alignment horizontal="center" vertical="center" wrapText="1"/>
    </xf>
    <xf numFmtId="49" fontId="54" fillId="52" borderId="17" xfId="0" applyFont="1" applyFill="1" applyBorder="1" applyNumberFormat="1">
      <alignment horizontal="center" vertical="center" wrapText="1"/>
    </xf>
    <xf numFmtId="49" fontId="54" fillId="52" borderId="15" xfId="0" applyFont="1" applyFill="1" applyBorder="1" applyNumberFormat="1">
      <alignment horizontal="center" vertical="center" wrapText="1"/>
    </xf>
    <xf numFmtId="49" fontId="23" fillId="34" borderId="14" xfId="0" applyFont="1" applyFill="1" applyBorder="1" applyNumberFormat="1">
      <alignment horizontal="center" vertical="center" wrapText="1"/>
    </xf>
    <xf numFmtId="49" fontId="23" fillId="37" borderId="14" xfId="0" applyFont="1" applyFill="1" applyBorder="1" applyNumberFormat="1">
      <alignment horizontal="center" vertical="center" wrapText="1"/>
    </xf>
    <xf numFmtId="49" fontId="23" fillId="0" borderId="16" xfId="0" applyFont="1" applyBorder="1" applyNumberFormat="1">
      <alignment horizontal="center" vertical="center" wrapText="1"/>
    </xf>
    <xf numFmtId="49" fontId="23" fillId="0" borderId="17" xfId="0" applyFont="1" applyBorder="1" applyNumberFormat="1">
      <alignment horizontal="center" vertical="center" wrapText="1"/>
    </xf>
    <xf numFmtId="49" fontId="23" fillId="0" borderId="15" xfId="0" applyFont="1" applyBorder="1" applyNumberFormat="1">
      <alignment horizontal="center" vertical="center" wrapText="1"/>
    </xf>
    <xf numFmtId="0" fontId="23" fillId="0" borderId="22" xfId="0" applyFont="1" applyBorder="1" applyNumberFormat="1">
      <alignment horizontal="left" vertical="top" wrapText="1"/>
    </xf>
    <xf numFmtId="0" fontId="23" fillId="0" borderId="22" xfId="0" applyFont="1" applyBorder="1" applyNumberFormat="1">
      <alignment horizontal="left" vertical="top" wrapText="1" indent="1"/>
    </xf>
    <xf numFmtId="0" fontId="23" fillId="0" borderId="19" xfId="0" applyFont="1" applyBorder="1" applyNumberFormat="1">
      <alignment horizontal="left" vertical="top" wrapText="1" indent="1"/>
    </xf>
    <xf numFmtId="0" fontId="23" fillId="0" borderId="39" xfId="0" applyFont="1" applyBorder="1" applyNumberFormat="1">
      <alignment horizontal="left" vertical="top" wrapText="1" indent="1"/>
    </xf>
    <xf numFmtId="0" fontId="23" fillId="0" borderId="31" xfId="0" applyFont="1" applyBorder="1" applyNumberFormat="1">
      <alignment horizontal="left" vertical="center" wrapText="1" indent="1"/>
    </xf>
    <xf numFmtId="0" fontId="23" fillId="0" borderId="25" xfId="0" applyFont="1" applyBorder="1" applyNumberFormat="1">
      <alignment horizontal="left" vertical="center" wrapText="1" indent="1"/>
    </xf>
    <xf numFmtId="0" fontId="23" fillId="0" borderId="32" xfId="0" applyFont="1" applyBorder="1" applyNumberFormat="1">
      <alignment horizontal="left" vertical="center" wrapText="1" indent="1"/>
    </xf>
    <xf numFmtId="0" fontId="23" fillId="37" borderId="14" xfId="0" applyFont="1" applyFill="1" applyBorder="1" applyNumberFormat="1">
      <alignment horizontal="center" vertical="center"/>
    </xf>
    <xf numFmtId="0" fontId="0" fillId="0" borderId="14" xfId="0" applyFont="1" applyBorder="1" applyNumberFormat="1">
      <alignment horizontal="left" vertical="center" wrapText="1"/>
    </xf>
    <xf numFmtId="0" fontId="0" fillId="0" borderId="14" xfId="0" applyFont="1" applyBorder="1" applyNumberFormat="1">
      <alignment horizontal="left" vertical="center" wrapText="1"/>
    </xf>
    <xf numFmtId="0" fontId="23" fillId="0" borderId="17" xfId="0" applyFont="1" applyBorder="1" applyNumberFormat="1">
      <alignment horizontal="left" vertical="top" wrapText="1" indent="1"/>
    </xf>
    <xf numFmtId="0" fontId="47" fillId="37" borderId="0" xfId="0" applyFont="1" applyFill="1" applyNumberFormat="1">
      <alignment horizontal="center" vertical="top" wrapText="1"/>
    </xf>
    <xf numFmtId="49" fontId="44" fillId="37" borderId="21" xfId="0" applyFont="1" applyFill="1" applyBorder="1" applyNumberFormat="1">
      <alignment horizontal="center" vertical="center" wrapText="1"/>
    </xf>
    <xf numFmtId="0" fontId="0" fillId="0" borderId="19" xfId="0" applyFont="1" applyBorder="1" applyNumberFormat="1">
      <alignment horizontal="left" vertical="center" wrapText="1"/>
    </xf>
    <xf numFmtId="0" fontId="0" fillId="0" borderId="19" xfId="0" applyFont="1" applyBorder="1" applyNumberFormat="1">
      <alignment horizontal="left" vertical="center" wrapText="1"/>
    </xf>
    <xf numFmtId="0" fontId="0" fillId="38" borderId="16" xfId="0" applyFont="1" applyFill="1" applyBorder="1" applyNumberFormat="1">
      <alignment horizontal="left" vertical="center" wrapText="1" indent="1"/>
    </xf>
    <xf numFmtId="0" fontId="47" fillId="37" borderId="26" xfId="0" applyFont="1" applyFill="1" applyBorder="1" applyNumberFormat="1">
      <alignment horizontal="center" vertical="top" wrapText="1"/>
    </xf>
    <xf numFmtId="49" fontId="0" fillId="37" borderId="25" xfId="0" applyFont="1" applyFill="1" applyBorder="1" applyNumberFormat="1">
      <alignment horizontal="center" vertical="center" wrapText="1"/>
    </xf>
    <xf numFmtId="0" fontId="0" fillId="38" borderId="25" xfId="0" applyFont="1" applyFill="1" applyBorder="1" applyNumberFormat="1">
      <alignment horizontal="left" vertical="center" wrapText="1" indent="1"/>
    </xf>
    <xf numFmtId="0" fontId="0" fillId="37" borderId="19" xfId="0" applyFont="1" applyFill="1" applyBorder="1" applyNumberFormat="1">
      <alignment horizontal="left" vertical="top" wrapText="1"/>
    </xf>
    <xf numFmtId="0" fontId="0" fillId="37" borderId="38" xfId="0" applyFont="1" applyFill="1" applyBorder="1" applyNumberFormat="1">
      <alignment horizontal="left" vertical="top" wrapText="1"/>
    </xf>
    <xf numFmtId="0" fontId="0" fillId="37" borderId="25" xfId="0" applyFont="1" applyFill="1" applyBorder="1" applyNumberFormat="1">
      <alignment horizontal="left" vertical="top" wrapText="1"/>
    </xf>
    <xf numFmtId="4" fontId="23" fillId="0" borderId="19" xfId="0" applyFont="1" applyBorder="1" applyNumberFormat="1">
      <alignment horizontal="center" vertical="center" wrapText="1"/>
    </xf>
    <xf numFmtId="4" fontId="23" fillId="0" borderId="25" xfId="0" applyFont="1" applyBorder="1" applyNumberFormat="1">
      <alignment horizontal="center" vertical="center" wrapText="1"/>
    </xf>
    <xf numFmtId="4" fontId="23" fillId="0" borderId="38" xfId="0" applyFont="1" applyBorder="1" applyNumberFormat="1">
      <alignment horizontal="center" vertical="center" wrapText="1"/>
    </xf>
    <xf numFmtId="0" fontId="23" fillId="0" borderId="31" xfId="0" applyFont="1" applyBorder="1" applyNumberFormat="1">
      <alignment horizontal="left" vertical="top" wrapText="1"/>
    </xf>
    <xf numFmtId="165" fontId="23" fillId="0" borderId="19" xfId="0" applyFont="1" applyBorder="1" applyNumberFormat="1">
      <alignment horizontal="center" vertical="center" wrapText="1"/>
    </xf>
    <xf numFmtId="165" fontId="23" fillId="0" borderId="25" xfId="0" applyFont="1" applyBorder="1" applyNumberFormat="1">
      <alignment horizontal="center" vertical="center" wrapText="1"/>
    </xf>
    <xf numFmtId="165" fontId="23" fillId="0" borderId="16" xfId="0" applyFont="1" applyBorder="1" applyNumberFormat="1">
      <alignment horizontal="center" vertical="center" wrapText="1"/>
    </xf>
    <xf numFmtId="165" fontId="23" fillId="0" borderId="17" xfId="0" applyFont="1" applyBorder="1" applyNumberFormat="1">
      <alignment horizontal="center" vertical="center" wrapText="1"/>
    </xf>
    <xf numFmtId="165" fontId="23" fillId="0" borderId="15" xfId="0" applyFont="1" applyBorder="1" applyNumberFormat="1">
      <alignment horizontal="center" vertical="center" wrapText="1"/>
    </xf>
    <xf numFmtId="49" fontId="23" fillId="0" borderId="14" xfId="0" applyFont="1" applyBorder="1" applyNumberFormat="1">
      <alignment horizontal="left" vertical="top" wrapText="1"/>
    </xf>
    <xf numFmtId="49" fontId="129" fillId="0" borderId="14" xfId="0" applyFont="1" applyBorder="1" applyNumberFormat="1">
      <alignment horizontal="left" vertical="top" wrapText="1"/>
    </xf>
    <xf numFmtId="0" fontId="23" fillId="0" borderId="17" xfId="0" applyFont="1" applyBorder="1" applyNumberFormat="1">
      <alignment horizontal="left" vertical="center" wrapText="1"/>
    </xf>
    <xf numFmtId="165" fontId="23" fillId="0" borderId="38" xfId="0" applyFont="1" applyBorder="1" applyNumberFormat="1">
      <alignment horizontal="center" vertical="center" wrapText="1"/>
    </xf>
    <xf numFmtId="165" fontId="23" fillId="0" borderId="14" xfId="0" applyFont="1" applyBorder="1" applyNumberFormat="1">
      <alignment horizontal="center" vertical="center" wrapText="1"/>
    </xf>
    <xf numFmtId="165" fontId="53" fillId="0" borderId="21" xfId="0" applyFont="1" applyBorder="1" applyNumberFormat="1">
      <alignment horizontal="center" vertical="center" wrapText="1"/>
    </xf>
    <xf numFmtId="49" fontId="23" fillId="43" borderId="32" xfId="0" applyFont="1" applyFill="1" applyBorder="1" applyNumberFormat="1">
      <alignment horizontal="left" vertical="center" wrapText="1"/>
    </xf>
    <xf numFmtId="49" fontId="23" fillId="43" borderId="25" xfId="0" applyFont="1" applyFill="1" applyBorder="1" applyNumberFormat="1">
      <alignment horizontal="left" vertical="center" wrapText="1"/>
    </xf>
    <xf numFmtId="0" fontId="23" fillId="38" borderId="14" xfId="0" applyFont="1" applyFill="1" applyBorder="1" applyNumberFormat="1">
      <alignment horizontal="left" vertical="center" wrapText="1"/>
    </xf>
    <xf numFmtId="14" fontId="23" fillId="43" borderId="14" xfId="0" applyFont="1" applyFill="1" applyBorder="1" applyNumberFormat="1">
      <alignment horizontal="left" vertical="center" wrapText="1"/>
    </xf>
    <xf numFmtId="49" fontId="23" fillId="43" borderId="16" xfId="0" applyFont="1" applyFill="1" applyBorder="1" applyNumberFormat="1">
      <alignment horizontal="left" vertical="center" wrapText="1"/>
    </xf>
    <xf numFmtId="49" fontId="23" fillId="43" borderId="14" xfId="0" applyFont="1" applyFill="1" applyBorder="1" applyNumberFormat="1">
      <alignment horizontal="left" vertical="center" wrapText="1"/>
    </xf>
    <xf numFmtId="0" fontId="23" fillId="38" borderId="31" xfId="0" applyFont="1" applyFill="1" applyBorder="1" applyNumberFormat="1">
      <alignment horizontal="left" vertical="center" wrapText="1"/>
    </xf>
    <xf numFmtId="14" fontId="23" fillId="43" borderId="25" xfId="0" applyFont="1" applyFill="1" applyBorder="1" applyNumberFormat="1">
      <alignment horizontal="left" vertical="center" wrapText="1"/>
    </xf>
    <xf numFmtId="49" fontId="23" fillId="0" borderId="0" xfId="0" applyFont="1" applyNumberFormat="1">
      <alignment horizontal="left" vertical="top" wrapText="1"/>
    </xf>
    <xf numFmtId="0" fontId="23" fillId="0" borderId="15" xfId="0" applyFont="1" applyBorder="1" applyNumberFormat="1">
      <alignment horizontal="left" vertical="center" wrapText="1" indent="1"/>
    </xf>
    <xf numFmtId="0" fontId="23" fillId="0" borderId="16" xfId="0" applyFont="1" applyBorder="1" applyNumberFormat="1">
      <alignment horizontal="left" vertical="center" wrapText="1" indent="1"/>
    </xf>
    <xf numFmtId="49" fontId="23" fillId="0" borderId="0" xfId="0" applyFont="1" applyNumberFormat="1">
      <alignment horizontal="left" vertical="top" wrapText="1"/>
    </xf>
    <xf numFmtId="49" fontId="0" fillId="0" borderId="17" xfId="0" applyFont="1" applyBorder="1" applyNumberFormat="1">
      <alignment horizontal="left" vertical="center" indent="1"/>
    </xf>
    <xf numFmtId="49" fontId="23" fillId="0" borderId="14" xfId="0" applyFont="1" applyBorder="1" applyNumberFormat="1">
      <alignment horizontal="center" vertical="top" wrapText="1"/>
    </xf>
    <xf numFmtId="0" fontId="0" fillId="38" borderId="14" xfId="0" applyFont="1" applyFill="1" applyBorder="1" applyNumberFormat="1">
      <alignment horizontal="left" vertical="top" wrapText="1" indent="1"/>
    </xf>
    <xf numFmtId="49" fontId="23" fillId="43" borderId="19" xfId="0" applyFont="1" applyFill="1" applyBorder="1" applyNumberFormat="1">
      <alignment horizontal="center" vertical="top" wrapText="1"/>
    </xf>
    <xf numFmtId="49" fontId="23" fillId="43" borderId="25" xfId="0" applyFont="1" applyFill="1" applyBorder="1" applyNumberFormat="1">
      <alignment horizontal="center" vertical="top" wrapText="1"/>
    </xf>
    <xf numFmtId="167" fontId="0" fillId="42" borderId="14" xfId="0" applyFont="1" applyFill="1" applyBorder="1" applyNumberFormat="1">
      <alignment horizontal="center" vertical="top" wrapText="1"/>
      <protection locked="0"/>
    </xf>
    <xf numFmtId="49" fontId="0" fillId="42" borderId="14" xfId="0" applyFont="1" applyFill="1" applyBorder="1" applyNumberFormat="1">
      <alignment horizontal="center" vertical="top" wrapText="1"/>
      <protection locked="0"/>
    </xf>
    <xf numFmtId="167" fontId="0" fillId="39" borderId="14" xfId="0" applyFont="1" applyFill="1" applyBorder="1" applyNumberFormat="1">
      <alignment horizontal="center" vertical="top" wrapText="1"/>
      <protection locked="0"/>
    </xf>
    <xf numFmtId="49" fontId="0" fillId="39" borderId="14" xfId="0" applyFont="1" applyFill="1" applyBorder="1" applyNumberFormat="1">
      <alignment horizontal="center" vertical="top" wrapText="1"/>
      <protection locked="0"/>
    </xf>
    <xf numFmtId="49" fontId="23" fillId="43" borderId="14" xfId="0" applyFont="1" applyFill="1" applyBorder="1" applyNumberFormat="1">
      <alignment horizontal="left" vertical="top" wrapText="1"/>
    </xf>
    <xf numFmtId="49" fontId="23" fillId="43" borderId="19" xfId="0" applyFont="1" applyFill="1" applyBorder="1" applyNumberFormat="1">
      <alignment horizontal="left" vertical="center" wrapText="1" indent="1"/>
    </xf>
    <xf numFmtId="49" fontId="23" fillId="43" borderId="38" xfId="0" applyFont="1" applyFill="1" applyBorder="1" applyNumberFormat="1">
      <alignment horizontal="left" vertical="center" wrapText="1" indent="1"/>
    </xf>
    <xf numFmtId="49" fontId="23" fillId="43" borderId="25" xfId="0" applyFont="1" applyFill="1" applyBorder="1" applyNumberFormat="1">
      <alignment horizontal="left" vertical="center" wrapText="1" indent="1"/>
    </xf>
    <xf numFmtId="49" fontId="23" fillId="0" borderId="14" xfId="0" applyFont="1" applyBorder="1" applyNumberFormat="1">
      <alignment horizontal="left" vertical="center" wrapText="1"/>
    </xf>
    <xf numFmtId="49" fontId="128" fillId="0" borderId="14" xfId="0" applyFont="1" applyBorder="1" applyNumberFormat="1">
      <alignment horizontal="center" vertical="center" wrapText="1"/>
    </xf>
    <xf numFmtId="0" fontId="53" fillId="0" borderId="14" xfId="0" applyFont="1" applyBorder="1" applyNumberFormat="1">
      <alignment horizontal="center" vertical="center"/>
    </xf>
    <xf numFmtId="49" fontId="23" fillId="38" borderId="14" xfId="0" applyFont="1" applyFill="1" applyBorder="1" applyNumberFormat="1">
      <alignment horizontal="left" vertical="center" wrapText="1"/>
    </xf>
    <xf numFmtId="0" fontId="0" fillId="0" borderId="14" xfId="0" applyFont="1" applyBorder="1" applyNumberFormat="1">
      <alignment horizontal="center" vertical="center"/>
    </xf>
    <xf numFmtId="49" fontId="0" fillId="0" borderId="14" xfId="0" applyFont="1" applyBorder="1" applyNumberFormat="1">
      <alignment vertical="top"/>
    </xf>
    <xf numFmtId="49" fontId="23" fillId="42" borderId="14" xfId="0" applyFont="1" applyFill="1" applyBorder="1" applyNumberFormat="1">
      <alignment horizontal="left" vertical="top" wrapText="1"/>
      <protection locked="0"/>
    </xf>
    <xf numFmtId="49" fontId="23" fillId="0" borderId="15" xfId="0" applyFont="1" applyBorder="1" applyNumberFormat="1">
      <alignment horizontal="center" vertical="center" wrapText="1"/>
    </xf>
    <xf numFmtId="0" fontId="23" fillId="39" borderId="14" xfId="0" applyFont="1" applyFill="1" applyBorder="1" applyNumberFormat="1">
      <alignment horizontal="left" vertical="top" wrapText="1"/>
      <protection locked="0"/>
    </xf>
    <xf numFmtId="49" fontId="0" fillId="42" borderId="14" xfId="0" applyFont="1" applyFill="1" applyBorder="1" applyNumberFormat="1">
      <alignment horizontal="left" vertical="center" wrapText="1"/>
      <protection locked="0"/>
    </xf>
    <xf numFmtId="0" fontId="23" fillId="43" borderId="14" xfId="0" applyFont="1" applyFill="1" applyBorder="1" applyNumberFormat="1">
      <alignment horizontal="left" vertical="top" wrapText="1"/>
    </xf>
    <xf numFmtId="49" fontId="0" fillId="43" borderId="14" xfId="0" applyFont="1" applyFill="1" applyBorder="1" applyNumberFormat="1">
      <alignment horizontal="left" vertical="top"/>
    </xf>
    <xf numFmtId="49" fontId="23" fillId="0" borderId="19" xfId="0" applyFont="1" applyBorder="1" applyNumberFormat="1">
      <alignment horizontal="center" vertical="center" wrapText="1"/>
    </xf>
    <xf numFmtId="49" fontId="23" fillId="0" borderId="38" xfId="0" applyFont="1" applyBorder="1" applyNumberFormat="1">
      <alignment horizontal="center" vertical="center" wrapText="1"/>
    </xf>
    <xf numFmtId="49" fontId="23" fillId="0" borderId="25" xfId="0" applyFont="1" applyBorder="1" applyNumberFormat="1">
      <alignment horizontal="center" vertical="center" wrapText="1"/>
    </xf>
    <xf numFmtId="0" fontId="0" fillId="42" borderId="14" xfId="0" applyFont="1" applyFill="1" applyBorder="1" applyNumberFormat="1">
      <alignment horizontal="left" vertical="center" wrapText="1"/>
      <protection locked="0"/>
    </xf>
    <xf numFmtId="49" fontId="0" fillId="42" borderId="16" xfId="0" applyFont="1" applyFill="1" applyBorder="1" applyNumberFormat="1">
      <alignment horizontal="left" vertical="center" wrapText="1"/>
      <protection locked="0"/>
    </xf>
    <xf numFmtId="49" fontId="0" fillId="42" borderId="14" xfId="0" applyFont="1" applyFill="1" applyBorder="1" applyNumberFormat="1">
      <alignment horizontal="left" vertical="center" wrapText="1"/>
      <protection locked="0"/>
    </xf>
    <xf numFmtId="49" fontId="45" fillId="0" borderId="19" xfId="0" applyFont="1" applyBorder="1" applyNumberFormat="1">
      <alignment horizontal="center" vertical="top" wrapText="1"/>
    </xf>
    <xf numFmtId="49" fontId="23" fillId="0" borderId="38" xfId="0" applyFont="1" applyBorder="1" applyNumberFormat="1">
      <alignment horizontal="center" vertical="top" wrapText="1"/>
    </xf>
    <xf numFmtId="49" fontId="23" fillId="0" borderId="25" xfId="0" applyFont="1" applyBorder="1" applyNumberFormat="1">
      <alignment horizontal="center" vertical="top" wrapText="1"/>
    </xf>
    <xf numFmtId="49" fontId="23" fillId="42" borderId="16" xfId="0" applyFont="1" applyFill="1" applyBorder="1" applyNumberFormat="1">
      <alignment horizontal="left" vertical="center" wrapText="1" indent="1"/>
      <protection locked="0"/>
    </xf>
    <xf numFmtId="49" fontId="23" fillId="42" borderId="14" xfId="0" applyFont="1" applyFill="1" applyBorder="1" applyNumberFormat="1">
      <alignment horizontal="left" vertical="center" wrapText="1" indent="1"/>
      <protection locked="0"/>
    </xf>
    <xf numFmtId="0" fontId="0" fillId="0" borderId="14" xfId="0" applyFont="1" applyBorder="1" applyNumberFormat="1">
      <alignment horizontal="center" vertical="center" wrapText="1"/>
    </xf>
    <xf numFmtId="0" fontId="0" fillId="0" borderId="21" xfId="0" applyFont="1" applyBorder="1" applyNumberFormat="1">
      <alignment horizontal="left" vertical="center" wrapText="1"/>
    </xf>
    <xf numFmtId="0" fontId="0" fillId="0" borderId="0" xfId="0" applyFont="1" applyNumberFormat="1">
      <alignment horizontal="left" vertical="center" wrapText="1"/>
    </xf>
    <xf numFmtId="49" fontId="0" fillId="0" borderId="0" xfId="0" applyFont="1" applyNumberFormat="1">
      <alignment horizontal="left" vertical="center" wrapText="1"/>
    </xf>
    <xf numFmtId="49" fontId="0" fillId="0" borderId="14" xfId="0" applyFont="1" applyBorder="1" applyNumberFormat="1">
      <alignment horizontal="left" vertical="top"/>
    </xf>
    <xf numFmtId="0" fontId="0" fillId="43" borderId="14" xfId="0" applyFont="1" applyFill="1" applyBorder="1" applyNumberFormat="1">
      <alignment horizontal="left" vertical="center" wrapText="1"/>
      <protection locked="0"/>
    </xf>
    <xf numFmtId="49" fontId="0" fillId="43" borderId="14" xfId="0" applyFont="1" applyFill="1" applyBorder="1" applyNumberFormat="1">
      <alignment horizontal="left" vertical="center" wrapText="1"/>
      <protection locked="0"/>
    </xf>
    <xf numFmtId="49" fontId="23" fillId="39" borderId="14" xfId="0" applyFont="1" applyFill="1" applyBorder="1" applyNumberFormat="1">
      <alignment horizontal="left" vertical="center" wrapText="1"/>
      <protection locked="0"/>
    </xf>
    <xf numFmtId="49" fontId="0" fillId="39" borderId="14" xfId="0" applyFont="1" applyFill="1" applyBorder="1" applyNumberFormat="1">
      <alignment horizontal="left" vertical="top"/>
      <protection locked="0"/>
    </xf>
    <xf numFmtId="0" fontId="0" fillId="0" borderId="21" xfId="0" applyFont="1" applyBorder="1" applyNumberFormat="1">
      <alignment horizontal="center" vertical="center"/>
    </xf>
    <xf numFmtId="0" fontId="0" fillId="0" borderId="0" xfId="0" applyFont="1" applyNumberFormat="1">
      <alignment horizontal="center" vertical="center"/>
    </xf>
    <xf numFmtId="49" fontId="0" fillId="0" borderId="21" xfId="0" applyFont="1" applyBorder="1" applyNumberFormat="1">
      <alignment horizontal="left" vertical="center" wrapText="1"/>
    </xf>
    <xf numFmtId="14" fontId="86" fillId="0" borderId="19" xfId="0" applyFont="1" applyBorder="1" applyNumberFormat="1">
      <alignment horizontal="center" vertical="center" wrapText="1"/>
    </xf>
    <xf numFmtId="14" fontId="86" fillId="0" borderId="38" xfId="0" applyFont="1" applyBorder="1" applyNumberFormat="1">
      <alignment horizontal="center" vertical="center" wrapText="1"/>
    </xf>
    <xf numFmtId="0" fontId="80" fillId="0" borderId="14" xfId="0" applyFont="1" applyBorder="1" applyNumberFormat="1">
      <alignment horizontal="left" vertical="center" wrapText="1" indent="1"/>
    </xf>
    <xf numFmtId="0" fontId="80" fillId="0" borderId="14" xfId="0" applyFont="1" applyBorder="1" applyNumberFormat="1">
      <alignment horizontal="left" vertical="top" indent="1"/>
    </xf>
    <xf numFmtId="0" fontId="44" fillId="0" borderId="14" xfId="0" applyFont="1" applyBorder="1" applyNumberFormat="1">
      <alignment horizontal="center" vertical="center" wrapText="1"/>
    </xf>
    <xf numFmtId="0" fontId="23" fillId="43" borderId="14" xfId="0" applyFont="1" applyFill="1" applyBorder="1" applyNumberFormat="1">
      <alignment horizontal="left" vertical="center" wrapText="1" indent="1"/>
    </xf>
    <xf numFmtId="0" fontId="0" fillId="0" borderId="14" xfId="0" applyFont="1" applyBorder="1" applyNumberFormat="1">
      <alignment horizontal="center" vertical="center"/>
    </xf>
    <xf numFmtId="0" fontId="0" fillId="0" borderId="39" xfId="0" applyFont="1" applyBorder="1" applyNumberFormat="1">
      <alignment horizontal="center" vertical="center"/>
    </xf>
    <xf numFmtId="0" fontId="0" fillId="0" borderId="24" xfId="0" applyFont="1" applyBorder="1" applyNumberFormat="1">
      <alignment horizontal="center" vertical="center"/>
    </xf>
    <xf numFmtId="49" fontId="0" fillId="0" borderId="0" xfId="0" applyFont="1" applyNumberFormat="1">
      <alignment horizontal="left" vertical="top"/>
    </xf>
    <xf numFmtId="49" fontId="23" fillId="43" borderId="14" xfId="0" applyFont="1" applyFill="1" applyBorder="1" applyNumberFormat="1">
      <alignment horizontal="center" vertical="top" wrapText="1"/>
    </xf>
    <xf numFmtId="49" fontId="23" fillId="43" borderId="16" xfId="0" applyFont="1" applyFill="1" applyBorder="1" applyNumberFormat="1">
      <alignment horizontal="center" vertical="top" wrapText="1"/>
    </xf>
    <xf numFmtId="49" fontId="0" fillId="38" borderId="14" xfId="0" applyFont="1" applyFill="1" applyBorder="1" applyNumberFormat="1">
      <alignment horizontal="center" vertical="top" wrapText="1"/>
    </xf>
    <xf numFmtId="0" fontId="23" fillId="38" borderId="14" xfId="0" applyFont="1" applyFill="1" applyBorder="1" applyNumberFormat="1">
      <alignment horizontal="center" vertical="top" wrapText="1"/>
    </xf>
    <xf numFmtId="49" fontId="23" fillId="43" borderId="16" xfId="0" applyFont="1" applyFill="1" applyBorder="1" applyNumberFormat="1">
      <alignment horizontal="center" vertical="center" wrapText="1"/>
    </xf>
    <xf numFmtId="49" fontId="48" fillId="40" borderId="53" xfId="0" applyFont="1" applyFill="1" applyBorder="1" applyNumberFormat="1">
      <alignment horizontal="left" vertical="center" indent="1"/>
    </xf>
    <xf numFmtId="49" fontId="23" fillId="38" borderId="14" xfId="0" applyFont="1" applyFill="1" applyBorder="1" applyNumberFormat="1">
      <alignment horizontal="center" vertical="center" wrapText="1"/>
    </xf>
    <xf numFmtId="49" fontId="23" fillId="38" borderId="77" xfId="0" applyFont="1" applyFill="1" applyBorder="1" applyNumberFormat="1">
      <alignment horizontal="center" vertical="center" wrapText="1"/>
    </xf>
    <xf numFmtId="3" fontId="23" fillId="42" borderId="14" xfId="0" applyFont="1" applyFill="1" applyBorder="1" applyNumberFormat="1">
      <alignment horizontal="center" vertical="center" wrapText="1"/>
      <protection locked="0"/>
    </xf>
    <xf numFmtId="49" fontId="23" fillId="43" borderId="15" xfId="0" applyFont="1" applyFill="1" applyBorder="1" applyNumberFormat="1">
      <alignment horizontal="left" vertical="center" wrapText="1"/>
    </xf>
    <xf numFmtId="49" fontId="23" fillId="42" borderId="14" xfId="0" applyFont="1" applyFill="1" applyBorder="1" applyNumberFormat="1">
      <alignment horizontal="left" vertical="center" wrapText="1"/>
      <protection locked="0"/>
    </xf>
    <xf numFmtId="49" fontId="128" fillId="0" borderId="15" xfId="0" applyFont="1" applyBorder="1" applyNumberFormat="1">
      <alignment horizontal="center" vertical="center" wrapText="1"/>
    </xf>
    <xf numFmtId="0" fontId="23" fillId="43" borderId="19" xfId="0" applyFont="1" applyFill="1" applyBorder="1" applyNumberFormat="1">
      <alignment horizontal="left" vertical="center" wrapText="1"/>
    </xf>
    <xf numFmtId="0" fontId="23" fillId="43" borderId="38" xfId="0" applyFont="1" applyFill="1" applyBorder="1" applyNumberFormat="1">
      <alignment horizontal="left" vertical="center" wrapText="1"/>
    </xf>
    <xf numFmtId="49" fontId="23" fillId="43" borderId="19" xfId="0" applyFont="1" applyFill="1" applyBorder="1" applyNumberFormat="1">
      <alignment horizontal="left" vertical="center" wrapText="1"/>
    </xf>
    <xf numFmtId="49" fontId="23" fillId="0" borderId="38" xfId="0" applyFont="1" applyBorder="1" applyNumberFormat="1">
      <alignment horizontal="center" vertical="center"/>
    </xf>
    <xf numFmtId="0" fontId="23" fillId="0" borderId="26" xfId="0" applyFont="1" applyBorder="1" applyNumberFormat="1">
      <alignment horizontal="center" vertical="center"/>
    </xf>
    <xf numFmtId="49" fontId="23" fillId="39" borderId="19" xfId="0" applyFont="1" applyFill="1" applyBorder="1" applyNumberFormat="1">
      <alignment horizontal="left" vertical="center" wrapText="1"/>
      <protection locked="0"/>
    </xf>
    <xf numFmtId="0" fontId="48" fillId="40" borderId="17" xfId="0" applyFont="1" applyFill="1" applyBorder="1" applyNumberFormat="1">
      <alignment horizontal="left" vertical="center"/>
    </xf>
    <xf numFmtId="0" fontId="48" fillId="40" borderId="15" xfId="0" applyFont="1" applyFill="1" applyBorder="1" applyNumberFormat="1">
      <alignment horizontal="left" vertical="center"/>
    </xf>
    <xf numFmtId="0" fontId="48" fillId="40" borderId="21" xfId="0" applyFont="1" applyFill="1" applyBorder="1" applyNumberFormat="1">
      <alignment horizontal="left" vertical="center"/>
    </xf>
    <xf numFmtId="0" fontId="48" fillId="40" borderId="22" xfId="0" applyFont="1" applyFill="1" applyBorder="1" applyNumberFormat="1">
      <alignment horizontal="left" vertical="center"/>
    </xf>
    <xf numFmtId="49" fontId="23" fillId="42" borderId="19" xfId="0" applyFont="1" applyFill="1" applyBorder="1" applyNumberFormat="1">
      <alignment horizontal="left" vertical="center" wrapText="1"/>
      <protection locked="0"/>
    </xf>
    <xf numFmtId="49" fontId="100" fillId="0" borderId="14" xfId="0" applyFont="1" applyBorder="1" applyNumberFormat="1">
      <alignment horizontal="center" vertical="top" wrapText="1"/>
    </xf>
    <xf numFmtId="0" fontId="100" fillId="34" borderId="14" xfId="0" applyFont="1" applyFill="1" applyBorder="1" applyNumberFormat="1">
      <alignment horizontal="center" vertical="center" wrapText="1"/>
    </xf>
    <xf numFmtId="49" fontId="100" fillId="0" borderId="39" xfId="0" applyFont="1" applyBorder="1" applyNumberFormat="1">
      <alignment horizontal="center" vertical="top" wrapText="1"/>
    </xf>
    <xf numFmtId="49" fontId="100" fillId="0" borderId="32" xfId="0" applyFont="1" applyBorder="1" applyNumberFormat="1">
      <alignment horizontal="center" vertical="top" wrapText="1"/>
    </xf>
    <xf numFmtId="49" fontId="100" fillId="0" borderId="16" xfId="0" applyFont="1" applyBorder="1" applyNumberFormat="1">
      <alignment horizontal="center" vertical="top" wrapText="1"/>
    </xf>
    <xf numFmtId="49" fontId="100" fillId="0" borderId="17" xfId="0" applyFont="1" applyBorder="1" applyNumberFormat="1">
      <alignment horizontal="center" vertical="top" wrapText="1"/>
    </xf>
    <xf numFmtId="49" fontId="100" fillId="0" borderId="15" xfId="0" applyFont="1" applyBorder="1" applyNumberFormat="1">
      <alignment horizontal="center" vertical="top" wrapText="1"/>
    </xf>
    <xf numFmtId="49" fontId="100" fillId="0" borderId="19" xfId="0" applyFont="1" applyBorder="1" applyNumberFormat="1">
      <alignment horizontal="center" vertical="top" wrapText="1"/>
    </xf>
    <xf numFmtId="49" fontId="100" fillId="0" borderId="38" xfId="0" applyFont="1" applyBorder="1" applyNumberFormat="1">
      <alignment horizontal="center" vertical="top" wrapText="1"/>
    </xf>
    <xf numFmtId="49" fontId="100" fillId="0" borderId="25" xfId="0" applyFont="1" applyBorder="1" applyNumberFormat="1">
      <alignment horizontal="center" vertical="top" wrapText="1"/>
    </xf>
    <xf numFmtId="4" fontId="23" fillId="38" borderId="14" xfId="0" applyFont="1" applyFill="1" applyBorder="1" applyNumberFormat="1">
      <alignment horizontal="left" vertical="center" wrapText="1"/>
    </xf>
    <xf numFmtId="0" fontId="54" fillId="0" borderId="0" xfId="0" applyFont="1" applyNumberFormat="1">
      <alignment horizontal="center" vertical="center" wrapText="1"/>
    </xf>
    <xf numFmtId="0" fontId="23" fillId="43" borderId="14" xfId="0" applyFont="1" applyFill="1" applyBorder="1" applyNumberFormat="1">
      <alignment horizontal="left" vertical="center" wrapText="1"/>
      <protection locked="0"/>
    </xf>
    <xf numFmtId="0" fontId="23" fillId="43" borderId="16" xfId="0" applyFont="1" applyFill="1" applyBorder="1" applyNumberFormat="1">
      <alignment horizontal="left" vertical="center" wrapText="1"/>
      <protection locked="0"/>
    </xf>
    <xf numFmtId="0" fontId="23" fillId="43" borderId="17" xfId="0" applyFont="1" applyFill="1" applyBorder="1" applyNumberFormat="1">
      <alignment horizontal="left" vertical="center" wrapText="1"/>
      <protection locked="0"/>
    </xf>
    <xf numFmtId="0" fontId="23" fillId="43" borderId="15" xfId="0" applyFont="1" applyFill="1" applyBorder="1" applyNumberFormat="1">
      <alignment horizontal="left" vertical="center" wrapText="1"/>
      <protection locked="0"/>
    </xf>
    <xf numFmtId="0" fontId="23" fillId="0" borderId="0" xfId="0" applyFont="1" applyNumberFormat="1">
      <alignment horizontal="right" vertical="center" wrapText="1"/>
    </xf>
    <xf numFmtId="0" fontId="22" fillId="0" borderId="21" xfId="0" applyFont="1" applyBorder="1" applyNumberFormat="1">
      <alignment horizontal="left" vertical="center" wrapText="1" indent="1"/>
    </xf>
    <xf numFmtId="0" fontId="22" fillId="0" borderId="29" xfId="0" applyFont="1" applyBorder="1" applyNumberFormat="1">
      <alignment horizontal="left" vertical="center" wrapText="1" indent="1"/>
    </xf>
    <xf numFmtId="167" fontId="0" fillId="42" borderId="14" xfId="0" applyFont="1" applyFill="1" applyBorder="1" applyNumberFormat="1">
      <alignment horizontal="center" vertical="center" wrapText="1"/>
      <protection locked="0"/>
    </xf>
    <xf numFmtId="49" fontId="0" fillId="0" borderId="14" xfId="0" applyFont="1" applyBorder="1" applyNumberFormat="1">
      <alignment horizontal="center" vertical="top"/>
    </xf>
    <xf numFmtId="49" fontId="0" fillId="0" borderId="16" xfId="0" applyFont="1" applyBorder="1" applyNumberFormat="1">
      <alignment horizontal="center" vertical="top"/>
    </xf>
    <xf numFmtId="0" fontId="120" fillId="0" borderId="0" xfId="0" applyFont="1" applyNumberFormat="1">
      <alignment wrapText="1"/>
    </xf>
    <xf numFmtId="49" fontId="71" fillId="0" borderId="0" xfId="0" applyFont="1" applyNumberFormat="1">
      <alignment wrapText="1"/>
    </xf>
    <xf numFmtId="49" fontId="71" fillId="0" borderId="0" xfId="0" applyFont="1" applyNumberFormat="1">
      <alignment vertical="center" wrapText="1"/>
    </xf>
    <xf numFmtId="49" fontId="121" fillId="0" borderId="0" xfId="0" applyFont="1" applyNumberFormat="1">
      <alignment wrapText="1"/>
    </xf>
    <xf numFmtId="0" fontId="107" fillId="0" borderId="0" xfId="0" applyFont="1" applyNumberFormat="1">
      <alignment vertical="center" wrapText="1"/>
    </xf>
    <xf numFmtId="0" fontId="107" fillId="0" borderId="0" xfId="0" applyFont="1" applyNumberFormat="1">
      <alignment horizontal="left" vertical="center" wrapText="1"/>
    </xf>
    <xf numFmtId="49" fontId="122" fillId="0" borderId="0" xfId="0" applyFont="1" applyNumberFormat="1">
      <alignment wrapText="1"/>
    </xf>
    <xf numFmtId="0" fontId="107" fillId="0" borderId="0" xfId="0" applyFont="1" applyNumberFormat="1">
      <alignment vertical="center"/>
    </xf>
    <xf numFmtId="0" fontId="22" fillId="0" borderId="0" xfId="0" applyFont="1" applyNumberFormat="1">
      <alignment horizontal="left" vertical="top" wrapText="1"/>
    </xf>
    <xf numFmtId="49" fontId="23" fillId="0" borderId="0" xfId="0" applyFont="1" applyNumberFormat="1">
      <alignment vertical="top" wrapText="1"/>
    </xf>
    <xf numFmtId="0" fontId="22" fillId="57" borderId="68" xfId="0" applyFont="1" applyFill="1" applyBorder="1" applyNumberFormat="1">
      <alignment horizontal="center" vertical="center" wrapText="1"/>
    </xf>
    <xf numFmtId="0" fontId="22" fillId="57" borderId="69" xfId="0" applyFont="1" applyFill="1" applyBorder="1" applyNumberFormat="1">
      <alignment horizontal="center" vertical="center" wrapText="1"/>
    </xf>
    <xf numFmtId="0" fontId="22" fillId="57" borderId="70" xfId="0" applyFont="1" applyFill="1" applyBorder="1" applyNumberFormat="1">
      <alignment horizontal="center" vertical="center" wrapText="1"/>
    </xf>
    <xf numFmtId="0" fontId="71" fillId="0" borderId="0" xfId="0" applyFont="1" applyNumberFormat="1">
      <alignment wrapText="1"/>
    </xf>
    <xf numFmtId="0" fontId="22" fillId="48" borderId="40" xfId="0" applyFont="1" applyFill="1" applyBorder="1" applyNumberFormat="1">
      <alignment horizontal="right" vertical="center" wrapText="1" indent="1"/>
    </xf>
    <xf numFmtId="0" fontId="22" fillId="48" borderId="67" xfId="0" applyFont="1" applyFill="1" applyBorder="1" applyNumberFormat="1">
      <alignment horizontal="right" vertical="center" wrapText="1" indent="1"/>
    </xf>
    <xf numFmtId="0" fontId="123" fillId="0" borderId="0" xfId="0" applyFont="1" applyNumberFormat="1">
      <alignment horizontal="left" vertical="center" wrapText="1"/>
    </xf>
    <xf numFmtId="0" fontId="124" fillId="0" borderId="0" xfId="0" applyFont="1" applyNumberFormat="1">
      <alignment vertical="center" wrapText="1"/>
    </xf>
    <xf numFmtId="0" fontId="71" fillId="0" borderId="40" xfId="0" applyFont="1" applyBorder="1" applyNumberFormat="1">
      <alignment wrapText="1"/>
    </xf>
    <xf numFmtId="0" fontId="71" fillId="0" borderId="0" xfId="0" applyFont="1" applyNumberFormat="1"/>
    <xf numFmtId="0" fontId="123" fillId="0" borderId="0" xfId="0" applyFont="1" applyNumberFormat="1"/>
    <xf numFmtId="0" fontId="125" fillId="0" borderId="0" xfId="0" applyFont="1" applyNumberFormat="1">
      <alignment wrapText="1"/>
    </xf>
    <xf numFmtId="0" fontId="0" fillId="39" borderId="63" xfId="0" applyFont="1" applyFill="1" applyBorder="1" applyNumberFormat="1">
      <alignment horizontal="center" vertical="center" wrapText="1"/>
    </xf>
    <xf numFmtId="0" fontId="125" fillId="0" borderId="40" xfId="0" applyFont="1" applyBorder="1" applyNumberFormat="1">
      <alignment vertical="center" wrapText="1"/>
    </xf>
    <xf numFmtId="0" fontId="125" fillId="0" borderId="0" xfId="0" applyFont="1" applyNumberFormat="1">
      <alignment vertical="center" wrapText="1"/>
    </xf>
    <xf numFmtId="0" fontId="0" fillId="55" borderId="63" xfId="0" applyFont="1" applyFill="1" applyBorder="1" applyNumberFormat="1">
      <alignment horizontal="center" vertical="center" wrapText="1"/>
    </xf>
    <xf numFmtId="0" fontId="125" fillId="0" borderId="40" xfId="0" applyFont="1" applyBorder="1" applyNumberFormat="1">
      <alignment horizontal="left" vertical="center" wrapText="1"/>
    </xf>
    <xf numFmtId="0" fontId="125" fillId="0" borderId="0" xfId="0" applyFont="1" applyNumberFormat="1">
      <alignment horizontal="left" vertical="center" wrapText="1"/>
    </xf>
    <xf numFmtId="0" fontId="0" fillId="38" borderId="63" xfId="0" applyFont="1" applyFill="1" applyBorder="1" applyNumberFormat="1">
      <alignment horizontal="center" vertical="center" wrapText="1"/>
    </xf>
    <xf numFmtId="0" fontId="0" fillId="42" borderId="63" xfId="0" applyFont="1" applyFill="1" applyBorder="1" applyNumberFormat="1">
      <alignment horizontal="center" vertical="center" wrapText="1"/>
    </xf>
    <xf numFmtId="0" fontId="22" fillId="48" borderId="0" xfId="0" applyFont="1" applyFill="1" applyNumberFormat="1">
      <alignment horizontal="right" vertical="center" wrapText="1" indent="1"/>
    </xf>
    <xf numFmtId="0" fontId="123" fillId="0" borderId="40" xfId="0" applyFont="1" applyBorder="1" applyNumberFormat="1">
      <alignment horizontal="left" vertical="center" wrapText="1"/>
    </xf>
    <xf numFmtId="0" fontId="123" fillId="0" borderId="64" xfId="0" applyFont="1" applyBorder="1" applyNumberFormat="1">
      <alignment horizontal="left" vertical="center" wrapText="1"/>
    </xf>
    <xf numFmtId="0" fontId="22" fillId="48" borderId="63" xfId="0" applyFont="1" applyFill="1" applyBorder="1" applyNumberFormat="1">
      <alignment horizontal="right" vertical="center" wrapText="1" indent="1"/>
    </xf>
    <xf numFmtId="0" fontId="22" fillId="48" borderId="66" xfId="0" applyFont="1" applyFill="1" applyBorder="1" applyNumberFormat="1">
      <alignment horizontal="right" vertical="center" wrapText="1" indent="1"/>
    </xf>
    <xf numFmtId="0" fontId="125" fillId="0" borderId="0" xfId="0" applyFont="1" applyNumberFormat="1"/>
    <xf numFmtId="0" fontId="125" fillId="0" borderId="40" xfId="0" applyFont="1" applyBorder="1" applyNumberFormat="1">
      <alignment wrapText="1"/>
    </xf>
    <xf numFmtId="0" fontId="125" fillId="0" borderId="0" xfId="0" applyFont="1" applyNumberFormat="1">
      <alignment vertical="top" wrapText="1"/>
    </xf>
    <xf numFmtId="0" fontId="22" fillId="48" borderId="65" xfId="0" applyFont="1" applyFill="1" applyBorder="1" applyNumberFormat="1">
      <alignment horizontal="right" vertical="center" wrapText="1" indent="1"/>
    </xf>
    <xf numFmtId="0" fontId="22" fillId="48" borderId="41" xfId="0" applyFont="1" applyFill="1" applyBorder="1" applyNumberFormat="1">
      <alignment horizontal="right" vertical="center" wrapText="1" indent="1"/>
    </xf>
    <xf numFmtId="0" fontId="71" fillId="0" borderId="65" xfId="0" applyFont="1" applyBorder="1" applyNumberFormat="1">
      <alignment wrapText="1"/>
    </xf>
    <xf numFmtId="0" fontId="71" fillId="0" borderId="41" xfId="0" applyFont="1" applyBorder="1" applyNumberFormat="1">
      <alignment wrapText="1"/>
    </xf>
    <xf numFmtId="0" fontId="71" fillId="0" borderId="41" xfId="0" applyFont="1" applyBorder="1" applyNumberFormat="1">
      <alignment vertical="center" wrapText="1"/>
    </xf>
    <xf numFmtId="0" fontId="121" fillId="0" borderId="0" xfId="0" applyFont="1" applyNumberFormat="1"/>
    <xf numFmtId="49" fontId="71" fillId="0" borderId="0" xfId="0" applyFont="1" applyNumberFormat="1">
      <alignment vertical="top" wrapText="1"/>
    </xf>
    <xf numFmtId="0" fontId="38" fillId="0" borderId="0" xfId="0" applyFont="1" applyNumberFormat="1"/>
    <xf numFmtId="0" fontId="68" fillId="0" borderId="0" xfId="0" applyFont="1" applyNumberFormat="1">
      <alignment vertical="center" wrapText="1"/>
    </xf>
    <xf numFmtId="0" fontId="96" fillId="0" borderId="0" xfId="0" applyFont="1" applyNumberFormat="1">
      <alignment horizontal="left" vertical="center" wrapText="1"/>
    </xf>
    <xf numFmtId="0" fontId="68" fillId="0" borderId="0" xfId="0" applyFont="1" applyNumberFormat="1">
      <alignment horizontal="left" vertical="center" wrapText="1"/>
    </xf>
    <xf numFmtId="0" fontId="40" fillId="0" borderId="0" xfId="0" applyFont="1" applyNumberFormat="1">
      <alignment horizontal="center" vertical="center" wrapText="1"/>
    </xf>
    <xf numFmtId="0" fontId="40" fillId="0" borderId="0" xfId="0" applyFont="1" applyNumberFormat="1">
      <alignment vertical="center" wrapText="1"/>
    </xf>
    <xf numFmtId="0" fontId="55" fillId="0" borderId="0" xfId="0" applyFont="1" applyNumberFormat="1">
      <alignment vertical="center" wrapText="1"/>
    </xf>
    <xf numFmtId="0" fontId="40" fillId="0" borderId="0" xfId="0" applyFont="1" applyNumberFormat="1">
      <alignment horizontal="left" vertical="center" wrapText="1"/>
    </xf>
    <xf numFmtId="0" fontId="23" fillId="0" borderId="0" xfId="0" applyFont="1" applyNumberFormat="1">
      <alignment horizontal="left" vertical="top" indent="1"/>
    </xf>
    <xf numFmtId="49" fontId="71" fillId="0" borderId="0" xfId="0" applyFont="1" applyNumberFormat="1">
      <alignment vertical="top"/>
    </xf>
    <xf numFmtId="49" fontId="23" fillId="0" borderId="0" xfId="0" applyFont="1" applyNumberFormat="1">
      <alignment vertical="center" wrapText="1"/>
    </xf>
    <xf numFmtId="49" fontId="54" fillId="0" borderId="0" xfId="0" applyFont="1" applyNumberFormat="1">
      <alignment vertical="center" wrapText="1"/>
    </xf>
    <xf numFmtId="0" fontId="0" fillId="0" borderId="0" xfId="0" applyFont="1" applyNumberFormat="1">
      <alignment horizontal="left" vertical="center" indent="1"/>
    </xf>
    <xf numFmtId="49" fontId="0" fillId="0" borderId="0" xfId="0" applyFont="1" applyNumberFormat="1">
      <alignment vertical="top"/>
    </xf>
    <xf numFmtId="49" fontId="54" fillId="0" borderId="0" xfId="0" applyFont="1" applyNumberFormat="1">
      <alignment vertical="top"/>
    </xf>
    <xf numFmtId="49" fontId="0" fillId="0" borderId="0" xfId="0" applyFont="1" applyNumberFormat="1">
      <alignment vertical="top"/>
    </xf>
    <xf numFmtId="0" fontId="65" fillId="0" borderId="0" xfId="0" applyFont="1" applyNumberFormat="1">
      <alignment vertical="center" wrapText="1"/>
    </xf>
    <xf numFmtId="0" fontId="96" fillId="0" borderId="0" xfId="0" applyFont="1" applyNumberFormat="1">
      <alignment horizontal="left" vertical="center" wrapText="1"/>
    </xf>
    <xf numFmtId="0" fontId="63" fillId="0" borderId="0" xfId="0" applyFont="1" applyNumberFormat="1">
      <alignment horizontal="left" vertical="center" wrapText="1"/>
    </xf>
    <xf numFmtId="0" fontId="64" fillId="0" borderId="0" xfId="0" applyFont="1" applyNumberFormat="1">
      <alignment vertical="center" wrapText="1"/>
    </xf>
    <xf numFmtId="0" fontId="65" fillId="37" borderId="0" xfId="0" applyFont="1" applyFill="1" applyNumberFormat="1">
      <alignment vertical="center" wrapText="1"/>
    </xf>
    <xf numFmtId="0" fontId="65" fillId="0" borderId="0" xfId="0" applyFont="1" applyNumberFormat="1">
      <alignment vertical="center" wrapText="1"/>
    </xf>
    <xf numFmtId="0" fontId="65" fillId="0" borderId="0" xfId="0" applyFont="1" applyNumberFormat="1">
      <alignment horizontal="right" vertical="center"/>
    </xf>
    <xf numFmtId="0" fontId="23" fillId="0" borderId="0" xfId="0" applyFont="1" applyNumberFormat="1">
      <alignment horizontal="center" vertical="center" wrapText="1"/>
    </xf>
    <xf numFmtId="0" fontId="23" fillId="0" borderId="0" xfId="0" applyFont="1" applyNumberFormat="1">
      <alignment vertical="center" wrapText="1"/>
    </xf>
    <xf numFmtId="0" fontId="93" fillId="0" borderId="0" xfId="0" applyFont="1" applyNumberFormat="1">
      <alignment vertical="center" wrapText="1"/>
    </xf>
    <xf numFmtId="0" fontId="42" fillId="37" borderId="0" xfId="0" applyFont="1" applyFill="1" applyNumberFormat="1">
      <alignment vertical="center" wrapText="1"/>
    </xf>
    <xf numFmtId="0" fontId="23" fillId="0" borderId="15" xfId="0" applyFont="1" applyBorder="1" applyNumberFormat="1">
      <alignment horizontal="center" vertical="center" wrapText="1"/>
    </xf>
    <xf numFmtId="0" fontId="23" fillId="0" borderId="16" xfId="0" applyFont="1" applyBorder="1" applyNumberFormat="1">
      <alignment horizontal="center" vertical="center" wrapText="1"/>
    </xf>
    <xf numFmtId="0" fontId="36" fillId="37" borderId="0" xfId="0" applyFont="1" applyFill="1" applyNumberFormat="1">
      <alignment vertical="center" wrapText="1"/>
    </xf>
    <xf numFmtId="0" fontId="101" fillId="0" borderId="0" xfId="0" applyFont="1" applyNumberFormat="1">
      <alignment vertical="center" wrapText="1"/>
    </xf>
    <xf numFmtId="0" fontId="65" fillId="37" borderId="0" xfId="0" applyFont="1" applyFill="1" applyNumberFormat="1">
      <alignment horizontal="right" vertical="center" wrapText="1" indent="1"/>
    </xf>
    <xf numFmtId="0" fontId="67" fillId="37" borderId="0" xfId="0" applyFont="1" applyFill="1" applyNumberFormat="1">
      <alignment horizontal="center" vertical="center" wrapText="1"/>
    </xf>
    <xf numFmtId="0" fontId="23" fillId="37" borderId="28" xfId="0" applyFont="1" applyFill="1" applyBorder="1" applyNumberFormat="1">
      <alignment horizontal="right" vertical="center" wrapText="1" indent="1"/>
    </xf>
    <xf numFmtId="0" fontId="0" fillId="38" borderId="14" xfId="0" applyFont="1" applyFill="1" applyBorder="1" applyNumberFormat="1">
      <alignment horizontal="left" vertical="center" wrapText="1" indent="1"/>
    </xf>
    <xf numFmtId="14" fontId="96" fillId="37" borderId="0" xfId="0" applyFont="1" applyFill="1" applyNumberFormat="1">
      <alignment horizontal="left" vertical="center" wrapText="1"/>
    </xf>
    <xf numFmtId="0" fontId="63" fillId="37" borderId="0" xfId="0" applyFont="1" applyFill="1" applyNumberFormat="1">
      <alignment horizontal="center" vertical="center" wrapText="1"/>
    </xf>
    <xf numFmtId="0" fontId="65" fillId="37" borderId="0" xfId="0" applyFont="1" applyFill="1" applyNumberFormat="1">
      <alignment horizontal="left" vertical="center" wrapText="1" indent="1"/>
    </xf>
    <xf numFmtId="0" fontId="23" fillId="37" borderId="0" xfId="0" applyFont="1" applyFill="1" applyNumberFormat="1">
      <alignment horizontal="center" vertical="center" wrapText="1"/>
    </xf>
    <xf numFmtId="0" fontId="93" fillId="0" borderId="0" xfId="0" applyFont="1" applyNumberFormat="1">
      <alignment horizontal="center" vertical="center" wrapText="1"/>
    </xf>
    <xf numFmtId="0" fontId="41" fillId="0" borderId="0" xfId="0" applyFont="1" applyNumberFormat="1">
      <alignment vertical="center" wrapText="1"/>
    </xf>
    <xf numFmtId="0" fontId="42" fillId="37" borderId="0" xfId="0" applyFont="1" applyFill="1" applyNumberFormat="1">
      <alignment vertical="center" wrapText="1"/>
    </xf>
    <xf numFmtId="0" fontId="23" fillId="37" borderId="28" xfId="0" applyFont="1" applyFill="1" applyBorder="1" applyNumberFormat="1">
      <alignment horizontal="right" vertical="center" wrapText="1" indent="1"/>
    </xf>
    <xf numFmtId="0" fontId="23" fillId="42" borderId="14" xfId="0" applyFont="1" applyFill="1" applyBorder="1" applyNumberFormat="1">
      <alignment horizontal="left" vertical="top" wrapText="1" indent="1"/>
      <protection locked="0"/>
    </xf>
    <xf numFmtId="0" fontId="23" fillId="0" borderId="0" xfId="0" applyFont="1" applyNumberFormat="1">
      <alignment horizontal="left" vertical="center" wrapText="1"/>
    </xf>
    <xf numFmtId="0" fontId="54" fillId="0" borderId="0" xfId="0" applyFont="1" applyNumberFormat="1">
      <alignment vertical="center" wrapText="1"/>
    </xf>
    <xf numFmtId="0" fontId="65" fillId="0" borderId="0" xfId="0" applyFont="1" applyNumberFormat="1">
      <alignment vertical="center" wrapText="1"/>
    </xf>
    <xf numFmtId="0" fontId="63" fillId="0" borderId="0" xfId="0" applyFont="1" applyNumberFormat="1">
      <alignment horizontal="left" vertical="center" wrapText="1"/>
    </xf>
    <xf numFmtId="0" fontId="64" fillId="0" borderId="0" xfId="0" applyFont="1" applyNumberFormat="1">
      <alignment vertical="center" wrapText="1"/>
    </xf>
    <xf numFmtId="14" fontId="98" fillId="0" borderId="14" xfId="0" applyFont="1" applyBorder="1" applyNumberFormat="1">
      <alignment horizontal="center" vertical="center" wrapText="1"/>
    </xf>
    <xf numFmtId="167" fontId="0" fillId="42" borderId="14" xfId="0" applyFont="1" applyFill="1" applyBorder="1" applyNumberFormat="1">
      <alignment horizontal="left" vertical="center" wrapText="1" indent="1"/>
      <protection locked="0"/>
    </xf>
    <xf numFmtId="0" fontId="34" fillId="0" borderId="0" xfId="0" applyFont="1" applyNumberFormat="1">
      <alignment horizontal="left" vertical="center" indent="1"/>
    </xf>
    <xf numFmtId="0" fontId="23" fillId="37" borderId="0" xfId="0" applyFont="1" applyFill="1" applyNumberFormat="1">
      <alignment vertical="center" wrapText="1"/>
    </xf>
    <xf numFmtId="14" fontId="98" fillId="0" borderId="14" xfId="0" applyFont="1" applyBorder="1" applyNumberFormat="1">
      <alignment horizontal="left" vertical="center" wrapText="1"/>
    </xf>
    <xf numFmtId="49" fontId="23" fillId="37" borderId="28" xfId="0" applyFont="1" applyFill="1" applyBorder="1" applyNumberFormat="1">
      <alignment horizontal="right" vertical="center" wrapText="1" indent="1"/>
    </xf>
    <xf numFmtId="49" fontId="54" fillId="0" borderId="0" xfId="0" applyFont="1" applyNumberFormat="1">
      <alignment vertical="center" wrapText="1"/>
    </xf>
    <xf numFmtId="0" fontId="0" fillId="42" borderId="14" xfId="0" applyFont="1" applyFill="1" applyBorder="1" applyNumberFormat="1">
      <alignment horizontal="left" vertical="center" wrapText="1" indent="1"/>
      <protection locked="0"/>
    </xf>
    <xf numFmtId="49" fontId="23" fillId="42" borderId="14" xfId="0" applyFont="1" applyFill="1" applyBorder="1" applyNumberFormat="1">
      <alignment horizontal="left" vertical="center" wrapText="1" indent="1"/>
      <protection locked="0"/>
    </xf>
    <xf numFmtId="167" fontId="0" fillId="0" borderId="14" xfId="0" applyFont="1" applyBorder="1" applyNumberFormat="1">
      <alignment horizontal="left" vertical="center" wrapText="1" indent="1"/>
    </xf>
    <xf numFmtId="0" fontId="0" fillId="37" borderId="0" xfId="0" applyFont="1" applyFill="1" applyNumberFormat="1">
      <alignment horizontal="right" vertical="center" wrapText="1" indent="1"/>
    </xf>
    <xf numFmtId="0" fontId="101" fillId="0" borderId="0" xfId="0" applyFont="1" applyNumberFormat="1">
      <alignment horizontal="left" vertical="center" wrapText="1"/>
    </xf>
    <xf numFmtId="0" fontId="23" fillId="37" borderId="0" xfId="0" applyFont="1" applyFill="1" applyNumberFormat="1">
      <alignment horizontal="right" vertical="center" wrapText="1" indent="1"/>
    </xf>
    <xf numFmtId="0" fontId="23" fillId="0" borderId="0" xfId="0" applyFont="1" applyNumberFormat="1">
      <alignment horizontal="center" vertical="center" wrapText="1"/>
    </xf>
    <xf numFmtId="0" fontId="23" fillId="37" borderId="0" xfId="0" applyFont="1" applyFill="1" applyNumberFormat="1">
      <alignment horizontal="center" vertical="center" wrapText="1"/>
    </xf>
    <xf numFmtId="0" fontId="0" fillId="37" borderId="0" xfId="0" applyFont="1" applyFill="1" applyNumberFormat="1">
      <alignment horizontal="left" vertical="center" wrapText="1" indent="1"/>
    </xf>
    <xf numFmtId="49" fontId="23" fillId="0" borderId="14" xfId="0" applyFont="1" applyBorder="1" applyNumberFormat="1">
      <alignment horizontal="left" vertical="center" wrapText="1" indent="1"/>
    </xf>
    <xf numFmtId="0" fontId="41" fillId="0" borderId="0" xfId="0" applyFont="1" applyNumberFormat="1">
      <alignment horizontal="center" vertical="center" wrapText="1"/>
    </xf>
    <xf numFmtId="0" fontId="43" fillId="37" borderId="0" xfId="0" applyFont="1" applyFill="1" applyNumberFormat="1">
      <alignment horizontal="center" vertical="center" wrapText="1"/>
    </xf>
    <xf numFmtId="49" fontId="23" fillId="38" borderId="14" xfId="0" applyFont="1" applyFill="1" applyBorder="1" applyNumberFormat="1">
      <alignment horizontal="left" vertical="center" wrapText="1" indent="1"/>
    </xf>
    <xf numFmtId="14" fontId="23" fillId="37" borderId="0" xfId="0" applyFont="1" applyFill="1" applyNumberFormat="1">
      <alignment horizontal="center" vertical="center" wrapText="1"/>
    </xf>
    <xf numFmtId="0" fontId="0" fillId="37" borderId="28" xfId="0" applyFont="1" applyFill="1" applyBorder="1" applyNumberFormat="1">
      <alignment horizontal="right" vertical="center" wrapText="1" indent="1"/>
    </xf>
    <xf numFmtId="0" fontId="23" fillId="0" borderId="0" xfId="0" applyFont="1" applyNumberFormat="1">
      <alignment vertical="center"/>
    </xf>
    <xf numFmtId="14" fontId="23" fillId="37" borderId="0" xfId="0" applyFont="1" applyFill="1" applyNumberFormat="1">
      <alignment horizontal="left" vertical="center" wrapText="1"/>
    </xf>
    <xf numFmtId="0" fontId="23" fillId="42" borderId="14" xfId="0" applyFont="1" applyFill="1" applyBorder="1" applyNumberFormat="1">
      <alignment horizontal="left" vertical="center" wrapText="1" indent="1"/>
      <protection locked="0"/>
    </xf>
    <xf numFmtId="0" fontId="66" fillId="37" borderId="0" xfId="0" applyFont="1" applyFill="1" applyNumberFormat="1">
      <alignment horizontal="right" vertical="center" wrapText="1" indent="1"/>
    </xf>
    <xf numFmtId="0" fontId="66" fillId="37" borderId="0" xfId="0" applyFont="1" applyFill="1" applyNumberFormat="1">
      <alignment horizontal="left" vertical="center" wrapText="1" indent="1"/>
    </xf>
    <xf numFmtId="49" fontId="23" fillId="43" borderId="14" xfId="0" applyFont="1" applyFill="1" applyBorder="1" applyNumberFormat="1">
      <alignment horizontal="left" vertical="center" wrapText="1" indent="1"/>
    </xf>
    <xf numFmtId="0" fontId="65" fillId="37" borderId="0" xfId="0" applyFont="1" applyFill="1" applyNumberFormat="1">
      <alignment vertical="center" wrapText="1"/>
    </xf>
    <xf numFmtId="0" fontId="66" fillId="37" borderId="0" xfId="0" applyFont="1" applyFill="1" applyNumberFormat="1">
      <alignment horizontal="right" vertical="center" wrapText="1" indent="1"/>
    </xf>
    <xf numFmtId="0" fontId="40" fillId="0" borderId="0" xfId="0" applyFont="1" applyNumberFormat="1">
      <alignment horizontal="left" vertical="center" wrapText="1"/>
    </xf>
    <xf numFmtId="49" fontId="32" fillId="0" borderId="14" xfId="0" applyFont="1" applyBorder="1" applyNumberFormat="1">
      <alignment horizontal="left" vertical="center" wrapText="1" indent="1"/>
    </xf>
    <xf numFmtId="0" fontId="40" fillId="0" borderId="0" xfId="0" applyFont="1" applyNumberFormat="1">
      <alignment horizontal="left" vertical="center" wrapText="1"/>
    </xf>
    <xf numFmtId="0" fontId="23" fillId="0" borderId="0" xfId="0" applyFont="1" applyNumberFormat="1">
      <alignment vertical="center" wrapText="1"/>
    </xf>
    <xf numFmtId="14" fontId="97" fillId="0" borderId="0" xfId="0" applyFont="1" applyNumberFormat="1">
      <alignment horizontal="center" vertical="center" wrapText="1"/>
    </xf>
    <xf numFmtId="0" fontId="41" fillId="0" borderId="0" xfId="0" applyFont="1" applyNumberFormat="1">
      <alignment vertical="center" wrapText="1"/>
    </xf>
    <xf numFmtId="0" fontId="40" fillId="0" borderId="0" xfId="0" applyFont="1" applyNumberFormat="1">
      <alignment horizontal="center" vertical="center" wrapText="1"/>
    </xf>
    <xf numFmtId="0" fontId="23" fillId="0" borderId="0" xfId="0" applyFont="1" applyNumberFormat="1">
      <alignment horizontal="center" vertical="center" wrapText="1"/>
    </xf>
    <xf numFmtId="0" fontId="54" fillId="0" borderId="0" xfId="0" applyFont="1" applyNumberFormat="1">
      <alignment horizontal="center" vertical="center" wrapText="1"/>
    </xf>
    <xf numFmtId="0" fontId="54" fillId="0" borderId="0" xfId="0" applyFont="1" applyNumberFormat="1">
      <alignment vertical="center" wrapText="1"/>
    </xf>
    <xf numFmtId="0" fontId="88" fillId="0" borderId="0" xfId="0" applyFont="1" applyNumberFormat="1">
      <alignment vertical="center" wrapText="1"/>
    </xf>
    <xf numFmtId="0" fontId="23" fillId="43" borderId="14" xfId="0" applyFont="1" applyFill="1" applyBorder="1" applyNumberFormat="1">
      <alignment horizontal="left" vertical="center" wrapText="1" indent="1"/>
    </xf>
    <xf numFmtId="167" fontId="0" fillId="0" borderId="13" xfId="0" applyFont="1" applyBorder="1" applyNumberFormat="1">
      <alignment horizontal="left" vertical="center" wrapText="1" indent="1"/>
    </xf>
    <xf numFmtId="0" fontId="23" fillId="43" borderId="14" xfId="0" applyFont="1" applyFill="1" applyBorder="1" applyNumberFormat="1">
      <alignment horizontal="left" vertical="center" wrapText="1" indent="1"/>
    </xf>
    <xf numFmtId="0" fontId="23" fillId="42" borderId="14" xfId="0" applyFont="1" applyFill="1" applyBorder="1" applyNumberFormat="1">
      <alignment horizontal="left" vertical="center" wrapText="1" indent="1"/>
      <protection locked="0"/>
    </xf>
    <xf numFmtId="49" fontId="23" fillId="43" borderId="14" xfId="0" applyFont="1" applyFill="1" applyBorder="1" applyNumberFormat="1">
      <alignment horizontal="left" vertical="center" wrapText="1" indent="1"/>
    </xf>
    <xf numFmtId="0" fontId="96" fillId="0" borderId="0" xfId="0" applyFont="1" applyNumberFormat="1">
      <alignment horizontal="left" vertical="center" wrapText="1"/>
    </xf>
    <xf numFmtId="49" fontId="40" fillId="0" borderId="0" xfId="0" applyFont="1" applyNumberFormat="1">
      <alignment horizontal="left" vertical="center" wrapText="1"/>
    </xf>
    <xf numFmtId="49" fontId="42" fillId="37" borderId="0" xfId="0" applyFont="1" applyFill="1" applyNumberFormat="1">
      <alignment horizontal="center" vertical="center" wrapText="1"/>
    </xf>
    <xf numFmtId="0" fontId="23" fillId="0" borderId="0" xfId="0" applyFont="1" applyNumberFormat="1">
      <alignment horizontal="left" vertical="center" wrapText="1" indent="4"/>
    </xf>
    <xf numFmtId="0" fontId="23" fillId="0" borderId="0" xfId="0" applyFont="1" applyNumberFormat="1">
      <alignment horizontal="left" vertical="center" wrapText="1" indent="1"/>
    </xf>
    <xf numFmtId="49" fontId="23" fillId="42" borderId="14" xfId="0" applyFont="1" applyFill="1" applyBorder="1" applyNumberFormat="1">
      <alignment horizontal="left" vertical="center" wrapText="1" indent="1"/>
      <protection locked="0"/>
    </xf>
    <xf numFmtId="0" fontId="0" fillId="0" borderId="0" xfId="0" applyFont="1" applyNumberFormat="1">
      <alignment horizontal="center" vertical="center" wrapText="1"/>
    </xf>
    <xf numFmtId="49" fontId="23" fillId="37" borderId="0" xfId="0" applyFont="1" applyFill="1" applyNumberFormat="1">
      <alignment horizontal="right" vertical="center" wrapText="1" indent="1"/>
    </xf>
    <xf numFmtId="49" fontId="23" fillId="0" borderId="0" xfId="0" applyFont="1" applyNumberFormat="1">
      <alignment horizontal="center" vertical="center" wrapText="1"/>
    </xf>
    <xf numFmtId="49" fontId="0" fillId="37" borderId="0" xfId="0" applyFont="1" applyFill="1" applyNumberFormat="1">
      <alignment horizontal="right" vertical="center" wrapText="1" indent="1"/>
    </xf>
    <xf numFmtId="0" fontId="36" fillId="0" borderId="0" xfId="0" applyFont="1" applyNumberFormat="1">
      <alignment vertical="top" wrapText="1"/>
    </xf>
    <xf numFmtId="0" fontId="41" fillId="0" borderId="0" xfId="0" applyFont="1" applyNumberFormat="1">
      <alignment vertical="center" wrapText="1"/>
    </xf>
    <xf numFmtId="0" fontId="23" fillId="0" borderId="0" xfId="0" applyFont="1" applyNumberFormat="1">
      <alignment vertical="center" wrapText="1"/>
    </xf>
    <xf numFmtId="0" fontId="55" fillId="0" borderId="0" xfId="0" applyFont="1" applyNumberFormat="1">
      <alignment vertical="center" wrapText="1"/>
    </xf>
    <xf numFmtId="0" fontId="77" fillId="0" borderId="0" xfId="0" applyFont="1" applyNumberFormat="1">
      <alignment vertical="center" wrapText="1"/>
    </xf>
    <xf numFmtId="0" fontId="55" fillId="0" borderId="0" xfId="0" applyFont="1" applyNumberFormat="1">
      <alignment vertical="center" wrapText="1"/>
    </xf>
    <xf numFmtId="0" fontId="55" fillId="0" borderId="0" xfId="0" applyFont="1" applyNumberFormat="1">
      <alignment horizontal="center" vertical="center" wrapText="1"/>
    </xf>
    <xf numFmtId="0" fontId="55" fillId="0" borderId="0" xfId="0" applyFont="1" applyNumberFormat="1">
      <alignment horizontal="left" vertical="center" indent="1"/>
    </xf>
    <xf numFmtId="0" fontId="55" fillId="0" borderId="0" xfId="0" applyFont="1" applyNumberFormat="1">
      <alignment horizontal="center" vertical="center" wrapText="1"/>
    </xf>
    <xf numFmtId="0" fontId="55" fillId="0" borderId="0" xfId="0" applyFont="1" applyNumberFormat="1">
      <alignment horizontal="left" vertical="center" wrapText="1" indent="1"/>
    </xf>
    <xf numFmtId="0" fontId="55" fillId="0" borderId="0" xfId="0" applyFont="1" applyNumberFormat="1">
      <alignment horizontal="left" vertical="center" indent="1"/>
    </xf>
    <xf numFmtId="0" fontId="61" fillId="0" borderId="0" xfId="0" applyFont="1" applyNumberFormat="1">
      <alignment vertical="center" wrapText="1"/>
    </xf>
    <xf numFmtId="0" fontId="23" fillId="0" borderId="0" xfId="0" applyFont="1" applyNumberFormat="1">
      <alignment horizontal="left" vertical="center" wrapText="1" indent="1"/>
    </xf>
    <xf numFmtId="0" fontId="54" fillId="0" borderId="0" xfId="0" applyFont="1" applyNumberFormat="1">
      <alignment horizontal="left" vertical="center" wrapText="1" indent="1"/>
    </xf>
    <xf numFmtId="0" fontId="61" fillId="0" borderId="0" xfId="0" applyFont="1" applyNumberFormat="1">
      <alignment horizontal="left" vertical="center" wrapText="1" indent="1"/>
    </xf>
    <xf numFmtId="0" fontId="62" fillId="0" borderId="0" xfId="0" applyFont="1" applyNumberFormat="1">
      <alignment horizontal="left" vertical="center" indent="1"/>
    </xf>
    <xf numFmtId="0" fontId="50" fillId="0" borderId="0" xfId="0" applyFont="1" applyNumberFormat="1">
      <alignment vertical="center" wrapText="1"/>
    </xf>
    <xf numFmtId="0" fontId="23" fillId="0" borderId="0" xfId="0" applyFont="1" applyNumberFormat="1">
      <alignment vertical="center" wrapText="1"/>
    </xf>
    <xf numFmtId="0" fontId="54" fillId="0" borderId="0" xfId="0" applyFont="1" applyNumberFormat="1">
      <alignment vertical="center" wrapText="1"/>
    </xf>
    <xf numFmtId="0" fontId="45" fillId="0" borderId="0" xfId="0" applyFont="1" applyNumberFormat="1">
      <alignment horizontal="center" vertical="center" wrapText="1"/>
    </xf>
    <xf numFmtId="0" fontId="23" fillId="0" borderId="0" xfId="0" applyFont="1" applyNumberFormat="1">
      <alignment vertical="center" wrapText="1"/>
    </xf>
    <xf numFmtId="0" fontId="23" fillId="0" borderId="0" xfId="0" applyFont="1" applyNumberFormat="1">
      <alignment vertical="center" wrapText="1"/>
    </xf>
    <xf numFmtId="0" fontId="23" fillId="0" borderId="0" xfId="0" applyFont="1" applyNumberFormat="1">
      <alignment horizontal="right" vertical="center" wrapText="1"/>
    </xf>
    <xf numFmtId="0" fontId="55" fillId="0" borderId="0" xfId="0" applyFont="1" applyNumberFormat="1">
      <alignment vertical="center"/>
    </xf>
    <xf numFmtId="0" fontId="55" fillId="0" borderId="0" xfId="0" applyFont="1" applyNumberFormat="1">
      <alignment vertical="center"/>
    </xf>
    <xf numFmtId="0" fontId="60" fillId="0" borderId="0" xfId="0" applyFont="1" applyNumberFormat="1">
      <alignment vertical="center"/>
    </xf>
    <xf numFmtId="0" fontId="23" fillId="0" borderId="17" xfId="0" applyFont="1" applyBorder="1" applyNumberFormat="1">
      <alignment horizontal="left" vertical="center" wrapText="1" indent="1"/>
    </xf>
    <xf numFmtId="4" fontId="23" fillId="0" borderId="0" xfId="0" applyFont="1" applyNumberFormat="1">
      <alignment horizontal="right" vertical="center" wrapText="1"/>
    </xf>
    <xf numFmtId="0" fontId="23" fillId="0" borderId="0" xfId="0" applyFont="1" applyNumberFormat="1">
      <alignment horizontal="left" vertical="center" wrapText="1" indent="1"/>
    </xf>
    <xf numFmtId="49" fontId="23" fillId="0" borderId="0" xfId="0" applyFont="1" applyNumberFormat="1">
      <alignment vertical="top"/>
    </xf>
    <xf numFmtId="49" fontId="54" fillId="0" borderId="0" xfId="0" applyFont="1" applyNumberFormat="1">
      <alignment vertical="top"/>
    </xf>
    <xf numFmtId="49" fontId="23" fillId="0" borderId="0" xfId="0" applyFont="1" applyNumberFormat="1">
      <alignment vertical="top"/>
    </xf>
    <xf numFmtId="49" fontId="23" fillId="0" borderId="0" xfId="0" applyFont="1" applyNumberFormat="1">
      <alignment horizontal="center" vertical="center" wrapText="1"/>
    </xf>
    <xf numFmtId="4" fontId="23" fillId="0" borderId="0" xfId="0" applyFont="1" applyNumberFormat="1">
      <alignment horizontal="center" vertical="center" wrapText="1"/>
    </xf>
    <xf numFmtId="0" fontId="23" fillId="0" borderId="16" xfId="0" applyFont="1" applyBorder="1" applyNumberFormat="1">
      <alignment horizontal="center" vertical="center" wrapText="1"/>
    </xf>
    <xf numFmtId="0" fontId="23" fillId="0" borderId="17" xfId="0" applyFont="1" applyBorder="1" applyNumberFormat="1">
      <alignment horizontal="center" vertical="center" wrapText="1"/>
    </xf>
    <xf numFmtId="0" fontId="23" fillId="0" borderId="15" xfId="0" applyFont="1" applyBorder="1" applyNumberFormat="1">
      <alignment horizontal="center" vertical="center" wrapText="1"/>
    </xf>
    <xf numFmtId="4" fontId="23" fillId="0" borderId="14" xfId="0" applyFont="1" applyBorder="1" applyNumberFormat="1">
      <alignment horizontal="center" vertical="center" wrapText="1"/>
    </xf>
    <xf numFmtId="165" fontId="23" fillId="0" borderId="16" xfId="0" applyFont="1" applyBorder="1" applyNumberFormat="1">
      <alignment horizontal="center" vertical="center" wrapText="1"/>
    </xf>
    <xf numFmtId="165" fontId="23" fillId="0" borderId="14" xfId="0" applyFont="1" applyBorder="1" applyNumberFormat="1">
      <alignment horizontal="center" vertical="center" wrapText="1"/>
    </xf>
    <xf numFmtId="0" fontId="44" fillId="0" borderId="0" xfId="0" applyFont="1" applyNumberFormat="1">
      <alignment horizontal="center" vertical="center" wrapText="1"/>
    </xf>
    <xf numFmtId="49" fontId="44" fillId="0" borderId="17" xfId="0" applyFont="1" applyBorder="1" applyNumberFormat="1">
      <alignment horizontal="center" vertical="center" wrapText="1"/>
    </xf>
    <xf numFmtId="49" fontId="44" fillId="0" borderId="17" xfId="0" applyFont="1" applyBorder="1" applyNumberFormat="1">
      <alignment horizontal="center" vertical="center" wrapText="1"/>
    </xf>
    <xf numFmtId="0" fontId="54" fillId="0" borderId="0" xfId="0" applyFont="1" applyNumberFormat="1">
      <alignment vertical="center"/>
    </xf>
    <xf numFmtId="0" fontId="54" fillId="0" borderId="0" xfId="0" applyFont="1" applyNumberFormat="1">
      <alignment vertical="center"/>
    </xf>
    <xf numFmtId="0" fontId="59" fillId="0" borderId="0" xfId="0" applyFont="1" applyNumberFormat="1">
      <alignment vertical="center"/>
    </xf>
    <xf numFmtId="49" fontId="23" fillId="40" borderId="21" xfId="0" applyFont="1" applyFill="1" applyBorder="1" applyNumberFormat="1">
      <alignment horizontal="center" vertical="center" wrapText="1"/>
    </xf>
    <xf numFmtId="49" fontId="54" fillId="40" borderId="21" xfId="0" applyFont="1" applyFill="1" applyBorder="1" applyNumberFormat="1">
      <alignment horizontal="left" vertical="center" wrapText="1"/>
    </xf>
    <xf numFmtId="49" fontId="54" fillId="40" borderId="22" xfId="0" applyFont="1" applyFill="1" applyBorder="1" applyNumberFormat="1">
      <alignment horizontal="left" vertical="center" wrapText="1"/>
    </xf>
    <xf numFmtId="0" fontId="55" fillId="0" borderId="24" xfId="0" applyFont="1" applyBorder="1" applyNumberFormat="1">
      <alignment vertical="center"/>
    </xf>
    <xf numFmtId="0" fontId="50" fillId="0" borderId="0" xfId="0" applyFont="1" applyNumberFormat="1">
      <alignment vertical="center" wrapText="1"/>
    </xf>
    <xf numFmtId="0" fontId="23" fillId="0" borderId="0" xfId="0" applyFont="1" applyNumberFormat="1">
      <alignment horizontal="center" vertical="center" wrapText="1"/>
    </xf>
    <xf numFmtId="0" fontId="45" fillId="0" borderId="0" xfId="0" applyFont="1" applyNumberFormat="1">
      <alignment horizontal="center" vertical="center" wrapText="1"/>
    </xf>
    <xf numFmtId="0" fontId="23" fillId="0" borderId="14" xfId="0" applyFont="1" applyBorder="1" applyNumberFormat="1">
      <alignment horizontal="center" vertical="center" wrapText="1"/>
    </xf>
    <xf numFmtId="0" fontId="55" fillId="0" borderId="14" xfId="0" applyFont="1" applyBorder="1" applyNumberFormat="1">
      <alignment horizontal="center" vertical="center" wrapText="1"/>
    </xf>
    <xf numFmtId="49" fontId="23" fillId="42" borderId="14" xfId="0" applyFont="1" applyFill="1" applyBorder="1" applyNumberFormat="1">
      <alignment vertical="center" wrapText="1"/>
      <protection locked="0"/>
    </xf>
    <xf numFmtId="49" fontId="54" fillId="0" borderId="14" xfId="0" applyFont="1" applyBorder="1" applyNumberFormat="1">
      <alignment horizontal="left" vertical="center" wrapText="1"/>
    </xf>
    <xf numFmtId="0" fontId="55" fillId="0" borderId="0" xfId="0" applyFont="1" applyNumberFormat="1">
      <alignment vertical="center"/>
    </xf>
    <xf numFmtId="0" fontId="55" fillId="0" borderId="0" xfId="0" applyFont="1" applyNumberFormat="1">
      <alignment vertical="center"/>
    </xf>
    <xf numFmtId="49" fontId="0" fillId="0" borderId="0" xfId="0" applyFont="1" applyNumberFormat="1">
      <alignment vertical="top"/>
    </xf>
    <xf numFmtId="0" fontId="44" fillId="0" borderId="26" xfId="0" applyFont="1" applyBorder="1" applyNumberFormat="1">
      <alignment vertical="top" wrapText="1"/>
    </xf>
    <xf numFmtId="0" fontId="23" fillId="0" borderId="25" xfId="0" applyFont="1" applyBorder="1" applyNumberFormat="1">
      <alignment horizontal="center" vertical="center" wrapText="1"/>
    </xf>
    <xf numFmtId="0" fontId="55" fillId="0" borderId="25" xfId="0" applyFont="1" applyBorder="1" applyNumberFormat="1">
      <alignment horizontal="center" vertical="center" wrapText="1"/>
    </xf>
    <xf numFmtId="14" fontId="23" fillId="43" borderId="25" xfId="0" applyFont="1" applyFill="1" applyBorder="1" applyNumberFormat="1">
      <alignment horizontal="left" vertical="center" wrapText="1" indent="1"/>
    </xf>
    <xf numFmtId="49" fontId="23" fillId="38" borderId="25" xfId="0" applyFont="1" applyFill="1" applyBorder="1" applyNumberFormat="1">
      <alignment horizontal="center" vertical="center" wrapText="1"/>
    </xf>
    <xf numFmtId="0" fontId="79" fillId="0" borderId="0" xfId="0" applyFont="1" applyNumberFormat="1">
      <alignment vertical="center" wrapText="1"/>
    </xf>
    <xf numFmtId="49" fontId="54" fillId="0" borderId="0" xfId="0" applyFont="1" applyNumberFormat="1">
      <alignment vertical="top"/>
    </xf>
    <xf numFmtId="49" fontId="55" fillId="0" borderId="0" xfId="0" applyFont="1" applyNumberFormat="1">
      <alignment vertical="top"/>
    </xf>
    <xf numFmtId="0" fontId="0" fillId="0" borderId="0" xfId="0" applyFont="1" applyNumberFormat="1">
      <alignment vertical="center" wrapText="1"/>
    </xf>
    <xf numFmtId="0" fontId="44" fillId="0" borderId="0" xfId="0" applyFont="1" applyNumberFormat="1">
      <alignment vertical="top" wrapText="1"/>
    </xf>
    <xf numFmtId="49" fontId="36" fillId="40" borderId="16" xfId="0" applyFont="1" applyFill="1" applyBorder="1" applyNumberFormat="1">
      <alignment horizontal="right" vertical="center" wrapText="1"/>
    </xf>
    <xf numFmtId="49" fontId="36" fillId="40" borderId="17" xfId="0" applyFont="1" applyFill="1" applyBorder="1" applyNumberFormat="1">
      <alignment horizontal="right" vertical="center" wrapText="1"/>
    </xf>
    <xf numFmtId="49" fontId="48" fillId="40" borderId="17" xfId="0" applyFont="1" applyFill="1" applyBorder="1" applyNumberFormat="1">
      <alignment horizontal="left" vertical="center" indent="1"/>
    </xf>
    <xf numFmtId="49" fontId="0" fillId="40" borderId="17" xfId="0" applyFont="1" applyFill="1" applyBorder="1" applyNumberFormat="1">
      <alignment horizontal="right" vertical="center" wrapText="1"/>
    </xf>
    <xf numFmtId="49" fontId="0" fillId="40" borderId="15" xfId="0" applyFont="1" applyFill="1" applyBorder="1" applyNumberFormat="1">
      <alignment horizontal="right" vertical="center" wrapText="1"/>
    </xf>
    <xf numFmtId="49" fontId="23" fillId="40" borderId="16" xfId="0" applyFont="1" applyFill="1" applyBorder="1" applyNumberFormat="1">
      <alignment horizontal="right" vertical="center" wrapText="1"/>
    </xf>
    <xf numFmtId="49" fontId="23" fillId="40" borderId="17" xfId="0" applyFont="1" applyFill="1" applyBorder="1" applyNumberFormat="1">
      <alignment horizontal="right" vertical="center" wrapText="1"/>
    </xf>
    <xf numFmtId="49" fontId="48" fillId="40" borderId="17" xfId="0" applyFont="1" applyFill="1" applyBorder="1" applyNumberFormat="1">
      <alignment horizontal="left" vertical="center"/>
    </xf>
    <xf numFmtId="49" fontId="23" fillId="40" borderId="15" xfId="0" applyFont="1" applyFill="1" applyBorder="1" applyNumberFormat="1">
      <alignment horizontal="right" vertical="center" wrapText="1"/>
    </xf>
    <xf numFmtId="0" fontId="45" fillId="0" borderId="0" xfId="0" applyFont="1" applyNumberFormat="1">
      <alignment horizontal="center" vertical="center" wrapText="1"/>
    </xf>
    <xf numFmtId="0" fontId="23" fillId="0" borderId="23" xfId="0" applyFont="1" applyBorder="1" applyNumberFormat="1">
      <alignment vertical="center" wrapText="1"/>
    </xf>
    <xf numFmtId="0" fontId="23" fillId="0" borderId="0" xfId="0" applyFont="1" applyNumberFormat="1">
      <alignment vertical="center" wrapText="1"/>
    </xf>
    <xf numFmtId="0" fontId="53" fillId="0" borderId="0" xfId="0" applyFont="1" applyNumberFormat="1">
      <alignment vertical="center" wrapText="1"/>
    </xf>
    <xf numFmtId="0" fontId="99" fillId="0" borderId="0" xfId="0" applyFont="1" applyNumberFormat="1">
      <alignment vertical="center" wrapText="1"/>
    </xf>
    <xf numFmtId="0" fontId="57" fillId="0" borderId="0" xfId="0" applyFont="1" applyNumberFormat="1">
      <alignment horizontal="center" vertical="center" wrapText="1"/>
    </xf>
    <xf numFmtId="0" fontId="23" fillId="0" borderId="0" xfId="0" applyFont="1" applyNumberFormat="1">
      <alignment vertical="center"/>
    </xf>
    <xf numFmtId="0" fontId="23" fillId="0" borderId="22" xfId="0" applyFont="1" applyBorder="1" applyNumberFormat="1">
      <alignment horizontal="left" vertical="center" wrapText="1" indent="1"/>
    </xf>
    <xf numFmtId="0" fontId="23" fillId="0" borderId="19" xfId="0" applyFont="1" applyBorder="1" applyNumberFormat="1">
      <alignment horizontal="left" vertical="center" wrapText="1" indent="1"/>
    </xf>
    <xf numFmtId="0" fontId="23" fillId="0" borderId="39" xfId="0" applyFont="1" applyBorder="1" applyNumberFormat="1">
      <alignment horizontal="left" vertical="center" wrapText="1" indent="1"/>
    </xf>
    <xf numFmtId="0" fontId="54" fillId="0" borderId="0" xfId="0" applyFont="1" applyNumberFormat="1">
      <alignment vertical="center"/>
    </xf>
    <xf numFmtId="0" fontId="49" fillId="0" borderId="0" xfId="0" applyFont="1" applyNumberFormat="1">
      <alignment vertical="center"/>
    </xf>
    <xf numFmtId="0" fontId="23" fillId="0" borderId="31" xfId="0" applyFont="1" applyBorder="1" applyNumberFormat="1">
      <alignment horizontal="left" vertical="center" indent="1"/>
    </xf>
    <xf numFmtId="0" fontId="23" fillId="0" borderId="25" xfId="0" applyFont="1" applyBorder="1" applyNumberFormat="1">
      <alignment horizontal="left" vertical="center" indent="1"/>
    </xf>
    <xf numFmtId="0" fontId="23" fillId="0" borderId="32" xfId="0" applyFont="1" applyBorder="1" applyNumberFormat="1">
      <alignment horizontal="left" vertical="center" indent="1"/>
    </xf>
    <xf numFmtId="0" fontId="91" fillId="0" borderId="0" xfId="0" applyFont="1" applyNumberFormat="1">
      <alignment vertical="center"/>
    </xf>
    <xf numFmtId="0" fontId="56" fillId="0" borderId="0" xfId="0" applyFont="1" applyNumberFormat="1">
      <alignment vertical="center"/>
    </xf>
    <xf numFmtId="0" fontId="113" fillId="0" borderId="0" xfId="0" applyFont="1" applyNumberFormat="1">
      <alignment vertical="center"/>
    </xf>
    <xf numFmtId="0" fontId="49" fillId="0" borderId="0" xfId="0" applyFont="1" applyNumberFormat="1">
      <alignment vertical="center"/>
    </xf>
    <xf numFmtId="0" fontId="23" fillId="0" borderId="0" xfId="0" applyFont="1" applyNumberFormat="1">
      <alignment horizontal="center" vertical="center" wrapText="1"/>
    </xf>
    <xf numFmtId="0" fontId="23" fillId="0" borderId="0" xfId="0" applyFont="1" applyNumberFormat="1">
      <alignment vertical="center" wrapText="1"/>
    </xf>
    <xf numFmtId="0" fontId="91" fillId="0" borderId="0" xfId="0" applyFont="1" applyNumberFormat="1">
      <alignment vertical="center"/>
    </xf>
    <xf numFmtId="0" fontId="56" fillId="0" borderId="0" xfId="0" applyFont="1" applyNumberFormat="1">
      <alignment vertical="center"/>
    </xf>
    <xf numFmtId="0" fontId="113" fillId="0" borderId="0" xfId="0" applyFont="1" applyNumberFormat="1">
      <alignment vertical="center"/>
    </xf>
    <xf numFmtId="0" fontId="0" fillId="0" borderId="0" xfId="0" applyFont="1" applyNumberFormat="1">
      <alignment horizontal="left" vertical="center" wrapText="1" indent="2"/>
    </xf>
    <xf numFmtId="0" fontId="0" fillId="0" borderId="0" xfId="0" applyFont="1" applyNumberFormat="1">
      <alignment horizontal="left" vertical="center" indent="2"/>
    </xf>
    <xf numFmtId="0" fontId="37" fillId="0" borderId="0" xfId="0" applyFont="1" applyNumberFormat="1">
      <alignment vertical="center"/>
    </xf>
    <xf numFmtId="0" fontId="23" fillId="44" borderId="0" xfId="0" applyFont="1" applyFill="1" applyNumberFormat="1">
      <alignment horizontal="center" vertical="center" wrapText="1"/>
    </xf>
    <xf numFmtId="0" fontId="23" fillId="0" borderId="0" xfId="0" applyFont="1" applyNumberFormat="1">
      <alignment vertical="center" wrapText="1"/>
    </xf>
    <xf numFmtId="0" fontId="23" fillId="0" borderId="14" xfId="0" applyFont="1" applyBorder="1" applyNumberFormat="1">
      <alignment horizontal="center" vertical="center" wrapText="1"/>
    </xf>
    <xf numFmtId="0" fontId="80" fillId="0" borderId="39" xfId="0" applyFont="1" applyBorder="1" applyNumberFormat="1">
      <alignment horizontal="center" vertical="center" wrapText="1"/>
    </xf>
    <xf numFmtId="0" fontId="80" fillId="0" borderId="21" xfId="0" applyFont="1" applyBorder="1" applyNumberFormat="1">
      <alignment horizontal="center" vertical="center" wrapText="1"/>
    </xf>
    <xf numFmtId="0" fontId="80" fillId="0" borderId="14" xfId="0" applyFont="1" applyBorder="1" applyNumberFormat="1">
      <alignment horizontal="center" vertical="center" wrapText="1"/>
    </xf>
    <xf numFmtId="0" fontId="23" fillId="0" borderId="0" xfId="0" applyFont="1" applyNumberFormat="1">
      <alignment horizontal="center" vertical="center" wrapText="1"/>
    </xf>
    <xf numFmtId="0" fontId="87" fillId="0" borderId="0" xfId="0" applyFont="1" applyNumberFormat="1">
      <alignment horizontal="center" vertical="center" wrapText="1"/>
    </xf>
    <xf numFmtId="0" fontId="23" fillId="0" borderId="14" xfId="0" applyFont="1" applyBorder="1" applyNumberFormat="1">
      <alignment horizontal="center" vertical="center" wrapText="1"/>
    </xf>
    <xf numFmtId="0" fontId="23" fillId="0" borderId="73" xfId="0" applyFont="1" applyBorder="1" applyNumberFormat="1">
      <alignment horizontal="center" vertical="center" wrapText="1"/>
    </xf>
    <xf numFmtId="0" fontId="23" fillId="0" borderId="74" xfId="0" applyFont="1" applyBorder="1" applyNumberFormat="1">
      <alignment horizontal="center" vertical="center" wrapText="1"/>
    </xf>
    <xf numFmtId="0" fontId="54" fillId="0" borderId="24" xfId="0" applyFont="1" applyBorder="1" applyNumberFormat="1">
      <alignment vertical="center"/>
    </xf>
    <xf numFmtId="0" fontId="0" fillId="0" borderId="0" xfId="0" applyFont="1" applyNumberFormat="1">
      <alignment vertical="center"/>
    </xf>
    <xf numFmtId="49" fontId="44" fillId="0" borderId="0" xfId="0" applyFont="1" applyNumberFormat="1">
      <alignment horizontal="center" vertical="center" wrapText="1"/>
    </xf>
    <xf numFmtId="49" fontId="44" fillId="0" borderId="14" xfId="0" applyFont="1" applyBorder="1" applyNumberFormat="1">
      <alignment horizontal="center" vertical="center" wrapText="1"/>
    </xf>
    <xf numFmtId="49" fontId="44" fillId="0" borderId="71" xfId="0" applyFont="1" applyBorder="1" applyNumberFormat="1">
      <alignment horizontal="center" vertical="center" wrapText="1"/>
    </xf>
    <xf numFmtId="49" fontId="44" fillId="0" borderId="72" xfId="0" applyFont="1" applyBorder="1" applyNumberFormat="1">
      <alignment horizontal="center" vertical="center" wrapText="1"/>
    </xf>
    <xf numFmtId="49" fontId="44" fillId="0" borderId="16" xfId="0" applyFont="1" applyBorder="1" applyNumberFormat="1">
      <alignment horizontal="center" vertical="center" wrapText="1"/>
    </xf>
    <xf numFmtId="49" fontId="44" fillId="0" borderId="15" xfId="0" applyFont="1" applyBorder="1" applyNumberFormat="1">
      <alignment horizontal="center" vertical="center" wrapText="1"/>
    </xf>
    <xf numFmtId="0" fontId="54" fillId="0" borderId="24" xfId="0" applyFont="1" applyBorder="1" applyNumberFormat="1">
      <alignment vertical="center"/>
    </xf>
    <xf numFmtId="0" fontId="55" fillId="0" borderId="0" xfId="0" applyFont="1" applyNumberFormat="1">
      <alignment vertical="center"/>
    </xf>
    <xf numFmtId="0" fontId="55" fillId="0" borderId="0" xfId="0" applyFont="1" applyNumberFormat="1">
      <alignment vertical="center"/>
    </xf>
    <xf numFmtId="0" fontId="23" fillId="0" borderId="0" xfId="0" applyFont="1" applyNumberFormat="1">
      <alignment vertical="center"/>
    </xf>
    <xf numFmtId="0" fontId="54" fillId="0" borderId="0" xfId="0" applyFont="1" applyNumberFormat="1">
      <alignment vertical="center"/>
    </xf>
    <xf numFmtId="0" fontId="55" fillId="0" borderId="0" xfId="0" applyFont="1" applyNumberFormat="1">
      <alignment horizontal="center" vertical="center"/>
    </xf>
    <xf numFmtId="0" fontId="23" fillId="0" borderId="0" xfId="0" applyFont="1" applyNumberFormat="1">
      <alignment horizontal="center" vertical="center" wrapText="1"/>
    </xf>
    <xf numFmtId="0" fontId="23" fillId="40" borderId="16"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43" xfId="0" applyFont="1" applyFill="1" applyBorder="1" applyNumberFormat="1">
      <alignment horizontal="center" vertical="center" wrapText="1"/>
    </xf>
    <xf numFmtId="49" fontId="0" fillId="40" borderId="17" xfId="0" applyFont="1" applyFill="1" applyBorder="1" applyNumberFormat="1">
      <alignment horizontal="left" vertical="center"/>
    </xf>
    <xf numFmtId="0" fontId="0" fillId="40" borderId="15" xfId="0" applyFont="1" applyFill="1" applyBorder="1" applyNumberFormat="1">
      <alignment vertical="center"/>
    </xf>
    <xf numFmtId="0" fontId="0" fillId="0" borderId="0" xfId="0" applyFont="1" applyNumberFormat="1">
      <alignment vertical="center"/>
    </xf>
    <xf numFmtId="49" fontId="0" fillId="0" borderId="0" xfId="0" applyFont="1" applyNumberFormat="1">
      <alignment vertical="top"/>
    </xf>
    <xf numFmtId="0" fontId="45" fillId="0" borderId="0" xfId="0" applyFont="1" applyNumberFormat="1">
      <alignment horizontal="center" vertical="center" wrapText="1"/>
    </xf>
    <xf numFmtId="49" fontId="23" fillId="0" borderId="14" xfId="0" applyFont="1" applyBorder="1" applyNumberFormat="1">
      <alignment horizontal="center" vertical="center" wrapText="1"/>
    </xf>
    <xf numFmtId="0" fontId="23" fillId="43" borderId="19" xfId="0" applyFont="1" applyFill="1" applyBorder="1" applyNumberFormat="1">
      <alignment horizontal="left" vertical="center" wrapText="1" indent="2"/>
    </xf>
    <xf numFmtId="49" fontId="23" fillId="43" borderId="25" xfId="0" applyFont="1" applyFill="1" applyBorder="1" applyNumberFormat="1">
      <alignment horizontal="center" vertical="center" wrapText="1"/>
    </xf>
    <xf numFmtId="14" fontId="86" fillId="0" borderId="75" xfId="0" applyFont="1" applyBorder="1" applyNumberFormat="1">
      <alignment horizontal="center" vertical="center" wrapText="1"/>
    </xf>
    <xf numFmtId="0" fontId="23" fillId="0" borderId="75" xfId="0" applyFont="1" applyBorder="1" applyNumberFormat="1">
      <alignment horizontal="center" vertical="center" wrapText="1"/>
    </xf>
    <xf numFmtId="0" fontId="23" fillId="43" borderId="19" xfId="0" applyFont="1" applyFill="1" applyBorder="1" applyNumberFormat="1">
      <alignment horizontal="left" vertical="center" wrapText="1" indent="1"/>
      <protection locked="0"/>
    </xf>
    <xf numFmtId="49" fontId="23" fillId="43" borderId="14" xfId="0" applyFont="1" applyFill="1" applyBorder="1" applyNumberFormat="1">
      <alignment horizontal="center" vertical="center" wrapText="1"/>
    </xf>
    <xf numFmtId="49" fontId="23" fillId="0" borderId="19" xfId="0" applyFont="1" applyBorder="1" applyNumberFormat="1">
      <alignment horizontal="center" vertical="center" wrapText="1"/>
    </xf>
    <xf numFmtId="49" fontId="23" fillId="0" borderId="14" xfId="0" applyFont="1" applyBorder="1" applyNumberFormat="1">
      <alignment horizontal="center" vertical="center" wrapText="1"/>
    </xf>
    <xf numFmtId="49" fontId="80" fillId="0" borderId="14" xfId="0" applyFont="1" applyBorder="1" applyNumberFormat="1">
      <alignment horizontal="left" vertical="center" wrapText="1" indent="1"/>
    </xf>
    <xf numFmtId="0" fontId="54" fillId="0" borderId="24" xfId="0" applyFont="1" applyBorder="1" applyNumberFormat="1">
      <alignment vertical="center"/>
    </xf>
    <xf numFmtId="0" fontId="55" fillId="0" borderId="0" xfId="0" applyFont="1" applyNumberFormat="1">
      <alignment vertical="center"/>
    </xf>
    <xf numFmtId="0" fontId="23" fillId="0" borderId="0" xfId="0" applyFont="1" applyNumberFormat="1">
      <alignment vertical="center"/>
    </xf>
    <xf numFmtId="0" fontId="54" fillId="0" borderId="0" xfId="0" applyFont="1" applyNumberFormat="1">
      <alignment vertical="center"/>
    </xf>
    <xf numFmtId="0" fontId="23" fillId="43" borderId="38" xfId="0" applyFont="1" applyFill="1" applyBorder="1" applyNumberFormat="1">
      <alignment horizontal="left" vertical="center" wrapText="1" indent="2"/>
    </xf>
    <xf numFmtId="0" fontId="23" fillId="43" borderId="25" xfId="0" applyFont="1" applyFill="1" applyBorder="1" applyNumberFormat="1">
      <alignment horizontal="left" vertical="center" wrapText="1" indent="1"/>
      <protection locked="0"/>
    </xf>
    <xf numFmtId="49" fontId="48" fillId="40" borderId="15" xfId="0" applyFont="1" applyFill="1" applyBorder="1" applyNumberFormat="1">
      <alignment horizontal="left" vertical="center" indent="1"/>
    </xf>
    <xf numFmtId="0" fontId="23" fillId="43" borderId="25" xfId="0" applyFont="1" applyFill="1" applyBorder="1" applyNumberFormat="1">
      <alignment horizontal="left" vertical="center" wrapText="1" indent="2"/>
    </xf>
    <xf numFmtId="49" fontId="36" fillId="40" borderId="44" xfId="0" applyFont="1" applyFill="1" applyBorder="1" applyNumberFormat="1">
      <alignment horizontal="right" vertical="center" wrapText="1"/>
    </xf>
    <xf numFmtId="49" fontId="36" fillId="40" borderId="45" xfId="0" applyFont="1" applyFill="1" applyBorder="1" applyNumberFormat="1">
      <alignment horizontal="right" vertical="center" wrapText="1"/>
    </xf>
    <xf numFmtId="49" fontId="48" fillId="40" borderId="17" xfId="0" applyFont="1" applyFill="1" applyBorder="1" applyNumberFormat="1">
      <alignment horizontal="left" vertical="center" indent="1"/>
    </xf>
    <xf numFmtId="49" fontId="36" fillId="40" borderId="15" xfId="0" applyFont="1" applyFill="1" applyBorder="1" applyNumberFormat="1">
      <alignment horizontal="right" vertical="center" wrapText="1"/>
    </xf>
    <xf numFmtId="0" fontId="80" fillId="44" borderId="0" xfId="0" applyFont="1" applyFill="1" applyNumberFormat="1">
      <alignment vertical="top"/>
    </xf>
    <xf numFmtId="49" fontId="23" fillId="0" borderId="0" xfId="0" applyFont="1" applyNumberFormat="1">
      <alignment vertical="center" wrapText="1"/>
    </xf>
    <xf numFmtId="49" fontId="23" fillId="0" borderId="0" xfId="0" applyFont="1" applyNumberFormat="1">
      <alignment horizontal="center" vertical="center" wrapText="1"/>
    </xf>
    <xf numFmtId="49" fontId="48" fillId="40" borderId="17" xfId="0" applyFont="1" applyFill="1" applyBorder="1" applyNumberFormat="1">
      <alignment horizontal="left" vertical="center" indent="2"/>
    </xf>
    <xf numFmtId="0" fontId="0" fillId="0" borderId="0" xfId="0" applyFont="1" applyNumberFormat="1">
      <alignment vertical="center"/>
    </xf>
    <xf numFmtId="0" fontId="23" fillId="0" borderId="0" xfId="0" applyFont="1" applyNumberFormat="1">
      <alignment vertical="center"/>
    </xf>
    <xf numFmtId="0" fontId="55" fillId="0" borderId="0" xfId="0" applyFont="1" applyNumberFormat="1">
      <alignment vertical="center"/>
    </xf>
    <xf numFmtId="0" fontId="49" fillId="0" borderId="0" xfId="0" applyFont="1" applyNumberFormat="1">
      <alignment vertical="center"/>
    </xf>
    <xf numFmtId="0" fontId="56" fillId="0" borderId="0" xfId="0" applyFont="1" applyNumberFormat="1">
      <alignment vertical="center"/>
    </xf>
    <xf numFmtId="0" fontId="23" fillId="0" borderId="22" xfId="0" applyFont="1" applyBorder="1" applyNumberFormat="1">
      <alignment horizontal="left" vertical="top" wrapText="1" indent="1"/>
    </xf>
    <xf numFmtId="0" fontId="23" fillId="0" borderId="19" xfId="0" applyFont="1" applyBorder="1" applyNumberFormat="1">
      <alignment horizontal="left" vertical="top" wrapText="1" indent="1"/>
    </xf>
    <xf numFmtId="0" fontId="23" fillId="0" borderId="39" xfId="0" applyFont="1" applyBorder="1" applyNumberFormat="1">
      <alignment horizontal="left" vertical="top" wrapText="1" indent="1"/>
    </xf>
    <xf numFmtId="0" fontId="69" fillId="0" borderId="0" xfId="0" applyFont="1" applyNumberFormat="1">
      <alignment vertical="center" wrapText="1"/>
    </xf>
    <xf numFmtId="0" fontId="22" fillId="0" borderId="0" xfId="0" applyFont="1" applyNumberFormat="1">
      <alignment vertical="center" wrapText="1"/>
    </xf>
    <xf numFmtId="0" fontId="22" fillId="0" borderId="0" xfId="0" applyFont="1" applyNumberFormat="1">
      <alignment vertical="center" wrapText="1"/>
    </xf>
    <xf numFmtId="0" fontId="113" fillId="0" borderId="0" xfId="0" applyFont="1" applyNumberFormat="1">
      <alignment vertical="center"/>
    </xf>
    <xf numFmtId="0" fontId="23" fillId="0" borderId="29" xfId="0" applyFont="1" applyBorder="1" applyNumberFormat="1">
      <alignment horizontal="left" vertical="center" indent="1"/>
    </xf>
    <xf numFmtId="0" fontId="72" fillId="0" borderId="0" xfId="0" applyFont="1" applyNumberFormat="1">
      <alignment vertical="center"/>
    </xf>
    <xf numFmtId="0" fontId="55" fillId="0" borderId="0" xfId="0" applyFont="1" applyNumberFormat="1">
      <alignment vertical="center"/>
    </xf>
    <xf numFmtId="0" fontId="77" fillId="0" borderId="26" xfId="0" applyFont="1" applyBorder="1" applyNumberFormat="1">
      <alignment horizontal="left" vertical="center" wrapText="1" indent="1"/>
    </xf>
    <xf numFmtId="0" fontId="77" fillId="0" borderId="38" xfId="0" applyFont="1" applyBorder="1" applyNumberFormat="1">
      <alignment horizontal="left" vertical="center" wrapText="1" indent="1"/>
    </xf>
    <xf numFmtId="0" fontId="77" fillId="0" borderId="24" xfId="0" applyFont="1" applyBorder="1" applyNumberFormat="1">
      <alignment horizontal="left" vertical="center" wrapText="1" indent="1"/>
    </xf>
    <xf numFmtId="0" fontId="72" fillId="0" borderId="0" xfId="0" applyFont="1" applyNumberFormat="1">
      <alignment vertical="center"/>
    </xf>
    <xf numFmtId="0" fontId="23" fillId="0" borderId="0" xfId="0" applyFont="1" applyNumberFormat="1">
      <alignment vertical="center"/>
    </xf>
    <xf numFmtId="0" fontId="37" fillId="0" borderId="0" xfId="0" applyFont="1" applyNumberFormat="1">
      <alignment vertical="center"/>
    </xf>
    <xf numFmtId="0" fontId="49" fillId="0" borderId="0" xfId="0" applyFont="1" applyNumberFormat="1">
      <alignment vertical="center"/>
    </xf>
    <xf numFmtId="0" fontId="0" fillId="0" borderId="14" xfId="0" applyFont="1" applyBorder="1" applyNumberFormat="1">
      <alignment horizontal="center" vertical="center" wrapText="1"/>
    </xf>
    <xf numFmtId="0" fontId="23" fillId="0" borderId="14" xfId="0" applyFont="1" applyBorder="1" applyNumberFormat="1">
      <alignment horizontal="center" vertical="center" wrapText="1"/>
    </xf>
    <xf numFmtId="0" fontId="23" fillId="0" borderId="14" xfId="0" applyFont="1" applyBorder="1" applyNumberFormat="1">
      <alignment horizontal="center" vertical="center" wrapText="1"/>
    </xf>
    <xf numFmtId="0" fontId="23" fillId="0" borderId="14" xfId="0" applyFont="1" applyBorder="1" applyNumberFormat="1">
      <alignment horizontal="center" vertical="center" wrapText="1"/>
    </xf>
    <xf numFmtId="0" fontId="23" fillId="0" borderId="0" xfId="0" applyFont="1" applyNumberFormat="1">
      <alignment vertical="center"/>
    </xf>
    <xf numFmtId="0" fontId="55" fillId="0" borderId="0" xfId="0" applyFont="1" applyNumberFormat="1">
      <alignment vertical="center"/>
    </xf>
    <xf numFmtId="49" fontId="55" fillId="37" borderId="0" xfId="0" applyFont="1" applyFill="1" applyNumberFormat="1">
      <alignment horizontal="center" vertical="center" wrapText="1"/>
    </xf>
    <xf numFmtId="49" fontId="55" fillId="37" borderId="29" xfId="0" applyFont="1" applyFill="1" applyBorder="1" applyNumberFormat="1">
      <alignment horizontal="center" vertical="center" wrapText="1"/>
    </xf>
    <xf numFmtId="0" fontId="45" fillId="0" borderId="0" xfId="0" applyFont="1" applyNumberFormat="1">
      <alignment horizontal="center" vertical="center" wrapText="1"/>
    </xf>
    <xf numFmtId="0" fontId="55" fillId="0" borderId="14" xfId="0" applyFont="1" applyBorder="1" applyNumberFormat="1">
      <alignment horizontal="center" vertical="center"/>
    </xf>
    <xf numFmtId="0" fontId="23" fillId="0" borderId="14" xfId="0" applyFont="1" applyBorder="1" applyNumberFormat="1">
      <alignment horizontal="center" vertical="center" wrapText="1"/>
    </xf>
    <xf numFmtId="0" fontId="0" fillId="0" borderId="14" xfId="0" applyFont="1" applyBorder="1" applyNumberFormat="1">
      <alignment horizontal="center" vertical="center"/>
    </xf>
    <xf numFmtId="49" fontId="23" fillId="0" borderId="14" xfId="0" applyFont="1" applyBorder="1" applyNumberFormat="1">
      <alignment horizontal="center" vertical="center" wrapText="1"/>
    </xf>
    <xf numFmtId="49" fontId="23" fillId="0" borderId="14" xfId="0" applyFont="1" applyBorder="1" applyNumberFormat="1">
      <alignment horizontal="center" vertical="center" wrapText="1"/>
    </xf>
    <xf numFmtId="49" fontId="0" fillId="0" borderId="14" xfId="0" applyFont="1" applyBorder="1" applyNumberFormat="1">
      <alignment horizontal="center" vertical="center"/>
    </xf>
    <xf numFmtId="49" fontId="0" fillId="0" borderId="14" xfId="0" applyFont="1" applyBorder="1" applyNumberFormat="1">
      <alignment horizontal="left" vertical="center"/>
    </xf>
    <xf numFmtId="49" fontId="23" fillId="0" borderId="14" xfId="0" applyFont="1" applyBorder="1" applyNumberFormat="1">
      <alignment horizontal="center" vertical="center" wrapText="1"/>
    </xf>
    <xf numFmtId="49" fontId="23" fillId="0" borderId="14" xfId="0" applyFont="1" applyBorder="1" applyNumberFormat="1">
      <alignment horizontal="center" vertical="center" wrapText="1"/>
    </xf>
    <xf numFmtId="49" fontId="0" fillId="0" borderId="14" xfId="0" applyFont="1" applyBorder="1" applyNumberFormat="1">
      <alignment horizontal="left" vertical="center"/>
    </xf>
    <xf numFmtId="0" fontId="0" fillId="0" borderId="0" xfId="0" applyFont="1" applyNumberFormat="1">
      <alignment vertical="center"/>
    </xf>
    <xf numFmtId="0" fontId="0" fillId="0" borderId="0" xfId="0" applyFont="1" applyNumberFormat="1">
      <alignment vertical="center"/>
    </xf>
    <xf numFmtId="49" fontId="0" fillId="0" borderId="0" xfId="0" applyFont="1" applyNumberFormat="1">
      <alignment vertical="center"/>
    </xf>
    <xf numFmtId="0" fontId="0" fillId="0" borderId="14" xfId="0" applyFont="1" applyBorder="1" applyNumberFormat="1">
      <alignment horizontal="center" vertical="top"/>
    </xf>
    <xf numFmtId="0" fontId="23" fillId="0" borderId="14" xfId="0" applyFont="1" applyBorder="1" applyNumberFormat="1">
      <alignment horizontal="left" vertical="top" wrapText="1"/>
    </xf>
    <xf numFmtId="0" fontId="23" fillId="43" borderId="19" xfId="0" applyFont="1" applyFill="1" applyBorder="1" applyNumberFormat="1">
      <alignment horizontal="center" vertical="top" wrapText="1"/>
    </xf>
    <xf numFmtId="0" fontId="0" fillId="0" borderId="39" xfId="0" applyFont="1" applyBorder="1" applyNumberFormat="1">
      <alignment horizontal="center" vertical="center"/>
    </xf>
    <xf numFmtId="0" fontId="0" fillId="0" borderId="21" xfId="0" applyFont="1" applyBorder="1" applyNumberFormat="1">
      <alignment horizontal="center" vertical="center"/>
    </xf>
    <xf numFmtId="49" fontId="23" fillId="0" borderId="21" xfId="0" applyFont="1" applyBorder="1" applyNumberFormat="1">
      <alignment horizontal="left" vertical="center" wrapText="1"/>
    </xf>
    <xf numFmtId="49" fontId="23" fillId="0" borderId="21" xfId="0" applyFont="1" applyBorder="1" applyNumberFormat="1">
      <alignment horizontal="center" vertical="center" wrapText="1"/>
    </xf>
    <xf numFmtId="0" fontId="0" fillId="0" borderId="21" xfId="0" applyFont="1" applyBorder="1" applyNumberFormat="1">
      <alignment horizontal="left" vertical="center" wrapText="1"/>
    </xf>
    <xf numFmtId="49" fontId="0" fillId="0" borderId="21" xfId="0" applyFont="1" applyBorder="1" applyNumberFormat="1">
      <alignment horizontal="left" vertical="center" wrapText="1"/>
    </xf>
    <xf numFmtId="49" fontId="23" fillId="0" borderId="21" xfId="0" applyFont="1" applyBorder="1" applyNumberFormat="1">
      <alignment horizontal="center" vertical="center" wrapText="1"/>
    </xf>
    <xf numFmtId="49" fontId="0" fillId="0" borderId="21" xfId="0" applyFont="1" applyBorder="1" applyNumberFormat="1">
      <alignment horizontal="left" vertical="center" wrapText="1"/>
    </xf>
    <xf numFmtId="49" fontId="23" fillId="0" borderId="22" xfId="0" applyFont="1" applyBorder="1" applyNumberFormat="1">
      <alignment horizontal="left" vertical="center" wrapText="1"/>
    </xf>
    <xf numFmtId="0" fontId="23" fillId="0" borderId="0" xfId="0" applyFont="1" applyNumberFormat="1">
      <alignment horizontal="left" vertical="center" indent="1"/>
    </xf>
    <xf numFmtId="0" fontId="0" fillId="0" borderId="0" xfId="0" applyFont="1" applyNumberFormat="1">
      <alignment vertical="center"/>
    </xf>
    <xf numFmtId="0" fontId="23" fillId="43" borderId="38" xfId="0" applyFont="1" applyFill="1" applyBorder="1" applyNumberFormat="1">
      <alignment horizontal="center" vertical="top" wrapText="1"/>
    </xf>
    <xf numFmtId="0" fontId="0" fillId="0" borderId="24" xfId="0" applyFont="1" applyBorder="1" applyNumberFormat="1">
      <alignment horizontal="center" vertical="center"/>
    </xf>
    <xf numFmtId="0" fontId="0" fillId="0" borderId="0" xfId="0" applyFont="1" applyNumberFormat="1">
      <alignment horizontal="center" vertical="center"/>
    </xf>
    <xf numFmtId="49" fontId="23" fillId="0" borderId="0" xfId="0" applyFont="1" applyNumberFormat="1">
      <alignment horizontal="left" vertical="center" wrapText="1"/>
    </xf>
    <xf numFmtId="49" fontId="23" fillId="0" borderId="0" xfId="0" applyFont="1" applyNumberFormat="1">
      <alignment horizontal="center" vertical="center" wrapText="1"/>
    </xf>
    <xf numFmtId="0" fontId="0" fillId="0" borderId="0" xfId="0" applyFont="1" applyNumberFormat="1">
      <alignment horizontal="left" vertical="center" wrapText="1"/>
    </xf>
    <xf numFmtId="49" fontId="0" fillId="0" borderId="0" xfId="0" applyFont="1" applyNumberFormat="1">
      <alignment horizontal="left" vertical="center" wrapText="1"/>
    </xf>
    <xf numFmtId="0" fontId="48" fillId="0" borderId="0" xfId="0" applyFont="1" applyNumberFormat="1">
      <alignment horizontal="left" vertical="center"/>
    </xf>
    <xf numFmtId="0" fontId="48" fillId="0" borderId="26" xfId="0" applyFont="1" applyBorder="1" applyNumberFormat="1">
      <alignment horizontal="left" vertical="center"/>
    </xf>
    <xf numFmtId="0" fontId="0" fillId="0" borderId="0" xfId="0" applyFont="1" applyNumberFormat="1">
      <alignment vertical="center"/>
    </xf>
    <xf numFmtId="49" fontId="0" fillId="0" borderId="0" xfId="0" applyFont="1" applyNumberFormat="1">
      <alignment horizontal="left" vertical="top"/>
    </xf>
    <xf numFmtId="49" fontId="23" fillId="0" borderId="0" xfId="0" applyFont="1" applyNumberFormat="1">
      <alignment horizontal="center" vertical="center" wrapText="1"/>
    </xf>
    <xf numFmtId="0" fontId="0" fillId="0" borderId="0" xfId="0" applyFont="1" applyNumberFormat="1">
      <alignment vertical="center"/>
    </xf>
    <xf numFmtId="49" fontId="0" fillId="0" borderId="14" xfId="0" applyFont="1" applyBorder="1" applyNumberFormat="1">
      <alignment vertical="top"/>
    </xf>
    <xf numFmtId="49" fontId="0" fillId="0" borderId="14" xfId="0" applyFont="1" applyBorder="1" applyNumberFormat="1">
      <alignment horizontal="left" vertical="top"/>
    </xf>
    <xf numFmtId="0" fontId="23" fillId="43" borderId="25" xfId="0" applyFont="1" applyFill="1" applyBorder="1" applyNumberFormat="1">
      <alignment horizontal="center" vertical="top" wrapText="1"/>
    </xf>
    <xf numFmtId="0" fontId="48" fillId="0" borderId="32" xfId="0" applyFont="1" applyBorder="1" applyNumberFormat="1">
      <alignment horizontal="left" vertical="center"/>
    </xf>
    <xf numFmtId="0" fontId="48" fillId="0" borderId="29" xfId="0" applyFont="1" applyBorder="1" applyNumberFormat="1">
      <alignment horizontal="left" vertical="center"/>
    </xf>
    <xf numFmtId="0" fontId="0" fillId="0" borderId="29" xfId="0" applyFont="1" applyBorder="1" applyNumberFormat="1">
      <alignment vertical="center"/>
    </xf>
    <xf numFmtId="0" fontId="48" fillId="0" borderId="31" xfId="0" applyFont="1" applyBorder="1" applyNumberFormat="1">
      <alignment horizontal="left" vertical="center"/>
    </xf>
    <xf numFmtId="0" fontId="0" fillId="0" borderId="0" xfId="0" applyFont="1" applyNumberFormat="1">
      <alignment vertical="center"/>
    </xf>
    <xf numFmtId="49" fontId="23" fillId="0" borderId="0" xfId="0" applyFont="1" applyNumberFormat="1">
      <alignment horizontal="left" vertical="center" indent="1"/>
    </xf>
    <xf numFmtId="0" fontId="0" fillId="0" borderId="0" xfId="0" applyFont="1" applyNumberFormat="1">
      <alignment vertical="center"/>
    </xf>
    <xf numFmtId="0" fontId="0" fillId="0" borderId="0" xfId="0" applyFont="1" applyNumberFormat="1">
      <alignment vertical="center"/>
    </xf>
    <xf numFmtId="0" fontId="0" fillId="0" borderId="19" xfId="0" applyFont="1" applyBorder="1" applyNumberFormat="1">
      <alignment horizontal="center" vertical="top"/>
    </xf>
    <xf numFmtId="0" fontId="23" fillId="0" borderId="19" xfId="0" applyFont="1" applyBorder="1" applyNumberFormat="1">
      <alignment horizontal="left" vertical="top" wrapText="1"/>
    </xf>
    <xf numFmtId="0" fontId="0" fillId="0" borderId="38" xfId="0" applyFont="1" applyBorder="1" applyNumberFormat="1">
      <alignment horizontal="center" vertical="top"/>
    </xf>
    <xf numFmtId="0" fontId="23" fillId="0" borderId="38" xfId="0" applyFont="1" applyBorder="1" applyNumberFormat="1">
      <alignment horizontal="left" vertical="top" wrapText="1"/>
    </xf>
    <xf numFmtId="0" fontId="0" fillId="0" borderId="25" xfId="0" applyFont="1" applyBorder="1" applyNumberFormat="1">
      <alignment horizontal="center" vertical="top"/>
    </xf>
    <xf numFmtId="0" fontId="23" fillId="0" borderId="25" xfId="0" applyFont="1" applyBorder="1" applyNumberFormat="1">
      <alignment horizontal="left" vertical="top" wrapText="1"/>
    </xf>
    <xf numFmtId="49" fontId="23" fillId="0" borderId="21" xfId="0" applyFont="1" applyBorder="1" applyNumberFormat="1">
      <alignment horizontal="center" vertical="center" wrapText="1"/>
    </xf>
    <xf numFmtId="49" fontId="0" fillId="0" borderId="21" xfId="0" applyFont="1" applyBorder="1" applyNumberFormat="1">
      <alignment horizontal="left" vertical="center" wrapText="1"/>
    </xf>
    <xf numFmtId="49" fontId="23" fillId="0" borderId="0" xfId="0" applyFont="1" applyNumberFormat="1">
      <alignment horizontal="center" vertical="center" wrapText="1"/>
    </xf>
    <xf numFmtId="0" fontId="0" fillId="0" borderId="0" xfId="0" applyFont="1" applyNumberFormat="1">
      <alignment vertical="center"/>
    </xf>
    <xf numFmtId="49" fontId="23" fillId="0" borderId="21" xfId="0" applyFont="1" applyBorder="1" applyNumberFormat="1">
      <alignment horizontal="center" vertical="center" wrapText="1"/>
    </xf>
    <xf numFmtId="49" fontId="0" fillId="0" borderId="21" xfId="0" applyFont="1" applyBorder="1" applyNumberFormat="1">
      <alignment horizontal="left" vertical="center" wrapText="1"/>
    </xf>
    <xf numFmtId="0" fontId="48" fillId="0" borderId="0" xfId="0" applyFont="1" applyNumberFormat="1">
      <alignment horizontal="left" vertical="center"/>
    </xf>
    <xf numFmtId="0" fontId="48" fillId="0" borderId="26" xfId="0" applyFont="1" applyBorder="1" applyNumberFormat="1">
      <alignment horizontal="left" vertical="center"/>
    </xf>
    <xf numFmtId="49" fontId="23" fillId="0" borderId="0" xfId="0" applyFont="1" applyNumberFormat="1">
      <alignment horizontal="center" vertical="center" wrapText="1"/>
    </xf>
    <xf numFmtId="0" fontId="48" fillId="0" borderId="29" xfId="0" applyFont="1" applyBorder="1" applyNumberFormat="1">
      <alignment horizontal="left" vertical="center"/>
    </xf>
    <xf numFmtId="0" fontId="48" fillId="0" borderId="31" xfId="0" applyFont="1" applyBorder="1" applyNumberFormat="1">
      <alignment horizontal="left" vertical="center"/>
    </xf>
    <xf numFmtId="0" fontId="0" fillId="0" borderId="0" xfId="0" applyFont="1" applyNumberFormat="1">
      <alignment horizontal="left" vertical="top" wrapText="1"/>
    </xf>
    <xf numFmtId="0" fontId="0" fillId="0" borderId="0" xfId="0" applyFont="1" applyNumberFormat="1" quotePrefix="1">
      <alignment horizontal="left" vertical="top" wrapText="1" indent="1"/>
    </xf>
    <xf numFmtId="0" fontId="0" fillId="0" borderId="0" xfId="0" applyFont="1" applyNumberFormat="1">
      <alignment horizontal="left" vertical="top" wrapText="1" indent="1"/>
    </xf>
    <xf numFmtId="0" fontId="0" fillId="0" borderId="0" xfId="0" applyFont="1" applyNumberFormat="1">
      <alignment horizontal="left" vertical="top" wrapText="1"/>
    </xf>
    <xf numFmtId="0" fontId="0" fillId="0" borderId="0" xfId="0" applyFont="1" applyNumberFormat="1">
      <alignment horizontal="left" vertical="top" wrapText="1"/>
    </xf>
    <xf numFmtId="0" fontId="0" fillId="0" borderId="0" xfId="0" applyFont="1" applyNumberFormat="1">
      <alignment vertical="top" wrapText="1"/>
    </xf>
    <xf numFmtId="0" fontId="0" fillId="0" borderId="0" xfId="0" applyFont="1" applyNumberFormat="1">
      <alignment vertical="center"/>
    </xf>
    <xf numFmtId="0" fontId="0" fillId="0" borderId="0" xfId="0" applyFont="1" applyNumberFormat="1">
      <alignment vertical="center"/>
    </xf>
    <xf numFmtId="49" fontId="23" fillId="0" borderId="21" xfId="0" applyFont="1" applyBorder="1" applyNumberFormat="1">
      <alignment horizontal="center" vertical="center" wrapText="1"/>
    </xf>
    <xf numFmtId="49" fontId="0" fillId="0" borderId="21" xfId="0" applyFont="1" applyBorder="1" applyNumberFormat="1">
      <alignment horizontal="left" vertical="center" wrapText="1"/>
    </xf>
    <xf numFmtId="49" fontId="23" fillId="0" borderId="0" xfId="0" applyFont="1" applyNumberFormat="1">
      <alignment horizontal="center" vertical="center" wrapText="1"/>
    </xf>
    <xf numFmtId="49" fontId="23" fillId="0" borderId="21" xfId="0" applyFont="1" applyBorder="1" applyNumberFormat="1">
      <alignment horizontal="center" vertical="center" wrapText="1"/>
    </xf>
    <xf numFmtId="49" fontId="0" fillId="0" borderId="21" xfId="0" applyFont="1" applyBorder="1" applyNumberFormat="1">
      <alignment horizontal="left" vertical="center" wrapText="1"/>
    </xf>
    <xf numFmtId="0" fontId="48" fillId="0" borderId="0" xfId="0" applyFont="1" applyNumberFormat="1">
      <alignment horizontal="left" vertical="center"/>
    </xf>
    <xf numFmtId="0" fontId="48" fillId="0" borderId="26" xfId="0" applyFont="1" applyBorder="1" applyNumberFormat="1">
      <alignment horizontal="left" vertical="center"/>
    </xf>
    <xf numFmtId="49" fontId="23" fillId="0" borderId="0" xfId="0" applyFont="1" applyNumberFormat="1">
      <alignment horizontal="center" vertical="center" wrapText="1"/>
    </xf>
    <xf numFmtId="0" fontId="48" fillId="0" borderId="29" xfId="0" applyFont="1" applyBorder="1" applyNumberFormat="1">
      <alignment horizontal="left" vertical="center"/>
    </xf>
    <xf numFmtId="0" fontId="48" fillId="0" borderId="31" xfId="0" applyFont="1" applyBorder="1" applyNumberFormat="1">
      <alignment horizontal="left" vertical="center"/>
    </xf>
    <xf numFmtId="0" fontId="55" fillId="0" borderId="0" xfId="0" applyFont="1" applyNumberFormat="1">
      <alignment vertical="center"/>
    </xf>
    <xf numFmtId="0" fontId="0" fillId="0" borderId="0" xfId="0" applyFont="1" applyNumberFormat="1">
      <alignment vertical="center"/>
    </xf>
    <xf numFmtId="0" fontId="0" fillId="0" borderId="0" xfId="0" applyFont="1" applyNumberFormat="1">
      <alignment vertical="center"/>
    </xf>
    <xf numFmtId="49" fontId="55" fillId="0" borderId="0" xfId="0" applyFont="1" applyNumberFormat="1">
      <alignment horizontal="center" vertical="center"/>
    </xf>
    <xf numFmtId="49" fontId="54" fillId="0" borderId="0" xfId="0" applyFont="1" applyNumberFormat="1">
      <alignment horizontal="center" vertical="center"/>
    </xf>
    <xf numFmtId="49" fontId="72" fillId="0" borderId="0" xfId="0" applyFont="1" applyNumberFormat="1">
      <alignment vertical="top"/>
    </xf>
    <xf numFmtId="49" fontId="0" fillId="0" borderId="0" xfId="0" applyFont="1" applyNumberFormat="1">
      <alignment vertical="top"/>
    </xf>
    <xf numFmtId="49" fontId="40" fillId="0" borderId="0" xfId="0" applyFont="1" applyNumberFormat="1">
      <alignment vertical="top"/>
    </xf>
    <xf numFmtId="0" fontId="40" fillId="0" borderId="0" xfId="0" applyFont="1" applyNumberFormat="1">
      <alignment vertical="center" wrapText="1"/>
    </xf>
    <xf numFmtId="0" fontId="23" fillId="0" borderId="0" xfId="0" applyFont="1" applyNumberFormat="1">
      <alignment vertical="center" wrapText="1"/>
    </xf>
    <xf numFmtId="0" fontId="45" fillId="0" borderId="0" xfId="0" applyFont="1" applyNumberFormat="1">
      <alignment horizontal="center" vertical="center" wrapText="1"/>
    </xf>
    <xf numFmtId="0" fontId="23" fillId="0" borderId="21" xfId="0" applyFont="1" applyBorder="1" applyNumberFormat="1">
      <alignment horizontal="left" vertical="center" wrapText="1" indent="1"/>
    </xf>
    <xf numFmtId="0" fontId="22" fillId="0" borderId="0" xfId="0" applyFont="1" applyNumberFormat="1">
      <alignment horizontal="left" vertical="center" wrapText="1" indent="1"/>
    </xf>
    <xf numFmtId="0" fontId="50" fillId="0" borderId="0" xfId="0" applyFont="1" applyNumberFormat="1">
      <alignment vertical="center"/>
    </xf>
    <xf numFmtId="0" fontId="118" fillId="0" borderId="0" xfId="0" applyFont="1" applyNumberFormat="1">
      <alignment vertical="center" wrapText="1"/>
    </xf>
    <xf numFmtId="0" fontId="119" fillId="0" borderId="0" xfId="0" applyFont="1" applyNumberFormat="1">
      <alignment vertical="center" wrapText="1"/>
    </xf>
    <xf numFmtId="0" fontId="50" fillId="0" borderId="0" xfId="0" applyFont="1" applyNumberFormat="1">
      <alignment vertical="center" wrapText="1"/>
    </xf>
    <xf numFmtId="0" fontId="40" fillId="0" borderId="0" xfId="0" applyFont="1" applyNumberFormat="1">
      <alignment vertical="center" wrapText="1"/>
    </xf>
    <xf numFmtId="0" fontId="23" fillId="0" borderId="0" xfId="0" applyFont="1" applyNumberFormat="1">
      <alignment vertical="center" wrapText="1"/>
    </xf>
    <xf numFmtId="0" fontId="23" fillId="0" borderId="29" xfId="0" applyFont="1" applyBorder="1" applyNumberFormat="1">
      <alignment horizontal="left" vertical="center" wrapText="1" indent="1"/>
    </xf>
    <xf numFmtId="0" fontId="23" fillId="0" borderId="39" xfId="0" applyFont="1" applyBorder="1" applyNumberFormat="1">
      <alignment horizontal="center" vertical="center" wrapText="1"/>
    </xf>
    <xf numFmtId="0" fontId="23" fillId="0" borderId="22" xfId="0" applyFont="1" applyBorder="1" applyNumberFormat="1">
      <alignment horizontal="center" vertical="center" wrapText="1"/>
    </xf>
    <xf numFmtId="0" fontId="23" fillId="0" borderId="38" xfId="0" applyFont="1" applyBorder="1" applyNumberFormat="1">
      <alignment horizontal="center" vertical="center" wrapText="1"/>
    </xf>
    <xf numFmtId="0" fontId="23" fillId="0" borderId="19" xfId="0" applyFont="1" applyBorder="1" applyNumberFormat="1">
      <alignment horizontal="center" vertical="center" wrapText="1"/>
    </xf>
    <xf numFmtId="0" fontId="23" fillId="0" borderId="39" xfId="0" applyFont="1" applyBorder="1" applyNumberFormat="1">
      <alignment horizontal="center" vertical="center" wrapText="1"/>
    </xf>
    <xf numFmtId="0" fontId="23" fillId="0" borderId="17" xfId="0" applyFont="1" applyBorder="1" applyNumberFormat="1">
      <alignment horizontal="center" vertical="center" wrapText="1"/>
    </xf>
    <xf numFmtId="0" fontId="23" fillId="0" borderId="14" xfId="0" applyFont="1" applyBorder="1" applyNumberFormat="1">
      <alignment horizontal="center" vertical="center" wrapText="1"/>
    </xf>
    <xf numFmtId="0" fontId="23" fillId="0" borderId="19" xfId="0" applyFont="1" applyBorder="1" applyNumberFormat="1">
      <alignment horizontal="center" vertical="center" wrapText="1"/>
    </xf>
    <xf numFmtId="0" fontId="23" fillId="0" borderId="19" xfId="0" applyFont="1" applyBorder="1" applyNumberFormat="1">
      <alignment horizontal="center" vertical="center" wrapText="1"/>
    </xf>
    <xf numFmtId="0" fontId="23" fillId="0" borderId="24" xfId="0" applyFont="1" applyBorder="1" applyNumberFormat="1">
      <alignment horizontal="center" vertical="center" wrapText="1"/>
    </xf>
    <xf numFmtId="0" fontId="23" fillId="0" borderId="26" xfId="0" applyFont="1" applyBorder="1" applyNumberFormat="1">
      <alignment horizontal="center" vertical="center" wrapText="1"/>
    </xf>
    <xf numFmtId="0" fontId="23" fillId="0" borderId="24" xfId="0" applyFont="1" applyBorder="1" applyNumberFormat="1">
      <alignment horizontal="center" vertical="center" wrapText="1"/>
    </xf>
    <xf numFmtId="0" fontId="23" fillId="0" borderId="38" xfId="0" applyFont="1" applyBorder="1" applyNumberFormat="1">
      <alignment horizontal="center" vertical="center" wrapText="1"/>
    </xf>
    <xf numFmtId="0" fontId="23" fillId="0" borderId="32" xfId="0" applyFont="1" applyBorder="1" applyNumberFormat="1">
      <alignment horizontal="center" vertical="center" wrapText="1"/>
    </xf>
    <xf numFmtId="0" fontId="23" fillId="0" borderId="31" xfId="0" applyFont="1" applyBorder="1" applyNumberFormat="1">
      <alignment horizontal="center" vertical="center" wrapText="1"/>
    </xf>
    <xf numFmtId="0" fontId="23" fillId="0" borderId="19" xfId="0" applyFont="1" applyBorder="1" applyNumberFormat="1">
      <alignment horizontal="center" vertical="center" wrapText="1"/>
    </xf>
    <xf numFmtId="0" fontId="23" fillId="0" borderId="39" xfId="0" applyFont="1" applyBorder="1" applyNumberFormat="1">
      <alignment horizontal="center" vertical="center" wrapText="1"/>
    </xf>
    <xf numFmtId="49" fontId="23" fillId="0" borderId="0" xfId="0" applyFont="1" applyNumberFormat="1">
      <alignment vertical="top"/>
    </xf>
    <xf numFmtId="49" fontId="23" fillId="0" borderId="14" xfId="0" applyFont="1" applyBorder="1" applyNumberFormat="1">
      <alignment horizontal="center" vertical="center"/>
    </xf>
    <xf numFmtId="0" fontId="23" fillId="0" borderId="14" xfId="0" applyFont="1" applyBorder="1" applyNumberFormat="1">
      <alignment horizontal="left" vertical="center" wrapText="1"/>
    </xf>
    <xf numFmtId="49" fontId="23" fillId="43" borderId="19" xfId="0" applyFont="1" applyFill="1" applyBorder="1" applyNumberFormat="1">
      <alignment horizontal="center" vertical="center" wrapText="1"/>
    </xf>
    <xf numFmtId="49" fontId="23" fillId="0" borderId="39" xfId="0" applyFont="1" applyBorder="1" applyNumberFormat="1">
      <alignment vertical="center" wrapText="1"/>
    </xf>
    <xf numFmtId="0" fontId="23" fillId="0" borderId="21" xfId="0" applyFont="1" applyBorder="1" applyNumberFormat="1">
      <alignment horizontal="center" vertical="center"/>
    </xf>
    <xf numFmtId="49" fontId="23" fillId="0" borderId="21" xfId="0" applyFont="1" applyBorder="1" applyNumberFormat="1">
      <alignment horizontal="left" vertical="center" wrapText="1"/>
    </xf>
    <xf numFmtId="49" fontId="23" fillId="0" borderId="21" xfId="0" applyFont="1" applyBorder="1" applyNumberFormat="1">
      <alignment vertical="center" wrapText="1"/>
    </xf>
    <xf numFmtId="49" fontId="23" fillId="0" borderId="21" xfId="0" applyFont="1" applyBorder="1" applyNumberFormat="1">
      <alignment horizontal="left" vertical="center" wrapText="1"/>
    </xf>
    <xf numFmtId="49" fontId="45" fillId="0" borderId="21" xfId="0" applyFont="1" applyBorder="1" applyNumberFormat="1">
      <alignment vertical="center" wrapText="1"/>
    </xf>
    <xf numFmtId="49" fontId="23" fillId="0" borderId="21" xfId="0" applyFont="1" applyBorder="1" applyNumberFormat="1">
      <alignment horizontal="center" vertical="center" wrapText="1"/>
    </xf>
    <xf numFmtId="0" fontId="23" fillId="0" borderId="21" xfId="0" applyFont="1" applyBorder="1" applyNumberFormat="1">
      <alignment horizontal="left" vertical="center" wrapText="1"/>
    </xf>
    <xf numFmtId="49" fontId="23" fillId="0" borderId="21" xfId="0" applyFont="1" applyBorder="1" applyNumberFormat="1">
      <alignment horizontal="center" vertical="center" wrapText="1"/>
    </xf>
    <xf numFmtId="49" fontId="23" fillId="0" borderId="21" xfId="0" applyFont="1" applyBorder="1" applyNumberFormat="1">
      <alignment vertical="center" wrapText="1"/>
    </xf>
    <xf numFmtId="49" fontId="23" fillId="43" borderId="38" xfId="0" applyFont="1" applyFill="1" applyBorder="1" applyNumberFormat="1">
      <alignment horizontal="center" vertical="center" wrapText="1"/>
    </xf>
    <xf numFmtId="49" fontId="23" fillId="0" borderId="24" xfId="0" applyFont="1" applyBorder="1" applyNumberFormat="1">
      <alignment vertical="center" wrapText="1"/>
    </xf>
    <xf numFmtId="0" fontId="23" fillId="0" borderId="0" xfId="0" applyFont="1" applyNumberFormat="1">
      <alignment horizontal="center" vertical="center"/>
    </xf>
    <xf numFmtId="0" fontId="23" fillId="0" borderId="0" xfId="0" applyFont="1" applyNumberFormat="1">
      <alignment horizontal="left" vertical="center" wrapText="1"/>
    </xf>
    <xf numFmtId="49" fontId="23" fillId="0" borderId="0" xfId="0" applyFont="1" applyNumberFormat="1">
      <alignment vertical="center" wrapText="1"/>
    </xf>
    <xf numFmtId="49" fontId="23" fillId="0" borderId="0" xfId="0" applyFont="1" applyNumberFormat="1">
      <alignment horizontal="left" vertical="center" wrapText="1"/>
    </xf>
    <xf numFmtId="49" fontId="45" fillId="0" borderId="0" xfId="0" applyFont="1" applyNumberFormat="1">
      <alignment vertical="center" wrapText="1"/>
    </xf>
    <xf numFmtId="49" fontId="23" fillId="0" borderId="0" xfId="0" applyFont="1" applyNumberFormat="1">
      <alignment horizontal="center" vertical="center" wrapText="1"/>
    </xf>
    <xf numFmtId="0" fontId="23" fillId="0" borderId="0" xfId="0" applyFont="1" applyNumberFormat="1">
      <alignment horizontal="left" vertical="center" wrapText="1"/>
    </xf>
    <xf numFmtId="0" fontId="48" fillId="0" borderId="0" xfId="0" applyFont="1" applyNumberFormat="1">
      <alignment horizontal="left" vertical="center"/>
    </xf>
    <xf numFmtId="0" fontId="48" fillId="0" borderId="0" xfId="0" applyFont="1" applyNumberFormat="1">
      <alignment horizontal="left" vertical="center"/>
    </xf>
    <xf numFmtId="0" fontId="48" fillId="0" borderId="26" xfId="0" applyFont="1" applyBorder="1" applyNumberFormat="1">
      <alignment horizontal="left" vertical="center"/>
    </xf>
    <xf numFmtId="49" fontId="23" fillId="0" borderId="0" xfId="0" applyFont="1" applyNumberFormat="1">
      <alignment horizontal="center" vertical="center" wrapText="1"/>
    </xf>
    <xf numFmtId="49" fontId="45" fillId="0" borderId="0" xfId="0" applyFont="1" applyNumberFormat="1">
      <alignment horizontal="center" vertical="center" wrapText="1"/>
    </xf>
    <xf numFmtId="0" fontId="48" fillId="0" borderId="0" xfId="0" applyFont="1" applyNumberFormat="1">
      <alignment vertical="center"/>
    </xf>
    <xf numFmtId="0" fontId="48" fillId="0" borderId="24" xfId="0" applyFont="1" applyBorder="1" applyNumberFormat="1">
      <alignment horizontal="left" vertical="center"/>
    </xf>
    <xf numFmtId="49" fontId="23" fillId="0" borderId="19" xfId="0" applyFont="1" applyBorder="1" applyNumberFormat="1">
      <alignment horizontal="center" vertical="center"/>
    </xf>
    <xf numFmtId="0" fontId="23" fillId="0" borderId="19" xfId="0" applyFont="1" applyBorder="1" applyNumberFormat="1">
      <alignment horizontal="left" vertical="center" wrapText="1"/>
    </xf>
    <xf numFmtId="0" fontId="23" fillId="0" borderId="39" xfId="0" applyFont="1" applyBorder="1" applyNumberFormat="1">
      <alignment horizontal="left" vertical="center" wrapText="1"/>
    </xf>
    <xf numFmtId="49" fontId="72" fillId="0" borderId="32" xfId="0" applyFont="1" applyBorder="1" applyNumberFormat="1">
      <alignment vertical="top"/>
    </xf>
    <xf numFmtId="49" fontId="72" fillId="0" borderId="29" xfId="0" applyFont="1" applyBorder="1" applyNumberFormat="1">
      <alignment vertical="top"/>
    </xf>
    <xf numFmtId="0" fontId="48" fillId="0" borderId="29" xfId="0" applyFont="1" applyBorder="1" applyNumberFormat="1">
      <alignment horizontal="left" vertical="center"/>
    </xf>
    <xf numFmtId="0" fontId="48" fillId="0" borderId="31" xfId="0" applyFont="1" applyBorder="1" applyNumberFormat="1">
      <alignment horizontal="left" vertical="center"/>
    </xf>
    <xf numFmtId="0" fontId="23" fillId="0" borderId="0" xfId="0" applyFont="1" applyNumberFormat="1">
      <alignment horizontal="left" vertical="center" wrapText="1"/>
    </xf>
    <xf numFmtId="0" fontId="23" fillId="0" borderId="16" xfId="0" applyFont="1" applyBorder="1" applyNumberFormat="1">
      <alignment horizontal="left" vertical="center" wrapText="1"/>
    </xf>
    <xf numFmtId="0" fontId="23" fillId="37" borderId="0" xfId="0" applyFont="1" applyFill="1" applyNumberFormat="1"/>
    <xf numFmtId="0" fontId="66" fillId="37" borderId="0" xfId="0" applyFont="1" applyFill="1" applyNumberFormat="1"/>
    <xf numFmtId="0" fontId="55" fillId="37" borderId="0" xfId="0" applyFont="1" applyFill="1" applyNumberFormat="1"/>
    <xf numFmtId="0" fontId="66" fillId="37" borderId="0" xfId="0" applyFont="1" applyFill="1" applyNumberFormat="1">
      <alignment horizontal="center"/>
    </xf>
    <xf numFmtId="0" fontId="95" fillId="0" borderId="0" xfId="0" applyFont="1" applyNumberFormat="1">
      <alignment vertical="center"/>
    </xf>
    <xf numFmtId="0" fontId="94" fillId="0" borderId="0" xfId="0" applyFont="1" applyNumberFormat="1">
      <alignment vertical="center"/>
    </xf>
    <xf numFmtId="0" fontId="78" fillId="37" borderId="0" xfId="0" applyFont="1" applyFill="1" applyNumberFormat="1">
      <alignment horizontal="right" vertical="center"/>
    </xf>
    <xf numFmtId="0" fontId="23" fillId="37" borderId="0" xfId="0" applyFont="1" applyFill="1" applyNumberFormat="1">
      <alignment vertical="center" wrapText="1"/>
    </xf>
    <xf numFmtId="0" fontId="55" fillId="37" borderId="0" xfId="0" applyFont="1" applyFill="1" applyNumberFormat="1">
      <alignment vertical="center" wrapText="1"/>
    </xf>
    <xf numFmtId="0" fontId="23" fillId="37" borderId="0" xfId="0" applyFont="1" applyFill="1" applyNumberFormat="1">
      <alignment horizontal="center" vertical="center" wrapText="1"/>
    </xf>
    <xf numFmtId="0" fontId="98" fillId="37" borderId="0" xfId="0" applyFont="1" applyFill="1" applyNumberFormat="1">
      <alignment horizontal="left" vertical="center" wrapText="1"/>
    </xf>
    <xf numFmtId="49" fontId="0" fillId="37" borderId="14" xfId="0" applyFont="1" applyFill="1" applyBorder="1" applyNumberFormat="1">
      <alignment horizontal="center" vertical="center" wrapText="1"/>
    </xf>
    <xf numFmtId="49" fontId="23" fillId="37" borderId="14" xfId="0" applyFont="1" applyFill="1" applyBorder="1" applyNumberFormat="1">
      <alignment horizontal="center" vertical="center" wrapText="1"/>
    </xf>
    <xf numFmtId="0" fontId="0" fillId="37" borderId="14" xfId="0" applyFont="1" applyFill="1" applyBorder="1" applyNumberFormat="1">
      <alignment horizontal="center" vertical="center" wrapText="1"/>
    </xf>
    <xf numFmtId="49" fontId="23" fillId="37" borderId="14" xfId="0" applyFont="1" applyFill="1" applyBorder="1" applyNumberFormat="1">
      <alignment horizontal="center" vertical="center" wrapText="1"/>
    </xf>
    <xf numFmtId="0" fontId="0" fillId="37" borderId="14" xfId="0" applyFont="1" applyFill="1" applyBorder="1" applyNumberFormat="1">
      <alignment horizontal="center" vertical="center" wrapText="1"/>
    </xf>
    <xf numFmtId="0" fontId="23" fillId="37" borderId="14" xfId="0" applyFont="1" applyFill="1" applyBorder="1" applyNumberFormat="1">
      <alignment horizontal="center" vertical="center" wrapText="1"/>
    </xf>
    <xf numFmtId="0" fontId="44" fillId="37" borderId="0" xfId="0" applyFont="1" applyFill="1" applyNumberFormat="1">
      <alignment horizontal="center" vertical="center"/>
    </xf>
    <xf numFmtId="49" fontId="55" fillId="0" borderId="14" xfId="0" applyFont="1" applyBorder="1" applyNumberFormat="1">
      <alignment horizontal="center" vertical="center"/>
    </xf>
    <xf numFmtId="0" fontId="55" fillId="0" borderId="14" xfId="0" applyFont="1" applyBorder="1" applyNumberFormat="1">
      <alignment vertical="center" wrapText="1"/>
    </xf>
    <xf numFmtId="0" fontId="55" fillId="0" borderId="14" xfId="0" applyFont="1" applyBorder="1" applyNumberFormat="1">
      <alignment horizontal="left" vertical="center" wrapText="1"/>
    </xf>
    <xf numFmtId="0" fontId="70" fillId="37" borderId="0" xfId="0" applyFont="1" applyFill="1" applyNumberFormat="1"/>
    <xf numFmtId="49" fontId="0" fillId="37" borderId="14" xfId="0" applyFont="1" applyFill="1" applyBorder="1" applyNumberFormat="1">
      <alignment horizontal="center" vertical="center"/>
    </xf>
    <xf numFmtId="0" fontId="0" fillId="37" borderId="14" xfId="0" applyFont="1" applyFill="1" applyBorder="1" applyNumberFormat="1">
      <alignment vertical="center" wrapText="1"/>
    </xf>
    <xf numFmtId="0" fontId="0" fillId="0" borderId="14" xfId="0" applyFont="1" applyBorder="1" applyNumberFormat="1">
      <alignment horizontal="center" vertical="center" wrapText="1"/>
    </xf>
    <xf numFmtId="0" fontId="23" fillId="37" borderId="14" xfId="0" applyFont="1" applyFill="1" applyBorder="1" applyNumberFormat="1">
      <alignment vertical="center" wrapText="1"/>
    </xf>
    <xf numFmtId="0" fontId="0" fillId="37" borderId="14" xfId="0" applyFont="1" applyFill="1" applyBorder="1" applyNumberFormat="1">
      <alignment horizontal="left" vertical="center" wrapText="1" indent="1"/>
    </xf>
    <xf numFmtId="49" fontId="0" fillId="42" borderId="14" xfId="0" applyFont="1" applyFill="1" applyBorder="1" applyNumberFormat="1">
      <alignment horizontal="left" vertical="center" wrapText="1"/>
      <protection locked="0"/>
    </xf>
    <xf numFmtId="0" fontId="55" fillId="0" borderId="14" xfId="0" applyFont="1" applyBorder="1" applyNumberFormat="1">
      <alignment horizontal="left" vertical="center" wrapText="1" indent="1"/>
    </xf>
    <xf numFmtId="49" fontId="23" fillId="37" borderId="0" xfId="0" applyFont="1" applyFill="1" applyNumberFormat="1">
      <alignment horizontal="center" vertical="center" wrapText="1"/>
    </xf>
    <xf numFmtId="0" fontId="23" fillId="37" borderId="26" xfId="0" applyFont="1" applyFill="1" applyBorder="1" applyNumberFormat="1">
      <alignment horizontal="center" vertical="center" wrapText="1"/>
    </xf>
    <xf numFmtId="0" fontId="95" fillId="0" borderId="0" xfId="0" applyFont="1" applyNumberFormat="1">
      <alignment vertical="center" wrapText="1"/>
    </xf>
    <xf numFmtId="0" fontId="0" fillId="37" borderId="14" xfId="0" applyFont="1" applyFill="1" applyBorder="1" applyNumberFormat="1">
      <alignment horizontal="center" vertical="center"/>
    </xf>
    <xf numFmtId="0" fontId="0" fillId="37" borderId="14" xfId="0" applyFont="1" applyFill="1" applyBorder="1" applyNumberFormat="1">
      <alignment horizontal="left" vertical="center" wrapText="1" indent="2"/>
    </xf>
    <xf numFmtId="49" fontId="0" fillId="0" borderId="14" xfId="0" applyFont="1" applyBorder="1" applyNumberFormat="1">
      <alignment horizontal="left" vertical="center" wrapText="1"/>
    </xf>
    <xf numFmtId="49" fontId="23" fillId="37" borderId="0" xfId="0" applyFont="1" applyFill="1" applyNumberFormat="1">
      <alignment vertical="center" wrapText="1"/>
    </xf>
    <xf numFmtId="0" fontId="23" fillId="37" borderId="26" xfId="0" applyFont="1" applyFill="1" applyBorder="1" applyNumberFormat="1">
      <alignment vertical="center" wrapText="1"/>
    </xf>
    <xf numFmtId="0" fontId="23" fillId="40" borderId="16" xfId="0" applyFont="1" applyFill="1" applyBorder="1" applyNumberFormat="1">
      <alignment horizontal="center"/>
    </xf>
    <xf numFmtId="49" fontId="48" fillId="40" borderId="17" xfId="0" applyFont="1" applyFill="1" applyBorder="1" applyNumberFormat="1">
      <alignment horizontal="left" vertical="center" indent="1"/>
    </xf>
    <xf numFmtId="0" fontId="78" fillId="40" borderId="17" xfId="0" applyFont="1" applyFill="1" applyBorder="1" applyNumberFormat="1">
      <alignment horizontal="left" vertical="center"/>
    </xf>
    <xf numFmtId="0" fontId="78" fillId="40" borderId="15" xfId="0" applyFont="1" applyFill="1" applyBorder="1" applyNumberFormat="1">
      <alignment horizontal="left" vertical="center"/>
    </xf>
    <xf numFmtId="49" fontId="55" fillId="37" borderId="14" xfId="0" applyFont="1" applyFill="1" applyBorder="1" applyNumberFormat="1">
      <alignment horizontal="center" vertical="center"/>
    </xf>
    <xf numFmtId="0" fontId="55" fillId="37" borderId="14" xfId="0" applyFont="1" applyFill="1" applyBorder="1" applyNumberFormat="1">
      <alignment vertical="center" wrapText="1"/>
    </xf>
    <xf numFmtId="0" fontId="55" fillId="0" borderId="14" xfId="0" applyFont="1" applyBorder="1" applyNumberFormat="1">
      <alignment horizontal="center" vertical="center" wrapText="1"/>
    </xf>
    <xf numFmtId="0" fontId="55" fillId="37" borderId="14" xfId="0" applyFont="1" applyFill="1" applyBorder="1" applyNumberFormat="1">
      <alignment horizontal="left" vertical="center" wrapText="1" indent="1"/>
    </xf>
    <xf numFmtId="0" fontId="55" fillId="37" borderId="14" xfId="0" applyFont="1" applyFill="1" applyBorder="1" applyNumberFormat="1">
      <alignment horizontal="left" vertical="center" wrapText="1" indent="2"/>
    </xf>
    <xf numFmtId="49" fontId="55" fillId="0" borderId="14" xfId="0" applyFont="1" applyBorder="1" applyNumberFormat="1">
      <alignment horizontal="left" vertical="center" wrapText="1"/>
    </xf>
    <xf numFmtId="49" fontId="55" fillId="0" borderId="14" xfId="0" applyFont="1" applyBorder="1" applyNumberFormat="1">
      <alignment horizontal="left" vertical="center" wrapText="1"/>
    </xf>
    <xf numFmtId="0" fontId="0" fillId="37" borderId="14" xfId="0" applyFont="1" applyFill="1" applyBorder="1" applyNumberFormat="1">
      <alignment horizontal="left" vertical="center" wrapText="1"/>
    </xf>
    <xf numFmtId="49" fontId="0" fillId="39" borderId="14" xfId="0" applyFont="1" applyFill="1" applyBorder="1" applyNumberFormat="1">
      <alignment horizontal="left" vertical="center" wrapText="1"/>
      <protection locked="0"/>
    </xf>
    <xf numFmtId="0" fontId="0" fillId="37" borderId="19" xfId="0" applyFont="1" applyFill="1" applyBorder="1" applyNumberFormat="1">
      <alignment horizontal="left" vertical="center" wrapText="1"/>
    </xf>
    <xf numFmtId="0" fontId="23" fillId="37" borderId="19" xfId="0" applyFont="1" applyFill="1" applyBorder="1" applyNumberFormat="1">
      <alignment horizontal="left" vertical="top" wrapText="1"/>
    </xf>
    <xf numFmtId="49" fontId="0" fillId="0" borderId="14" xfId="0" applyFont="1" applyBorder="1" applyNumberFormat="1">
      <alignment horizontal="left" vertical="center" wrapText="1" indent="1"/>
    </xf>
    <xf numFmtId="0" fontId="23" fillId="37" borderId="38" xfId="0" applyFont="1" applyFill="1" applyBorder="1" applyNumberFormat="1">
      <alignment horizontal="left" vertical="top" wrapText="1"/>
    </xf>
    <xf numFmtId="0" fontId="45" fillId="37" borderId="0" xfId="0" applyFont="1" applyFill="1" applyNumberFormat="1">
      <alignment horizontal="center" vertical="center" wrapText="1"/>
    </xf>
    <xf numFmtId="49" fontId="0" fillId="42" borderId="14" xfId="0" applyFont="1" applyFill="1" applyBorder="1" applyNumberFormat="1">
      <alignment horizontal="left" vertical="center" wrapText="1" indent="1"/>
      <protection locked="0"/>
    </xf>
    <xf numFmtId="49" fontId="23" fillId="42" borderId="16" xfId="0" applyFont="1" applyFill="1" applyBorder="1" applyNumberFormat="1">
      <alignment horizontal="left" vertical="center" wrapText="1"/>
      <protection locked="0"/>
    </xf>
    <xf numFmtId="0" fontId="23" fillId="37" borderId="25" xfId="0" applyFont="1" applyFill="1" applyBorder="1" applyNumberFormat="1">
      <alignment horizontal="left" vertical="top" wrapText="1"/>
    </xf>
    <xf numFmtId="0" fontId="58" fillId="37" borderId="0" xfId="0" applyFont="1" applyFill="1" applyNumberFormat="1"/>
    <xf numFmtId="49" fontId="23" fillId="42" borderId="14" xfId="0" applyFont="1" applyFill="1" applyBorder="1" applyNumberFormat="1" quotePrefix="1">
      <alignment horizontal="left" vertical="center" wrapText="1"/>
      <protection locked="0"/>
    </xf>
    <xf numFmtId="49" fontId="23" fillId="39" borderId="14" xfId="0" applyFont="1" applyFill="1" applyBorder="1" applyNumberFormat="1">
      <alignment horizontal="left" vertical="center" wrapText="1"/>
      <protection locked="0"/>
    </xf>
    <xf numFmtId="49" fontId="23" fillId="43" borderId="14" xfId="0" applyFont="1" applyFill="1" applyBorder="1" applyNumberFormat="1">
      <alignment horizontal="left" vertical="center" wrapText="1"/>
    </xf>
    <xf numFmtId="49" fontId="23" fillId="43" borderId="14" xfId="0" applyFont="1" applyFill="1" applyBorder="1" applyNumberFormat="1">
      <alignment horizontal="left" vertical="center" wrapText="1"/>
    </xf>
    <xf numFmtId="0" fontId="0" fillId="37" borderId="16" xfId="0" applyFont="1" applyFill="1" applyBorder="1" applyNumberFormat="1">
      <alignment horizontal="left" vertical="center" wrapText="1" indent="1"/>
    </xf>
    <xf numFmtId="49" fontId="23" fillId="43" borderId="16" xfId="0" applyFont="1" applyFill="1" applyBorder="1" applyNumberFormat="1">
      <alignment horizontal="left" vertical="center" wrapText="1"/>
    </xf>
    <xf numFmtId="0" fontId="0" fillId="37" borderId="14" xfId="0" applyFont="1" applyFill="1" applyBorder="1" applyNumberFormat="1">
      <alignment vertical="top" wrapText="1"/>
    </xf>
    <xf numFmtId="49" fontId="23" fillId="37" borderId="0" xfId="0" applyFont="1" applyFill="1" applyNumberFormat="1">
      <alignment horizontal="center" vertical="center" wrapText="1"/>
    </xf>
    <xf numFmtId="0" fontId="0" fillId="37" borderId="16" xfId="0" applyFont="1" applyFill="1" applyBorder="1" applyNumberFormat="1">
      <alignment horizontal="left" vertical="center" wrapText="1"/>
    </xf>
    <xf numFmtId="0" fontId="0" fillId="37" borderId="25" xfId="0" applyFont="1" applyFill="1" applyBorder="1" applyNumberFormat="1">
      <alignment vertical="center" wrapText="1"/>
    </xf>
    <xf numFmtId="0" fontId="81" fillId="37" borderId="0" xfId="0" applyFont="1" applyFill="1" applyNumberFormat="1"/>
    <xf numFmtId="0" fontId="23" fillId="0" borderId="0" xfId="0" applyFont="1" applyNumberFormat="1">
      <alignment vertical="top" wrapText="1"/>
    </xf>
    <xf numFmtId="0" fontId="55" fillId="0" borderId="0" xfId="0" applyFont="1" applyNumberFormat="1">
      <alignment vertical="center" wrapText="1"/>
    </xf>
    <xf numFmtId="0" fontId="53" fillId="0" borderId="0" xfId="0" applyFont="1" applyNumberFormat="1">
      <alignment horizontal="right" vertical="top" wrapText="1"/>
    </xf>
    <xf numFmtId="0" fontId="53" fillId="0" borderId="0" xfId="0" applyFont="1" applyNumberFormat="1">
      <alignment horizontal="left" vertical="top" wrapText="1" indent="1"/>
    </xf>
    <xf numFmtId="0" fontId="53" fillId="0" borderId="0" xfId="0" applyFont="1" applyNumberFormat="1">
      <alignment vertical="center" wrapText="1"/>
    </xf>
    <xf numFmtId="0" fontId="80" fillId="37" borderId="0" xfId="0" applyFont="1" applyFill="1" applyNumberFormat="1">
      <alignment horizontal="center"/>
    </xf>
    <xf numFmtId="0" fontId="80" fillId="37" borderId="0" xfId="0" applyFont="1" applyFill="1" applyNumberFormat="1"/>
    <xf numFmtId="0" fontId="82" fillId="37" borderId="0" xfId="0" applyFont="1" applyFill="1" applyNumberFormat="1">
      <alignment horizontal="right" vertical="center"/>
    </xf>
    <xf numFmtId="0" fontId="83" fillId="37" borderId="0" xfId="0" applyFont="1" applyFill="1" applyNumberFormat="1">
      <alignment vertical="center"/>
    </xf>
    <xf numFmtId="0" fontId="82" fillId="37" borderId="0" xfId="0" applyFont="1" applyFill="1" applyNumberFormat="1">
      <alignment horizontal="right" vertical="top"/>
    </xf>
    <xf numFmtId="0" fontId="83" fillId="37" borderId="0" xfId="0" applyFont="1" applyFill="1" applyNumberFormat="1">
      <alignment vertical="center" wrapText="1"/>
    </xf>
    <xf numFmtId="0" fontId="0" fillId="37" borderId="0" xfId="0" applyFont="1" applyFill="1" applyNumberFormat="1"/>
    <xf numFmtId="0" fontId="0" fillId="37" borderId="0" xfId="0" applyFont="1" applyFill="1" applyNumberFormat="1">
      <alignment horizontal="center"/>
    </xf>
    <xf numFmtId="0" fontId="54" fillId="0" borderId="0" xfId="0" applyFont="1" applyNumberFormat="1">
      <alignment horizontal="center" vertical="center" wrapText="1"/>
    </xf>
    <xf numFmtId="0" fontId="93" fillId="0" borderId="0" xfId="0" applyFont="1" applyNumberFormat="1">
      <alignment vertical="center" wrapText="1"/>
    </xf>
    <xf numFmtId="0" fontId="93" fillId="37" borderId="0" xfId="0" applyFont="1" applyFill="1" applyNumberFormat="1">
      <alignment horizontal="center" vertical="center" wrapText="1"/>
    </xf>
    <xf numFmtId="0" fontId="93" fillId="37" borderId="0" xfId="0" applyFont="1" applyFill="1" applyNumberFormat="1">
      <alignment horizontal="right" vertical="center" wrapText="1"/>
    </xf>
    <xf numFmtId="0" fontId="45" fillId="37" borderId="0" xfId="0" applyFont="1" applyFill="1" applyNumberFormat="1">
      <alignment horizontal="center" vertical="center" wrapText="1"/>
    </xf>
    <xf numFmtId="0" fontId="22" fillId="0" borderId="0" xfId="0" applyFont="1" applyNumberFormat="1">
      <alignment horizontal="left" vertical="center" wrapText="1" indent="3"/>
    </xf>
    <xf numFmtId="0" fontId="69" fillId="0" borderId="0" xfId="0" applyFont="1" applyNumberFormat="1">
      <alignment horizontal="center" vertical="center" wrapText="1"/>
    </xf>
    <xf numFmtId="0" fontId="69" fillId="0" borderId="0" xfId="0" applyFont="1" applyNumberFormat="1">
      <alignment vertical="center" wrapText="1"/>
    </xf>
    <xf numFmtId="0" fontId="40" fillId="0" borderId="0" xfId="0" applyFont="1" applyNumberFormat="1">
      <alignment vertical="center" wrapText="1"/>
    </xf>
    <xf numFmtId="0" fontId="45" fillId="37" borderId="0" xfId="0" applyFont="1" applyFill="1" applyNumberFormat="1">
      <alignment horizontal="center" vertical="center" wrapText="1"/>
    </xf>
    <xf numFmtId="0" fontId="23" fillId="0" borderId="31" xfId="0" applyFont="1" applyBorder="1" applyNumberFormat="1">
      <alignment horizontal="left" vertical="center" wrapText="1" indent="1"/>
    </xf>
    <xf numFmtId="0" fontId="23" fillId="0" borderId="25" xfId="0" applyFont="1" applyBorder="1" applyNumberFormat="1">
      <alignment horizontal="left" vertical="center" wrapText="1" indent="1"/>
    </xf>
    <xf numFmtId="0" fontId="23" fillId="0" borderId="32" xfId="0" applyFont="1" applyBorder="1" applyNumberFormat="1">
      <alignment horizontal="left" vertical="center" wrapText="1" indent="1"/>
    </xf>
    <xf numFmtId="0" fontId="65" fillId="0" borderId="0" xfId="0" applyFont="1" applyNumberFormat="1">
      <alignment vertical="center" wrapText="1"/>
    </xf>
    <xf numFmtId="0" fontId="63" fillId="0" borderId="0" xfId="0" applyFont="1" applyNumberFormat="1">
      <alignment vertical="center" wrapText="1"/>
    </xf>
    <xf numFmtId="0" fontId="84" fillId="37" borderId="0" xfId="0" applyFont="1" applyFill="1" applyNumberFormat="1">
      <alignment horizontal="center" vertical="center" wrapText="1"/>
    </xf>
    <xf numFmtId="0" fontId="65" fillId="0" borderId="0" xfId="0" applyFont="1" applyNumberFormat="1">
      <alignment horizontal="left" vertical="center" wrapText="1" indent="1"/>
    </xf>
    <xf numFmtId="0" fontId="23" fillId="0" borderId="0" xfId="0" applyFont="1" applyNumberFormat="1">
      <alignment horizontal="right" vertical="center"/>
    </xf>
    <xf numFmtId="0" fontId="55" fillId="0" borderId="0" xfId="0" applyFont="1" applyNumberFormat="1">
      <alignment vertical="center" wrapText="1"/>
    </xf>
    <xf numFmtId="0" fontId="0" fillId="0" borderId="16"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15" xfId="0" applyFont="1" applyBorder="1" applyNumberFormat="1">
      <alignment horizontal="center" vertical="center" wrapText="1"/>
    </xf>
    <xf numFmtId="0" fontId="0" fillId="0" borderId="14" xfId="0" applyFont="1" applyBorder="1" applyNumberFormat="1">
      <alignment horizontal="center" vertical="center" wrapText="1"/>
    </xf>
    <xf numFmtId="0" fontId="0" fillId="0" borderId="19" xfId="0" applyFont="1" applyBorder="1" applyNumberFormat="1">
      <alignment horizontal="center" vertical="center" wrapText="1"/>
    </xf>
    <xf numFmtId="0" fontId="0" fillId="0" borderId="19" xfId="0" applyFont="1" applyBorder="1" applyNumberFormat="1">
      <alignment horizontal="center" vertical="center" wrapText="1"/>
    </xf>
    <xf numFmtId="0" fontId="0" fillId="0" borderId="39" xfId="0" applyFont="1" applyBorder="1" applyNumberFormat="1">
      <alignment horizontal="center" vertical="center" wrapText="1"/>
    </xf>
    <xf numFmtId="0" fontId="0" fillId="0" borderId="22" xfId="0" applyFont="1" applyBorder="1" applyNumberFormat="1">
      <alignment horizontal="center" vertical="center" wrapText="1"/>
    </xf>
    <xf numFmtId="0" fontId="0" fillId="0" borderId="22" xfId="0" applyFont="1" applyBorder="1" applyNumberFormat="1">
      <alignment horizontal="center" vertical="center" wrapText="1"/>
    </xf>
    <xf numFmtId="0" fontId="0" fillId="0" borderId="19" xfId="0" applyFont="1" applyBorder="1" applyNumberFormat="1">
      <alignment horizontal="center" vertical="center" wrapText="1"/>
    </xf>
    <xf numFmtId="0" fontId="0" fillId="0" borderId="19" xfId="0" applyFont="1" applyBorder="1" applyNumberFormat="1">
      <alignment horizontal="center" vertical="center" wrapText="1"/>
    </xf>
    <xf numFmtId="0" fontId="0" fillId="0" borderId="25" xfId="0" applyFont="1" applyBorder="1" applyNumberFormat="1">
      <alignment horizontal="center" vertical="center" wrapText="1"/>
    </xf>
    <xf numFmtId="0" fontId="0" fillId="0" borderId="25" xfId="0" applyFont="1" applyBorder="1" applyNumberFormat="1">
      <alignment horizontal="center" vertical="center" wrapText="1"/>
    </xf>
    <xf numFmtId="0" fontId="0" fillId="0" borderId="32" xfId="0" applyFont="1" applyBorder="1" applyNumberFormat="1">
      <alignment horizontal="center" vertical="center" wrapText="1"/>
    </xf>
    <xf numFmtId="0" fontId="0" fillId="0" borderId="14" xfId="0" applyFont="1" applyBorder="1" applyNumberFormat="1">
      <alignment horizontal="center" vertical="center" wrapText="1"/>
    </xf>
    <xf numFmtId="0" fontId="0" fillId="0" borderId="16" xfId="0" applyFont="1" applyBorder="1" applyNumberFormat="1">
      <alignment horizontal="center" vertical="center" wrapText="1"/>
    </xf>
    <xf numFmtId="0" fontId="0" fillId="0" borderId="31" xfId="0" applyFont="1" applyBorder="1" applyNumberFormat="1">
      <alignment horizontal="center" vertical="center" wrapText="1"/>
    </xf>
    <xf numFmtId="0" fontId="0" fillId="0" borderId="31" xfId="0" applyFont="1" applyBorder="1" applyNumberFormat="1">
      <alignment horizontal="center" vertical="center" wrapText="1"/>
    </xf>
    <xf numFmtId="0" fontId="0" fillId="0" borderId="25" xfId="0" applyFont="1" applyBorder="1" applyNumberFormat="1">
      <alignment horizontal="center" vertical="center" wrapText="1"/>
    </xf>
    <xf numFmtId="0" fontId="0" fillId="0" borderId="25" xfId="0" applyFont="1" applyBorder="1" applyNumberFormat="1">
      <alignment horizontal="center" vertical="center" wrapText="1"/>
    </xf>
    <xf numFmtId="0" fontId="44" fillId="37" borderId="0" xfId="0" applyFont="1" applyFill="1" applyNumberFormat="1">
      <alignment horizontal="center" vertical="center" wrapText="1"/>
    </xf>
    <xf numFmtId="49" fontId="44" fillId="37" borderId="0" xfId="0" applyFont="1" applyFill="1" applyNumberFormat="1">
      <alignment horizontal="center" vertical="center" wrapText="1"/>
    </xf>
    <xf numFmtId="0" fontId="23" fillId="0" borderId="0" xfId="0" applyFont="1" applyNumberFormat="1">
      <alignment vertical="center" wrapText="1"/>
    </xf>
    <xf numFmtId="0" fontId="85" fillId="37" borderId="0" xfId="0" applyFont="1" applyFill="1" applyNumberFormat="1">
      <alignment horizontal="center" vertical="center" wrapText="1"/>
    </xf>
    <xf numFmtId="49" fontId="77" fillId="0" borderId="19" xfId="0" applyFont="1" applyBorder="1" applyNumberFormat="1">
      <alignment horizontal="left" vertical="center" wrapText="1"/>
    </xf>
    <xf numFmtId="49" fontId="77" fillId="0" borderId="14" xfId="0" applyFont="1" applyBorder="1" applyNumberFormat="1">
      <alignment horizontal="left" vertical="center" wrapText="1"/>
    </xf>
    <xf numFmtId="49" fontId="0" fillId="0" borderId="14" xfId="0" applyFont="1" applyBorder="1" applyNumberFormat="1">
      <alignment vertical="top" wrapText="1"/>
    </xf>
    <xf numFmtId="49" fontId="0" fillId="0" borderId="14" xfId="0" applyFont="1" applyBorder="1" applyNumberFormat="1">
      <alignment horizontal="center" vertical="center" wrapText="1"/>
    </xf>
    <xf numFmtId="49" fontId="0" fillId="39" borderId="14" xfId="0" applyFont="1" applyFill="1" applyBorder="1" applyNumberFormat="1">
      <alignment horizontal="left" vertical="center" wrapText="1"/>
      <protection locked="0"/>
    </xf>
    <xf numFmtId="0" fontId="23" fillId="43" borderId="16" xfId="0" applyFont="1" applyFill="1" applyBorder="1" applyNumberFormat="1">
      <alignment horizontal="left" vertical="center" wrapText="1"/>
    </xf>
    <xf numFmtId="49" fontId="44" fillId="37" borderId="14" xfId="0" applyFont="1" applyFill="1" applyBorder="1" applyNumberFormat="1">
      <alignment horizontal="center" vertical="center" wrapText="1"/>
    </xf>
    <xf numFmtId="4" fontId="0" fillId="42" borderId="14" xfId="0" applyFont="1" applyFill="1" applyBorder="1" applyNumberFormat="1">
      <alignment horizontal="right" vertical="center" wrapText="1"/>
      <protection locked="0"/>
    </xf>
    <xf numFmtId="3" fontId="0" fillId="42" borderId="14" xfId="0" applyFont="1" applyFill="1" applyBorder="1" applyNumberFormat="1">
      <alignment horizontal="right" vertical="center" wrapText="1"/>
      <protection locked="0"/>
    </xf>
    <xf numFmtId="4" fontId="0" fillId="42" borderId="15" xfId="0" applyFont="1" applyFill="1" applyBorder="1" applyNumberFormat="1">
      <alignment horizontal="right" vertical="center" wrapText="1"/>
      <protection locked="0"/>
    </xf>
    <xf numFmtId="0" fontId="0" fillId="39" borderId="14" xfId="0" applyFont="1" applyFill="1" applyBorder="1" applyNumberFormat="1">
      <alignment horizontal="right" vertical="center" wrapText="1"/>
      <protection locked="0"/>
    </xf>
    <xf numFmtId="3" fontId="0" fillId="0" borderId="15" xfId="0" applyFont="1" applyBorder="1" applyNumberFormat="1">
      <alignment horizontal="right" vertical="center" wrapText="1"/>
    </xf>
    <xf numFmtId="0" fontId="0" fillId="0" borderId="19" xfId="0" applyFont="1" applyBorder="1" applyNumberFormat="1">
      <alignment horizontal="left" vertical="top" wrapText="1"/>
    </xf>
    <xf numFmtId="49" fontId="36" fillId="40" borderId="16" xfId="0" applyFont="1" applyFill="1" applyBorder="1" applyNumberFormat="1">
      <alignment horizontal="center" vertical="center"/>
    </xf>
    <xf numFmtId="0" fontId="48" fillId="40" borderId="17" xfId="0" applyFont="1" applyFill="1" applyBorder="1" applyNumberFormat="1">
      <alignment vertical="center"/>
    </xf>
    <xf numFmtId="49" fontId="48" fillId="40" borderId="17" xfId="0" applyFont="1" applyFill="1" applyBorder="1" applyNumberFormat="1">
      <alignment vertical="center"/>
    </xf>
    <xf numFmtId="49" fontId="78" fillId="40" borderId="17" xfId="0" applyFont="1" applyFill="1" applyBorder="1" applyNumberFormat="1">
      <alignment vertical="center"/>
    </xf>
    <xf numFmtId="49" fontId="78" fillId="40" borderId="15" xfId="0" applyFont="1" applyFill="1" applyBorder="1" applyNumberFormat="1">
      <alignment vertical="center"/>
    </xf>
    <xf numFmtId="0" fontId="0" fillId="0" borderId="25" xfId="0" applyFont="1" applyBorder="1" applyNumberFormat="1">
      <alignment horizontal="left" vertical="top" wrapText="1"/>
    </xf>
    <xf numFmtId="0" fontId="40" fillId="0" borderId="0" xfId="0" applyFont="1" applyNumberFormat="1">
      <alignment vertical="center" wrapText="1"/>
    </xf>
    <xf numFmtId="0" fontId="45" fillId="0" borderId="0" xfId="0" applyFont="1" applyNumberFormat="1">
      <alignment horizontal="center" vertical="center" wrapText="1"/>
    </xf>
    <xf numFmtId="0" fontId="23" fillId="0" borderId="0" xfId="0" applyFont="1" applyNumberFormat="1">
      <alignment vertical="center" wrapText="1"/>
    </xf>
    <xf numFmtId="0" fontId="50" fillId="0" borderId="0" xfId="0" applyFont="1" applyNumberFormat="1">
      <alignment vertical="center" wrapText="1"/>
    </xf>
    <xf numFmtId="0" fontId="23" fillId="0" borderId="0" xfId="0" applyFont="1" applyNumberFormat="1">
      <alignment vertical="center" wrapText="1"/>
    </xf>
    <xf numFmtId="0" fontId="45" fillId="37" borderId="0" xfId="0" applyFont="1" applyFill="1" applyNumberFormat="1">
      <alignment horizontal="center" vertical="center" wrapText="1"/>
    </xf>
    <xf numFmtId="49" fontId="0" fillId="0" borderId="39" xfId="0" applyFont="1" applyBorder="1" applyNumberFormat="1">
      <alignment horizontal="center" vertical="center" wrapText="1"/>
    </xf>
    <xf numFmtId="0" fontId="23" fillId="43" borderId="21" xfId="0" applyFont="1" applyFill="1" applyBorder="1" applyNumberFormat="1">
      <alignment horizontal="left" vertical="center" wrapText="1"/>
    </xf>
    <xf numFmtId="0" fontId="45" fillId="37" borderId="14" xfId="0" applyFont="1" applyFill="1" applyBorder="1" applyNumberFormat="1">
      <alignment horizontal="center" vertical="center" wrapText="1"/>
    </xf>
    <xf numFmtId="49" fontId="23" fillId="0" borderId="14" xfId="0" applyFont="1" applyBorder="1" applyNumberFormat="1">
      <alignment horizontal="center" vertical="center" wrapText="1"/>
    </xf>
    <xf numFmtId="49" fontId="23" fillId="42" borderId="14" xfId="0" applyFont="1" applyFill="1" applyBorder="1" applyNumberFormat="1">
      <alignment horizontal="left" vertical="center" wrapText="1"/>
      <protection locked="0"/>
    </xf>
    <xf numFmtId="3" fontId="23" fillId="42" borderId="14" xfId="0" applyFont="1" applyFill="1" applyBorder="1" applyNumberFormat="1">
      <alignment horizontal="right" vertical="center" wrapText="1"/>
      <protection locked="0"/>
    </xf>
    <xf numFmtId="0" fontId="55" fillId="0" borderId="0" xfId="0" applyFont="1" applyNumberFormat="1">
      <alignment vertical="center" wrapText="1"/>
    </xf>
    <xf numFmtId="0" fontId="55" fillId="0" borderId="0" xfId="0" applyFont="1" applyNumberFormat="1">
      <alignment vertical="center"/>
    </xf>
    <xf numFmtId="49" fontId="0" fillId="0" borderId="32" xfId="0" applyFont="1" applyBorder="1" applyNumberFormat="1">
      <alignment horizontal="center" vertical="center" wrapText="1"/>
    </xf>
    <xf numFmtId="0" fontId="23" fillId="43" borderId="29" xfId="0" applyFont="1" applyFill="1" applyBorder="1" applyNumberFormat="1">
      <alignment horizontal="left" vertical="center" wrapText="1"/>
    </xf>
    <xf numFmtId="0" fontId="93" fillId="0" borderId="0" xfId="0" applyFont="1" applyNumberFormat="1">
      <alignment vertical="center" wrapText="1"/>
    </xf>
    <xf numFmtId="0" fontId="55" fillId="0" borderId="0" xfId="0" applyFont="1" applyNumberFormat="1">
      <alignment vertical="center" wrapText="1"/>
    </xf>
    <xf numFmtId="0" fontId="45" fillId="37" borderId="0" xfId="0" applyFont="1" applyFill="1" applyNumberFormat="1">
      <alignment horizontal="center" vertical="center" wrapText="1"/>
    </xf>
    <xf numFmtId="0" fontId="23" fillId="0" borderId="21" xfId="0" applyFont="1" applyBorder="1" applyNumberFormat="1">
      <alignment horizontal="left" vertical="top" wrapText="1" indent="1"/>
    </xf>
    <xf numFmtId="0" fontId="69" fillId="0" borderId="0" xfId="0" applyFont="1" applyNumberFormat="1">
      <alignment vertical="center" wrapText="1"/>
    </xf>
    <xf numFmtId="0" fontId="65" fillId="0" borderId="0" xfId="0" applyFont="1" applyNumberFormat="1">
      <alignment vertical="center" wrapText="1"/>
    </xf>
    <xf numFmtId="0" fontId="63" fillId="0" borderId="0" xfId="0" applyFont="1" applyNumberFormat="1">
      <alignment vertical="center" wrapText="1"/>
    </xf>
    <xf numFmtId="0" fontId="23" fillId="0" borderId="25" xfId="0" applyFont="1" applyBorder="1" applyNumberFormat="1">
      <alignment horizontal="center" vertical="center" wrapText="1"/>
    </xf>
    <xf numFmtId="0" fontId="23" fillId="0" borderId="0" xfId="0" applyFont="1" applyNumberFormat="1">
      <alignment vertical="center" wrapText="1"/>
    </xf>
    <xf numFmtId="0" fontId="45" fillId="37" borderId="14" xfId="0" applyFont="1" applyFill="1" applyBorder="1" applyNumberFormat="1">
      <alignment horizontal="center" vertical="center" wrapText="1"/>
    </xf>
    <xf numFmtId="49" fontId="23" fillId="0" borderId="14" xfId="0" applyFont="1" applyBorder="1" applyNumberFormat="1">
      <alignment horizontal="center" vertical="center" wrapText="1"/>
    </xf>
    <xf numFmtId="0" fontId="40" fillId="0" borderId="0" xfId="0" applyFont="1" applyNumberFormat="1">
      <alignment vertical="center" wrapText="1"/>
    </xf>
    <xf numFmtId="0" fontId="65" fillId="37" borderId="0" xfId="0" applyFont="1" applyFill="1" applyNumberFormat="1">
      <alignment vertical="center" wrapText="1"/>
    </xf>
    <xf numFmtId="0" fontId="65" fillId="37" borderId="0" xfId="0" applyFont="1" applyFill="1" applyNumberFormat="1">
      <alignment horizontal="right" vertical="center"/>
    </xf>
    <xf numFmtId="0" fontId="65" fillId="37" borderId="0" xfId="0" applyFont="1" applyFill="1" applyNumberFormat="1">
      <alignment horizontal="right" vertical="center" wrapText="1"/>
    </xf>
    <xf numFmtId="0" fontId="23" fillId="0" borderId="22" xfId="0" applyFont="1" applyBorder="1" applyNumberFormat="1">
      <alignment horizontal="left" vertical="center" wrapText="1" indent="1"/>
    </xf>
    <xf numFmtId="0" fontId="23" fillId="0" borderId="19" xfId="0" applyFont="1" applyBorder="1" applyNumberFormat="1">
      <alignment horizontal="left" vertical="center" wrapText="1" indent="1"/>
    </xf>
    <xf numFmtId="0" fontId="23" fillId="0" borderId="39" xfId="0" applyFont="1" applyBorder="1" applyNumberFormat="1">
      <alignment horizontal="left" vertical="center" wrapText="1" indent="1"/>
    </xf>
    <xf numFmtId="0" fontId="22" fillId="0" borderId="0" xfId="0" applyFont="1" applyNumberFormat="1">
      <alignment horizontal="center" vertical="center" wrapText="1"/>
    </xf>
    <xf numFmtId="4" fontId="65" fillId="0" borderId="0" xfId="0" applyFont="1" applyNumberFormat="1">
      <alignment horizontal="right" vertical="center" wrapText="1"/>
    </xf>
    <xf numFmtId="0" fontId="23" fillId="37" borderId="14" xfId="0" applyFont="1" applyFill="1" applyBorder="1" applyNumberFormat="1">
      <alignment horizontal="center" vertical="center" wrapText="1"/>
    </xf>
    <xf numFmtId="0" fontId="23" fillId="37" borderId="14" xfId="0" applyFont="1" applyFill="1" applyBorder="1" applyNumberFormat="1">
      <alignment horizontal="center" vertical="center" wrapText="1"/>
    </xf>
    <xf numFmtId="0" fontId="23" fillId="0" borderId="14" xfId="0" applyFont="1" applyBorder="1" applyNumberFormat="1">
      <alignment horizontal="center" vertical="center" wrapText="1"/>
    </xf>
    <xf numFmtId="0" fontId="0" fillId="0" borderId="14" xfId="0" applyFont="1" applyBorder="1" applyNumberFormat="1">
      <alignment horizontal="center" vertical="center" wrapText="1"/>
    </xf>
    <xf numFmtId="49" fontId="44" fillId="37" borderId="17" xfId="0" applyFont="1" applyFill="1" applyBorder="1" applyNumberFormat="1">
      <alignment horizontal="center" vertical="center" wrapText="1"/>
    </xf>
    <xf numFmtId="49" fontId="44" fillId="37" borderId="17" xfId="0" applyFont="1" applyFill="1" applyBorder="1" applyNumberFormat="1">
      <alignment horizontal="center" vertical="center" wrapText="1"/>
    </xf>
    <xf numFmtId="0" fontId="45" fillId="37" borderId="0" xfId="0" applyFont="1" applyFill="1" applyNumberFormat="1">
      <alignment horizontal="center" vertical="center" wrapText="1"/>
    </xf>
    <xf numFmtId="0" fontId="23" fillId="0" borderId="14" xfId="0" applyFont="1" applyBorder="1" applyNumberFormat="1">
      <alignment horizontal="center" vertical="center" wrapText="1"/>
    </xf>
    <xf numFmtId="0" fontId="23" fillId="0" borderId="14" xfId="0" applyFont="1" applyBorder="1" applyNumberFormat="1">
      <alignment horizontal="center" vertical="center" wrapText="1"/>
    </xf>
    <xf numFmtId="49" fontId="23" fillId="0" borderId="14" xfId="0" applyFont="1" applyBorder="1" applyNumberFormat="1">
      <alignment horizontal="left" vertical="center" wrapText="1"/>
    </xf>
    <xf numFmtId="49" fontId="23" fillId="0" borderId="0" xfId="0" applyFont="1" applyNumberFormat="1">
      <alignment vertical="top"/>
    </xf>
    <xf numFmtId="0" fontId="45" fillId="37" borderId="26" xfId="0" applyFont="1" applyFill="1" applyBorder="1" applyNumberFormat="1">
      <alignment vertical="top" wrapText="1"/>
    </xf>
    <xf numFmtId="14"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14" fontId="86" fillId="40" borderId="17" xfId="0" applyFont="1" applyFill="1" applyBorder="1" applyNumberFormat="1">
      <alignment horizontal="center" vertical="center" wrapText="1"/>
    </xf>
    <xf numFmtId="49" fontId="34" fillId="40" borderId="15" xfId="0" applyFont="1" applyFill="1" applyBorder="1" applyNumberFormat="1">
      <alignment horizontal="left" vertical="center" wrapText="1"/>
    </xf>
    <xf numFmtId="0" fontId="0" fillId="0" borderId="38" xfId="0" applyFont="1" applyBorder="1" applyNumberFormat="1">
      <alignment horizontal="left" vertical="top" wrapText="1"/>
    </xf>
    <xf numFmtId="0" fontId="55" fillId="0" borderId="0" xfId="0" applyFont="1" applyNumberFormat="1">
      <alignment horizontal="left" vertical="center" wrapText="1"/>
    </xf>
    <xf numFmtId="49" fontId="55" fillId="0" borderId="0" xfId="0" applyFont="1" applyNumberFormat="1">
      <alignment horizontal="left" vertical="center" wrapText="1"/>
    </xf>
    <xf numFmtId="0" fontId="45" fillId="37" borderId="0" xfId="0" applyFont="1" applyFill="1" applyNumberFormat="1">
      <alignment vertical="top" wrapText="1"/>
    </xf>
    <xf numFmtId="0" fontId="55" fillId="37" borderId="25" xfId="0" applyFont="1" applyFill="1" applyBorder="1" applyNumberFormat="1">
      <alignment horizontal="center" vertical="center" wrapText="1"/>
    </xf>
    <xf numFmtId="14" fontId="23" fillId="43" borderId="25" xfId="0" applyFont="1" applyFill="1" applyBorder="1" applyNumberFormat="1">
      <alignment horizontal="left" vertical="center" wrapText="1"/>
    </xf>
    <xf numFmtId="14" fontId="23" fillId="43" borderId="14" xfId="0" applyFont="1" applyFill="1" applyBorder="1" applyNumberFormat="1">
      <alignment horizontal="center" vertical="center" wrapText="1"/>
    </xf>
    <xf numFmtId="49" fontId="34" fillId="42" borderId="14" xfId="0" applyFont="1" applyFill="1" applyBorder="1" applyNumberFormat="1">
      <alignment horizontal="left" vertical="center" wrapText="1"/>
      <protection locked="0"/>
    </xf>
    <xf numFmtId="49" fontId="36" fillId="40" borderId="17" xfId="0" applyFont="1" applyFill="1" applyBorder="1" applyNumberFormat="1">
      <alignment horizontal="center" vertical="center"/>
    </xf>
    <xf numFmtId="49" fontId="78" fillId="40" borderId="17" xfId="0" applyFont="1" applyFill="1" applyBorder="1" applyNumberFormat="1">
      <alignment horizontal="left" vertical="center" indent="1"/>
    </xf>
    <xf numFmtId="49" fontId="78" fillId="40" borderId="15" xfId="0" applyFont="1" applyFill="1" applyBorder="1" applyNumberFormat="1">
      <alignment horizontal="left" vertical="center" indent="1"/>
    </xf>
    <xf numFmtId="0" fontId="84" fillId="0" borderId="0" xfId="0" applyFont="1" applyNumberFormat="1">
      <alignment horizontal="center" vertical="center" wrapText="1"/>
    </xf>
    <xf numFmtId="0" fontId="53" fillId="0" borderId="0" xfId="0" applyFont="1" applyNumberFormat="1">
      <alignment vertical="top" wrapText="1"/>
    </xf>
    <xf numFmtId="0" fontId="23" fillId="0" borderId="0" xfId="0" applyFont="1" applyNumberFormat="1">
      <alignment horizontal="right" vertical="top" wrapText="1"/>
    </xf>
    <xf numFmtId="0" fontId="53" fillId="0" borderId="0" xfId="0" applyFont="1" applyNumberFormat="1">
      <alignment vertical="top"/>
    </xf>
    <xf numFmtId="0" fontId="23" fillId="0" borderId="0" xfId="0" applyFont="1" applyNumberFormat="1">
      <alignment vertical="center" wrapText="1"/>
    </xf>
    <xf numFmtId="0" fontId="54" fillId="0" borderId="0" xfId="0" applyFont="1" applyNumberFormat="1">
      <alignment horizontal="left" vertical="center" indent="1"/>
    </xf>
    <xf numFmtId="0" fontId="54" fillId="0" borderId="14" xfId="0" applyFont="1" applyBorder="1" applyNumberFormat="1">
      <alignment horizontal="center" vertical="center"/>
    </xf>
    <xf numFmtId="0" fontId="54" fillId="0" borderId="0" xfId="0" applyFont="1" applyNumberFormat="1">
      <alignment horizontal="center" vertical="center"/>
    </xf>
    <xf numFmtId="0" fontId="54" fillId="0" borderId="0" xfId="0" applyFont="1" applyNumberFormat="1">
      <alignment horizontal="left" vertical="center" wrapText="1"/>
    </xf>
    <xf numFmtId="49" fontId="23" fillId="0" borderId="0" xfId="0" applyFont="1" applyNumberFormat="1">
      <alignment vertical="center" wrapText="1"/>
    </xf>
    <xf numFmtId="49" fontId="23" fillId="0" borderId="0" xfId="0" applyFont="1" applyNumberFormat="1">
      <alignment vertical="top"/>
    </xf>
    <xf numFmtId="49" fontId="23" fillId="0" borderId="26" xfId="0" applyFont="1" applyBorder="1" applyNumberFormat="1">
      <alignment vertical="top"/>
    </xf>
    <xf numFmtId="0" fontId="23" fillId="37" borderId="14" xfId="0" applyFont="1" applyFill="1" applyBorder="1" applyNumberFormat="1">
      <alignment horizontal="left" vertical="center" wrapText="1"/>
    </xf>
    <xf numFmtId="0" fontId="23" fillId="0" borderId="14" xfId="0" applyFont="1" applyBorder="1" applyNumberFormat="1">
      <alignment vertical="center" wrapText="1"/>
    </xf>
    <xf numFmtId="0" fontId="23" fillId="0" borderId="14" xfId="0" applyFont="1" applyBorder="1" applyNumberFormat="1">
      <alignment horizontal="left" vertical="center" wrapText="1" indent="6"/>
    </xf>
    <xf numFmtId="0" fontId="23" fillId="38" borderId="16" xfId="0" applyFont="1" applyFill="1" applyBorder="1" applyNumberFormat="1">
      <alignment horizontal="left" vertical="center" wrapText="1"/>
    </xf>
    <xf numFmtId="0" fontId="23" fillId="38" borderId="17" xfId="0" applyFont="1" applyFill="1" applyBorder="1" applyNumberFormat="1">
      <alignment horizontal="left" vertical="center" wrapText="1"/>
    </xf>
    <xf numFmtId="0" fontId="23" fillId="38" borderId="15" xfId="0" applyFont="1" applyFill="1" applyBorder="1" applyNumberFormat="1">
      <alignment horizontal="left" vertical="center" wrapText="1"/>
    </xf>
    <xf numFmtId="0" fontId="53" fillId="0" borderId="14" xfId="0" applyFont="1" applyBorder="1" applyNumberFormat="1">
      <alignment vertical="top" wrapText="1"/>
    </xf>
    <xf numFmtId="0" fontId="54" fillId="0" borderId="16" xfId="0" applyFont="1" applyBorder="1" applyNumberFormat="1">
      <alignment horizontal="center" vertical="center"/>
    </xf>
    <xf numFmtId="0" fontId="23" fillId="0" borderId="0" xfId="0" applyFont="1" applyNumberFormat="1">
      <alignment horizontal="center" vertical="center" wrapText="1"/>
    </xf>
    <xf numFmtId="0" fontId="50" fillId="37" borderId="0" xfId="0" applyFont="1" applyFill="1" applyNumberFormat="1">
      <alignment horizontal="center" vertical="center" wrapText="1"/>
    </xf>
    <xf numFmtId="0" fontId="23" fillId="0" borderId="26" xfId="0" applyFont="1" applyBorder="1" applyNumberFormat="1">
      <alignment vertical="center" wrapText="1"/>
    </xf>
    <xf numFmtId="0" fontId="23" fillId="37" borderId="14" xfId="0" applyFont="1" applyFill="1" applyBorder="1" applyNumberFormat="1">
      <alignment horizontal="left" vertical="center" wrapText="1" indent="1"/>
    </xf>
    <xf numFmtId="0" fontId="45" fillId="0" borderId="0" xfId="0" applyFont="1" applyNumberFormat="1">
      <alignment vertical="center" wrapText="1"/>
    </xf>
    <xf numFmtId="0" fontId="23" fillId="37" borderId="14" xfId="0" applyFont="1" applyFill="1" applyBorder="1" applyNumberFormat="1">
      <alignment horizontal="left" vertical="center" wrapText="1" indent="2"/>
    </xf>
    <xf numFmtId="0" fontId="23" fillId="37" borderId="14" xfId="0" applyFont="1" applyFill="1" applyBorder="1" applyNumberFormat="1">
      <alignment horizontal="left" vertical="center" wrapText="1" indent="3"/>
    </xf>
    <xf numFmtId="0" fontId="54" fillId="0" borderId="14" xfId="0" applyFont="1" applyBorder="1" applyNumberFormat="1">
      <alignment horizontal="center" vertical="center" wrapText="1"/>
    </xf>
    <xf numFmtId="0" fontId="54" fillId="0" borderId="0" xfId="0" applyFont="1" applyNumberFormat="1">
      <alignment vertical="center" wrapText="1"/>
    </xf>
    <xf numFmtId="0" fontId="55" fillId="0" borderId="0" xfId="0" applyFont="1" applyNumberFormat="1">
      <alignment horizontal="center" vertical="center" wrapText="1"/>
    </xf>
    <xf numFmtId="0" fontId="55" fillId="0" borderId="0" xfId="0" applyFont="1" applyNumberFormat="1">
      <alignment horizontal="center" vertical="center" wrapText="1"/>
    </xf>
    <xf numFmtId="0" fontId="55" fillId="0" borderId="26" xfId="0" applyFont="1" applyBorder="1" applyNumberFormat="1">
      <alignment horizontal="center" vertical="center" wrapText="1"/>
    </xf>
    <xf numFmtId="0" fontId="23" fillId="37" borderId="14" xfId="0" applyFont="1" applyFill="1" applyBorder="1" applyNumberFormat="1">
      <alignment horizontal="left" vertical="center" wrapText="1" indent="4"/>
    </xf>
    <xf numFmtId="0" fontId="23" fillId="43" borderId="16" xfId="0" applyFont="1" applyFill="1" applyBorder="1" applyNumberFormat="1">
      <alignment horizontal="left" vertical="center" wrapText="1"/>
    </xf>
    <xf numFmtId="0" fontId="23" fillId="43" borderId="17" xfId="0" applyFont="1" applyFill="1" applyBorder="1" applyNumberFormat="1">
      <alignment horizontal="left" vertical="center" wrapText="1"/>
    </xf>
    <xf numFmtId="0" fontId="23" fillId="43" borderId="15" xfId="0" applyFont="1" applyFill="1" applyBorder="1" applyNumberFormat="1">
      <alignment horizontal="left" vertical="center" wrapText="1"/>
    </xf>
    <xf numFmtId="0" fontId="54" fillId="0" borderId="16" xfId="0" applyFont="1" applyBorder="1" applyNumberFormat="1">
      <alignment horizontal="center" vertical="center" wrapText="1"/>
    </xf>
    <xf numFmtId="0" fontId="54" fillId="0" borderId="0" xfId="0" applyFont="1" applyNumberFormat="1">
      <alignment vertical="center" wrapText="1"/>
    </xf>
    <xf numFmtId="0" fontId="55" fillId="0" borderId="26" xfId="0" applyFont="1" applyBorder="1" applyNumberFormat="1">
      <alignment vertical="center" wrapText="1"/>
    </xf>
    <xf numFmtId="0" fontId="23" fillId="37" borderId="14" xfId="0" applyFont="1" applyFill="1" applyBorder="1" applyNumberFormat="1">
      <alignment horizontal="left" vertical="center" wrapText="1" indent="5"/>
    </xf>
    <xf numFmtId="0" fontId="23" fillId="43" borderId="14" xfId="0" applyFont="1" applyFill="1" applyBorder="1" applyNumberFormat="1">
      <alignment horizontal="left" vertical="center" wrapText="1" indent="6"/>
    </xf>
    <xf numFmtId="4" fontId="23" fillId="39" borderId="14" xfId="0" applyFont="1" applyFill="1" applyBorder="1" applyNumberFormat="1">
      <alignment horizontal="right" vertical="center" wrapText="1"/>
      <protection locked="0"/>
    </xf>
    <xf numFmtId="4" fontId="23" fillId="0" borderId="14" xfId="0" applyFont="1" applyBorder="1" applyNumberFormat="1">
      <alignment horizontal="right" vertical="center" wrapText="1"/>
    </xf>
    <xf numFmtId="164" fontId="23" fillId="39" borderId="14" xfId="0" applyFont="1" applyFill="1" applyBorder="1" applyNumberFormat="1">
      <alignment horizontal="right" vertical="center" wrapText="1"/>
      <protection locked="0"/>
    </xf>
    <xf numFmtId="167" fontId="0" fillId="42" borderId="14" xfId="0" applyFont="1" applyFill="1" applyBorder="1" applyNumberFormat="1">
      <alignment horizontal="center" vertical="center" wrapText="1"/>
      <protection locked="0"/>
    </xf>
    <xf numFmtId="0" fontId="53" fillId="0" borderId="19" xfId="0" applyFont="1" applyBorder="1" applyNumberFormat="1">
      <alignment horizontal="left" vertical="top" wrapText="1"/>
    </xf>
    <xf numFmtId="49" fontId="23" fillId="0" borderId="14" xfId="0" applyFont="1" applyBorder="1" applyNumberFormat="1">
      <alignment horizontal="left" vertical="center" wrapText="1"/>
    </xf>
    <xf numFmtId="4" fontId="55" fillId="0" borderId="14" xfId="0" applyFont="1" applyBorder="1" applyNumberFormat="1">
      <alignment horizontal="center" vertical="center" wrapText="1"/>
    </xf>
    <xf numFmtId="49" fontId="0" fillId="42" borderId="14" xfId="0" applyFont="1" applyFill="1" applyBorder="1" applyNumberFormat="1">
      <alignment horizontal="center" vertical="center" wrapText="1"/>
      <protection locked="0"/>
    </xf>
    <xf numFmtId="0" fontId="53" fillId="0" borderId="38" xfId="0" applyFont="1" applyBorder="1" applyNumberFormat="1">
      <alignment horizontal="left" vertical="top" wrapText="1"/>
    </xf>
    <xf numFmtId="49" fontId="78" fillId="40" borderId="16" xfId="0" applyFont="1" applyFill="1" applyBorder="1" applyNumberFormat="1">
      <alignment horizontal="left" vertical="center"/>
    </xf>
    <xf numFmtId="49" fontId="48" fillId="40" borderId="17" xfId="0" applyFont="1" applyFill="1" applyBorder="1" applyNumberFormat="1">
      <alignment horizontal="left" vertical="center" indent="6"/>
    </xf>
    <xf numFmtId="49" fontId="23" fillId="40" borderId="15" xfId="0" applyFont="1" applyFill="1" applyBorder="1" applyNumberFormat="1">
      <alignment horizontal="center" vertical="center" wrapText="1"/>
    </xf>
    <xf numFmtId="0" fontId="53" fillId="0" borderId="25" xfId="0" applyFont="1" applyBorder="1" applyNumberFormat="1">
      <alignment horizontal="left" vertical="top" wrapText="1"/>
    </xf>
    <xf numFmtId="49" fontId="48" fillId="40" borderId="17" xfId="0" applyFont="1" applyFill="1" applyBorder="1" applyNumberFormat="1">
      <alignment horizontal="left" vertical="center" indent="5"/>
    </xf>
    <xf numFmtId="49" fontId="0" fillId="40" borderId="17" xfId="0" applyFont="1" applyFill="1" applyBorder="1" applyNumberFormat="1">
      <alignment horizontal="center" vertical="center" wrapText="1"/>
    </xf>
    <xf numFmtId="49" fontId="0" fillId="40" borderId="15" xfId="0" applyFont="1" applyFill="1" applyBorder="1" applyNumberFormat="1">
      <alignment horizontal="center" vertical="center" wrapText="1"/>
    </xf>
    <xf numFmtId="49" fontId="47" fillId="0" borderId="0" xfId="0" applyFont="1" applyNumberFormat="1">
      <alignment vertical="top"/>
    </xf>
    <xf numFmtId="49" fontId="48" fillId="40" borderId="17" xfId="0" applyFont="1" applyFill="1" applyBorder="1" applyNumberFormat="1">
      <alignment horizontal="left" vertical="center" indent="4"/>
    </xf>
    <xf numFmtId="0" fontId="55" fillId="0" borderId="0" xfId="0" applyFont="1" applyNumberFormat="1">
      <alignment vertical="center" wrapText="1"/>
    </xf>
    <xf numFmtId="0" fontId="55" fillId="0" borderId="0" xfId="0" applyFont="1" applyNumberFormat="1">
      <alignment horizontal="left" vertical="center" indent="1"/>
    </xf>
    <xf numFmtId="0" fontId="55" fillId="0" borderId="0" xfId="0" applyFont="1" applyNumberFormat="1">
      <alignment horizontal="center" vertical="center"/>
    </xf>
    <xf numFmtId="0" fontId="55" fillId="0" borderId="0" xfId="0" applyFont="1" applyNumberFormat="1">
      <alignment horizontal="left" vertical="center" wrapText="1"/>
    </xf>
    <xf numFmtId="49" fontId="55" fillId="0" borderId="0" xfId="0" applyFont="1" applyNumberFormat="1">
      <alignment vertical="top"/>
    </xf>
    <xf numFmtId="49" fontId="112" fillId="0" borderId="0" xfId="0" applyFont="1" applyNumberFormat="1">
      <alignment vertical="top"/>
    </xf>
    <xf numFmtId="49" fontId="102" fillId="0" borderId="21" xfId="0" applyFont="1" applyBorder="1" applyNumberFormat="1">
      <alignment horizontal="left" vertical="center"/>
    </xf>
    <xf numFmtId="49" fontId="55" fillId="0" borderId="21" xfId="0" applyFont="1" applyBorder="1" applyNumberFormat="1">
      <alignment horizontal="left" vertical="center" indent="3"/>
    </xf>
    <xf numFmtId="49" fontId="55" fillId="0" borderId="21" xfId="0" applyFont="1" applyBorder="1" applyNumberFormat="1">
      <alignment horizontal="center" vertical="center" wrapText="1"/>
    </xf>
    <xf numFmtId="49" fontId="55" fillId="0" borderId="0" xfId="0" applyFont="1" applyNumberFormat="1">
      <alignment horizontal="left" vertical="center"/>
    </xf>
    <xf numFmtId="49" fontId="102" fillId="0" borderId="0" xfId="0" applyFont="1" applyNumberFormat="1">
      <alignment horizontal="left" vertical="center"/>
    </xf>
    <xf numFmtId="49" fontId="55" fillId="0" borderId="0" xfId="0" applyFont="1" applyNumberFormat="1">
      <alignment horizontal="left" vertical="center" indent="2"/>
    </xf>
    <xf numFmtId="49" fontId="55" fillId="0" borderId="0" xfId="0" applyFont="1" applyNumberFormat="1">
      <alignment horizontal="center" vertical="center" wrapText="1"/>
    </xf>
    <xf numFmtId="49" fontId="55" fillId="0" borderId="0" xfId="0" applyFont="1" applyNumberFormat="1">
      <alignment horizontal="left" vertical="center" indent="1"/>
    </xf>
    <xf numFmtId="49" fontId="23" fillId="0" borderId="0" xfId="0" applyFont="1" applyNumberFormat="1">
      <alignment vertical="center" wrapText="1"/>
    </xf>
    <xf numFmtId="4" fontId="54" fillId="0" borderId="14" xfId="0" applyFont="1" applyBorder="1" applyNumberFormat="1">
      <alignment horizontal="right" vertical="center" wrapText="1"/>
    </xf>
    <xf numFmtId="164" fontId="54" fillId="0" borderId="14" xfId="0" applyFont="1" applyBorder="1" applyNumberFormat="1">
      <alignment horizontal="right" vertical="center" wrapText="1"/>
    </xf>
    <xf numFmtId="167" fontId="54" fillId="0" borderId="14" xfId="0" applyFont="1" applyBorder="1" applyNumberFormat="1">
      <alignment horizontal="center" vertical="center" wrapText="1"/>
    </xf>
    <xf numFmtId="49" fontId="54" fillId="0" borderId="14" xfId="0" applyFont="1" applyBorder="1" applyNumberFormat="1">
      <alignment horizontal="center" vertical="center" wrapText="1"/>
    </xf>
    <xf numFmtId="0" fontId="54" fillId="0" borderId="0" xfId="0" applyFont="1" applyNumberFormat="1">
      <alignment vertical="center" wrapText="1"/>
    </xf>
    <xf numFmtId="0" fontId="54" fillId="0" borderId="0" xfId="0" applyFont="1" applyNumberFormat="1">
      <alignment horizontal="center" vertical="center" wrapText="1"/>
    </xf>
    <xf numFmtId="49" fontId="54" fillId="0" borderId="0" xfId="0" applyFont="1" applyNumberFormat="1">
      <alignment vertical="center" wrapText="1"/>
    </xf>
    <xf numFmtId="49" fontId="54" fillId="0" borderId="14" xfId="0" applyFont="1" applyBorder="1" applyNumberFormat="1">
      <alignment vertical="center" wrapText="1"/>
    </xf>
    <xf numFmtId="0" fontId="74" fillId="0" borderId="0" xfId="0" applyFont="1" applyNumberFormat="1">
      <alignment vertical="center" wrapText="1"/>
    </xf>
    <xf numFmtId="0" fontId="54" fillId="0" borderId="0" xfId="0" applyFont="1" applyNumberFormat="1">
      <alignment horizontal="left" vertical="center" wrapText="1"/>
    </xf>
    <xf numFmtId="0" fontId="47" fillId="37" borderId="0" xfId="0" applyFont="1" applyFill="1" applyNumberFormat="1">
      <alignment vertical="center" wrapText="1"/>
    </xf>
    <xf numFmtId="0" fontId="23" fillId="37" borderId="0" xfId="0" applyFont="1" applyFill="1" applyNumberFormat="1">
      <alignment horizontal="left" vertical="center" wrapText="1"/>
    </xf>
    <xf numFmtId="0" fontId="23" fillId="37" borderId="0" xfId="0" applyFont="1" applyFill="1" applyNumberFormat="1">
      <alignment vertical="center" wrapText="1"/>
    </xf>
    <xf numFmtId="0" fontId="23" fillId="0" borderId="21" xfId="0" applyFont="1" applyBorder="1" applyNumberFormat="1">
      <alignment horizontal="left" vertical="top" wrapText="1" indent="1"/>
    </xf>
    <xf numFmtId="0" fontId="22" fillId="0" borderId="0" xfId="0" applyFont="1" applyNumberFormat="1">
      <alignment vertical="center" wrapText="1"/>
    </xf>
    <xf numFmtId="0" fontId="23" fillId="0" borderId="29" xfId="0" applyFont="1" applyBorder="1" applyNumberFormat="1">
      <alignment horizontal="left" vertical="center" wrapText="1" indent="1"/>
    </xf>
    <xf numFmtId="0" fontId="36" fillId="37" borderId="0" xfId="0" applyFont="1" applyFill="1" applyNumberFormat="1">
      <alignment horizontal="center" vertical="center" wrapText="1"/>
    </xf>
    <xf numFmtId="0" fontId="0" fillId="0" borderId="0" xfId="0" applyFont="1" applyNumberFormat="1">
      <alignment vertical="center"/>
    </xf>
    <xf numFmtId="0" fontId="54" fillId="0" borderId="0" xfId="0" applyFont="1" applyNumberFormat="1">
      <alignment vertical="center"/>
    </xf>
    <xf numFmtId="0" fontId="54" fillId="0" borderId="0" xfId="0" applyFont="1" applyNumberFormat="1">
      <alignment horizontal="center" vertical="center"/>
    </xf>
    <xf numFmtId="0" fontId="0" fillId="37" borderId="14" xfId="0" applyFont="1" applyFill="1" applyBorder="1" applyNumberFormat="1">
      <alignment horizontal="right" vertical="center" wrapText="1" indent="1"/>
    </xf>
    <xf numFmtId="0" fontId="0" fillId="0" borderId="17" xfId="0" applyFont="1" applyBorder="1" applyNumberFormat="1">
      <alignment vertical="center"/>
    </xf>
    <xf numFmtId="0" fontId="23" fillId="38" borderId="14" xfId="0" applyFont="1" applyFill="1" applyBorder="1" applyNumberFormat="1">
      <alignment horizontal="left" vertical="center" wrapText="1" indent="1"/>
    </xf>
    <xf numFmtId="0" fontId="23" fillId="0" borderId="0" xfId="0" applyFont="1" applyNumberFormat="1">
      <alignment vertical="center" wrapText="1"/>
    </xf>
    <xf numFmtId="0" fontId="73" fillId="0" borderId="0" xfId="0" applyFont="1" applyNumberFormat="1">
      <alignment vertical="center"/>
    </xf>
    <xf numFmtId="0" fontId="55" fillId="0" borderId="0" xfId="0" applyFont="1" applyNumberFormat="1">
      <alignment vertical="center"/>
    </xf>
    <xf numFmtId="167" fontId="23" fillId="38" borderId="14" xfId="0" applyFont="1" applyFill="1" applyBorder="1" applyNumberFormat="1">
      <alignment horizontal="left" vertical="center" wrapText="1" indent="1"/>
    </xf>
    <xf numFmtId="49" fontId="23" fillId="0" borderId="0" xfId="0" applyFont="1" applyNumberFormat="1">
      <alignment vertical="center" wrapText="1"/>
    </xf>
    <xf numFmtId="0" fontId="23" fillId="0" borderId="0" xfId="0" applyFont="1" applyNumberFormat="1">
      <alignment horizontal="right" vertical="center" wrapText="1"/>
    </xf>
    <xf numFmtId="0" fontId="55" fillId="0" borderId="0" xfId="0" applyFont="1" applyNumberFormat="1">
      <alignment vertical="center" wrapText="1"/>
    </xf>
    <xf numFmtId="0" fontId="23" fillId="37" borderId="29" xfId="0" applyFont="1" applyFill="1" applyBorder="1" applyNumberFormat="1">
      <alignment vertical="center" wrapText="1"/>
    </xf>
    <xf numFmtId="0" fontId="45" fillId="0" borderId="29" xfId="0" applyFont="1" applyBorder="1" applyNumberFormat="1">
      <alignment horizontal="center" vertical="center" wrapText="1"/>
    </xf>
    <xf numFmtId="0" fontId="23" fillId="37" borderId="14" xfId="0" applyFont="1" applyFill="1" applyBorder="1" applyNumberFormat="1">
      <alignment horizontal="left" vertical="center" wrapText="1"/>
    </xf>
    <xf numFmtId="0" fontId="23" fillId="0" borderId="19" xfId="0" applyFont="1" applyBorder="1" applyNumberFormat="1">
      <alignment vertical="center" wrapText="1"/>
    </xf>
    <xf numFmtId="0" fontId="0" fillId="37" borderId="16" xfId="0" applyFont="1" applyFill="1" applyBorder="1" applyNumberFormat="1">
      <alignment horizontal="center" vertical="center" wrapText="1"/>
    </xf>
    <xf numFmtId="0" fontId="0" fillId="37" borderId="17" xfId="0" applyFont="1" applyFill="1" applyBorder="1" applyNumberFormat="1">
      <alignment horizontal="center" vertical="center" wrapText="1"/>
    </xf>
    <xf numFmtId="0" fontId="0" fillId="37" borderId="15" xfId="0" applyFont="1" applyFill="1" applyBorder="1" applyNumberFormat="1">
      <alignment horizontal="center" vertical="center" wrapText="1"/>
    </xf>
    <xf numFmtId="0" fontId="23" fillId="37" borderId="19" xfId="0" applyFont="1" applyFill="1" applyBorder="1" applyNumberFormat="1">
      <alignment horizontal="center" vertical="center" wrapText="1"/>
    </xf>
    <xf numFmtId="49" fontId="48" fillId="40" borderId="19" xfId="0" applyFont="1" applyFill="1" applyBorder="1" applyNumberFormat="1">
      <alignment horizontal="center" vertical="center" textRotation="90" wrapText="1"/>
    </xf>
    <xf numFmtId="0" fontId="23" fillId="0" borderId="38" xfId="0" applyFont="1" applyBorder="1" applyNumberFormat="1">
      <alignment vertical="center" wrapText="1"/>
    </xf>
    <xf numFmtId="0" fontId="23" fillId="0" borderId="19" xfId="0" applyFont="1" applyBorder="1" applyNumberFormat="1">
      <alignment horizontal="center" vertical="center" wrapText="1"/>
    </xf>
    <xf numFmtId="0" fontId="54" fillId="0" borderId="19" xfId="0" applyFont="1" applyBorder="1" applyNumberFormat="1">
      <alignment horizontal="center" vertical="center" wrapText="1"/>
    </xf>
    <xf numFmtId="0" fontId="23" fillId="0" borderId="16" xfId="0" applyFont="1" applyBorder="1" applyNumberFormat="1">
      <alignment horizontal="center" vertical="center" wrapText="1"/>
    </xf>
    <xf numFmtId="0" fontId="23" fillId="0" borderId="15" xfId="0" applyFont="1" applyBorder="1" applyNumberFormat="1">
      <alignment horizontal="center" vertical="center" wrapText="1"/>
    </xf>
    <xf numFmtId="0" fontId="23" fillId="0" borderId="17" xfId="0" applyFont="1" applyBorder="1" applyNumberFormat="1">
      <alignment horizontal="center" vertical="center" wrapText="1"/>
    </xf>
    <xf numFmtId="0" fontId="23" fillId="37" borderId="38" xfId="0" applyFont="1" applyFill="1" applyBorder="1" applyNumberFormat="1">
      <alignment horizontal="center" vertical="center" wrapText="1"/>
    </xf>
    <xf numFmtId="49" fontId="48" fillId="40" borderId="38" xfId="0" applyFont="1" applyFill="1" applyBorder="1" applyNumberFormat="1">
      <alignment horizontal="center" vertical="center" textRotation="90" wrapText="1"/>
    </xf>
    <xf numFmtId="0" fontId="54" fillId="0" borderId="0" xfId="0" applyFont="1" applyNumberFormat="1">
      <alignment vertical="center"/>
    </xf>
    <xf numFmtId="0" fontId="23" fillId="0" borderId="25" xfId="0" applyFont="1" applyBorder="1" applyNumberFormat="1">
      <alignment vertical="center" wrapText="1"/>
    </xf>
    <xf numFmtId="0" fontId="23" fillId="0" borderId="25" xfId="0" applyFont="1" applyBorder="1" applyNumberFormat="1">
      <alignment horizontal="center" vertical="center" wrapText="1"/>
    </xf>
    <xf numFmtId="0" fontId="54" fillId="0" borderId="25" xfId="0" applyFont="1" applyBorder="1" applyNumberFormat="1">
      <alignment horizontal="center" vertical="center" wrapText="1"/>
    </xf>
    <xf numFmtId="0" fontId="0" fillId="0" borderId="14" xfId="0" applyFont="1" applyBorder="1" applyNumberFormat="1">
      <alignment horizontal="center" vertical="center" wrapText="1"/>
    </xf>
    <xf numFmtId="0" fontId="0" fillId="0" borderId="14" xfId="0" applyFont="1" applyBorder="1" applyNumberFormat="1">
      <alignment horizontal="center" vertical="center" wrapText="1"/>
    </xf>
    <xf numFmtId="0" fontId="0" fillId="0" borderId="16" xfId="0" applyFont="1" applyBorder="1" applyNumberFormat="1">
      <alignment horizontal="center" vertical="center" wrapText="1"/>
    </xf>
    <xf numFmtId="0" fontId="0" fillId="0" borderId="15" xfId="0" applyFont="1" applyBorder="1" applyNumberFormat="1">
      <alignment horizontal="center" vertical="center" wrapText="1"/>
    </xf>
    <xf numFmtId="0" fontId="23" fillId="37" borderId="25" xfId="0" applyFont="1" applyFill="1" applyBorder="1" applyNumberFormat="1">
      <alignment horizontal="center" vertical="center" wrapText="1"/>
    </xf>
    <xf numFmtId="0" fontId="0" fillId="0" borderId="14" xfId="0" applyFont="1" applyBorder="1" applyNumberFormat="1">
      <alignment horizontal="center" vertical="center" wrapText="1"/>
    </xf>
    <xf numFmtId="49" fontId="48" fillId="40" borderId="25" xfId="0" applyFont="1" applyFill="1" applyBorder="1" applyNumberFormat="1">
      <alignment horizontal="center" vertical="center" textRotation="90" wrapText="1"/>
    </xf>
    <xf numFmtId="49" fontId="77" fillId="0" borderId="0" xfId="0" applyFont="1" applyNumberFormat="1">
      <alignment vertical="center" wrapText="1"/>
    </xf>
    <xf numFmtId="0" fontId="111" fillId="37" borderId="0" xfId="0" applyFont="1" applyFill="1" applyNumberFormat="1">
      <alignment vertical="center" wrapText="1"/>
    </xf>
    <xf numFmtId="0" fontId="112" fillId="37" borderId="0" xfId="0" applyFont="1" applyFill="1" applyNumberFormat="1">
      <alignment vertical="center" wrapText="1"/>
    </xf>
    <xf numFmtId="49" fontId="85" fillId="37" borderId="21" xfId="0" applyFont="1" applyFill="1" applyBorder="1" applyNumberFormat="1">
      <alignment horizontal="left" vertical="center" wrapText="1"/>
    </xf>
    <xf numFmtId="49" fontId="85" fillId="37" borderId="21" xfId="0" applyFont="1" applyFill="1" applyBorder="1" applyNumberFormat="1">
      <alignment horizontal="center" vertical="center" wrapText="1"/>
    </xf>
    <xf numFmtId="0" fontId="55" fillId="37" borderId="21" xfId="0" applyFont="1" applyFill="1" applyBorder="1" applyNumberFormat="1">
      <alignment horizontal="center" vertical="center" wrapText="1"/>
    </xf>
    <xf numFmtId="0" fontId="85" fillId="37" borderId="21" xfId="0" applyFont="1" applyFill="1" applyBorder="1" applyNumberFormat="1">
      <alignment horizontal="center" vertical="center" wrapText="1"/>
    </xf>
    <xf numFmtId="0" fontId="85" fillId="37" borderId="21" xfId="0" applyFont="1" applyFill="1" applyBorder="1" applyNumberFormat="1">
      <alignment horizontal="center" vertical="center" wrapText="1"/>
    </xf>
    <xf numFmtId="0" fontId="85" fillId="37" borderId="21" xfId="0" applyFont="1" applyFill="1" applyBorder="1" applyNumberFormat="1">
      <alignment horizontal="center" vertical="center" wrapText="1"/>
    </xf>
    <xf numFmtId="0" fontId="23" fillId="37" borderId="14" xfId="0" applyFont="1" applyFill="1" applyBorder="1" applyNumberFormat="1">
      <alignment horizontal="left" vertical="center" wrapText="1"/>
    </xf>
    <xf numFmtId="0" fontId="23" fillId="0" borderId="0" xfId="0" applyFont="1" applyNumberFormat="1">
      <alignment horizontal="center" vertical="center" wrapText="1"/>
    </xf>
    <xf numFmtId="0" fontId="55" fillId="0" borderId="0" xfId="0" applyFont="1" applyNumberFormat="1">
      <alignment horizontal="center" vertical="center" wrapText="1"/>
    </xf>
    <xf numFmtId="167" fontId="0" fillId="42" borderId="19" xfId="0" applyFont="1" applyFill="1" applyBorder="1" applyNumberFormat="1">
      <alignment horizontal="center" vertical="center" wrapText="1"/>
      <protection locked="0"/>
    </xf>
    <xf numFmtId="4" fontId="23" fillId="0" borderId="19" xfId="0" applyFont="1" applyBorder="1" applyNumberFormat="1">
      <alignment horizontal="right" vertical="center" wrapText="1"/>
    </xf>
    <xf numFmtId="49" fontId="23" fillId="0" borderId="14" xfId="0" applyFont="1" applyBorder="1" applyNumberFormat="1">
      <alignment horizontal="left" vertical="center" wrapText="1"/>
    </xf>
    <xf numFmtId="49" fontId="0" fillId="42" borderId="25" xfId="0" applyFont="1" applyFill="1" applyBorder="1" applyNumberFormat="1">
      <alignment horizontal="center" vertical="center" wrapText="1"/>
      <protection locked="0"/>
    </xf>
    <xf numFmtId="4" fontId="23" fillId="0" borderId="25" xfId="0" applyFont="1" applyBorder="1" applyNumberFormat="1">
      <alignment horizontal="right" vertical="center" wrapText="1"/>
    </xf>
    <xf numFmtId="0" fontId="55" fillId="0" borderId="0" xfId="0" applyFont="1" applyNumberFormat="1">
      <alignment horizontal="left" vertical="center" indent="1"/>
    </xf>
    <xf numFmtId="0" fontId="55" fillId="0" borderId="0" xfId="0" applyFont="1" applyNumberFormat="1">
      <alignment horizontal="center" vertical="center"/>
    </xf>
    <xf numFmtId="49" fontId="55" fillId="0" borderId="0" xfId="0" applyFont="1" applyNumberFormat="1">
      <alignment vertical="top"/>
    </xf>
    <xf numFmtId="49" fontId="112" fillId="0" borderId="0" xfId="0" applyFont="1" applyNumberFormat="1">
      <alignment vertical="top"/>
    </xf>
    <xf numFmtId="0" fontId="23" fillId="0" borderId="0" xfId="0" applyFont="1" applyNumberFormat="1">
      <alignment horizontal="right" vertical="top" wrapText="1"/>
    </xf>
    <xf numFmtId="0" fontId="23" fillId="0" borderId="0" xfId="0" applyFont="1" applyNumberFormat="1">
      <alignment horizontal="left" vertical="top" wrapText="1"/>
    </xf>
    <xf numFmtId="49" fontId="23" fillId="0" borderId="0" xfId="0" applyFont="1" applyNumberFormat="1">
      <alignment vertical="center" wrapText="1"/>
    </xf>
    <xf numFmtId="49" fontId="23" fillId="0" borderId="0" xfId="0" applyFont="1" applyNumberFormat="1">
      <alignment vertical="center" wrapText="1"/>
    </xf>
    <xf numFmtId="0" fontId="47" fillId="0" borderId="0" xfId="0" applyFont="1" applyNumberFormat="1">
      <alignment vertical="center" wrapText="1"/>
    </xf>
    <xf numFmtId="0" fontId="23" fillId="0" borderId="0" xfId="0" applyFont="1" applyNumberFormat="1">
      <alignment horizontal="left" vertical="center" wrapText="1"/>
    </xf>
    <xf numFmtId="0" fontId="23" fillId="37" borderId="14" xfId="0" applyFont="1" applyFill="1" applyBorder="1" applyNumberFormat="1">
      <alignment horizontal="left" vertical="center" wrapText="1"/>
    </xf>
    <xf numFmtId="0" fontId="23" fillId="0" borderId="0" xfId="0" applyFont="1" applyNumberFormat="1">
      <alignment horizontal="center" vertical="center" wrapText="1"/>
    </xf>
    <xf numFmtId="0" fontId="55" fillId="0" borderId="0" xfId="0" applyFont="1" applyNumberFormat="1">
      <alignment horizontal="center" vertical="center" wrapText="1"/>
    </xf>
    <xf numFmtId="49" fontId="23" fillId="0" borderId="14" xfId="0" applyFont="1" applyBorder="1" applyNumberFormat="1">
      <alignment horizontal="left" vertical="center" wrapText="1"/>
    </xf>
    <xf numFmtId="0" fontId="23" fillId="0" borderId="0" xfId="0" applyFont="1" applyNumberFormat="1">
      <alignment horizontal="right" vertical="center" wrapText="1"/>
    </xf>
    <xf numFmtId="0" fontId="0" fillId="0" borderId="14" xfId="0" applyFont="1" applyBorder="1" applyNumberFormat="1">
      <alignment horizontal="center" vertical="center" wrapText="1"/>
    </xf>
    <xf numFmtId="0" fontId="85" fillId="37" borderId="21" xfId="0" applyFont="1" applyFill="1" applyBorder="1" applyNumberFormat="1">
      <alignment horizontal="center" vertical="center" wrapText="1"/>
    </xf>
    <xf numFmtId="0" fontId="23" fillId="0" borderId="14" xfId="0" applyFont="1" applyBorder="1" applyNumberFormat="1">
      <alignment horizontal="center" vertical="center"/>
    </xf>
    <xf numFmtId="0" fontId="23" fillId="0" borderId="0" xfId="0" applyFont="1" applyNumberFormat="1">
      <alignment horizontal="center" vertical="center"/>
    </xf>
    <xf numFmtId="0" fontId="23" fillId="37" borderId="14" xfId="0" applyFont="1" applyFill="1" applyBorder="1" applyNumberFormat="1">
      <alignment horizontal="left" vertical="center" wrapText="1"/>
    </xf>
    <xf numFmtId="0" fontId="23" fillId="0" borderId="14" xfId="0" applyFont="1" applyBorder="1" applyNumberFormat="1">
      <alignment vertical="center" wrapText="1"/>
    </xf>
    <xf numFmtId="0" fontId="23" fillId="0" borderId="16" xfId="0" applyFont="1" applyBorder="1" applyNumberFormat="1">
      <alignment horizontal="center" vertical="center"/>
    </xf>
    <xf numFmtId="0" fontId="23" fillId="0" borderId="0" xfId="0" applyFont="1" applyNumberFormat="1">
      <alignment horizontal="center" vertical="center" wrapText="1"/>
    </xf>
    <xf numFmtId="0" fontId="23" fillId="37" borderId="14" xfId="0" applyFont="1" applyFill="1" applyBorder="1" applyNumberFormat="1">
      <alignment horizontal="left" vertical="center" wrapText="1" indent="1"/>
    </xf>
    <xf numFmtId="0" fontId="23" fillId="0" borderId="0" xfId="0" applyFont="1" applyNumberFormat="1">
      <alignment vertical="center" wrapText="1"/>
    </xf>
    <xf numFmtId="0" fontId="55" fillId="0" borderId="0" xfId="0" applyFont="1" applyNumberFormat="1">
      <alignment horizontal="center" vertical="center" wrapText="1"/>
    </xf>
    <xf numFmtId="0" fontId="55" fillId="0" borderId="0" xfId="0" applyFont="1" applyNumberFormat="1">
      <alignment vertical="center" wrapText="1"/>
    </xf>
    <xf numFmtId="49" fontId="23" fillId="0" borderId="14" xfId="0" applyFont="1" applyBorder="1" applyNumberFormat="1">
      <alignment horizontal="left" vertical="center" wrapText="1"/>
    </xf>
    <xf numFmtId="0" fontId="55" fillId="0" borderId="0" xfId="0" applyFont="1" applyNumberFormat="1">
      <alignment vertical="center" wrapText="1"/>
    </xf>
    <xf numFmtId="0" fontId="77" fillId="0" borderId="0" xfId="0" applyFont="1" applyNumberFormat="1">
      <alignment horizontal="left" vertical="center" indent="1"/>
    </xf>
    <xf numFmtId="0" fontId="77" fillId="0" borderId="0" xfId="0" applyFont="1" applyNumberFormat="1">
      <alignment horizontal="center" vertical="center"/>
    </xf>
    <xf numFmtId="0" fontId="77" fillId="0" borderId="0" xfId="0" applyFont="1" applyNumberFormat="1">
      <alignment horizontal="left" vertical="center" wrapText="1"/>
    </xf>
    <xf numFmtId="0" fontId="77" fillId="0" borderId="0" xfId="0" applyFont="1" applyNumberFormat="1">
      <alignment vertical="center" wrapText="1"/>
    </xf>
    <xf numFmtId="0" fontId="55" fillId="0" borderId="0" xfId="0" applyFont="1" applyNumberFormat="1">
      <alignment vertical="center"/>
    </xf>
    <xf numFmtId="49" fontId="77" fillId="0" borderId="0" xfId="0" applyFont="1" applyNumberFormat="1">
      <alignment horizontal="left" vertical="center"/>
    </xf>
    <xf numFmtId="0" fontId="23" fillId="0" borderId="0" xfId="0" applyFont="1" applyNumberFormat="1">
      <alignment horizontal="center" vertical="center" wrapText="1"/>
    </xf>
    <xf numFmtId="49" fontId="23" fillId="0" borderId="0" xfId="0" applyFont="1" applyNumberFormat="1">
      <alignment vertical="center" wrapText="1"/>
    </xf>
    <xf numFmtId="49" fontId="23" fillId="0" borderId="14" xfId="0" applyFont="1" applyBorder="1" applyNumberFormat="1">
      <alignment vertical="center" wrapText="1"/>
    </xf>
    <xf numFmtId="0" fontId="23" fillId="0" borderId="0" xfId="0" applyFont="1" applyNumberFormat="1">
      <alignment vertical="center"/>
    </xf>
    <xf numFmtId="0" fontId="23" fillId="0" borderId="0" xfId="0" applyFont="1" applyNumberFormat="1">
      <alignment horizontal="center" vertical="center"/>
    </xf>
    <xf numFmtId="0" fontId="23" fillId="0" borderId="0" xfId="0" applyFont="1" applyNumberFormat="1">
      <alignment horizontal="right" vertical="center" wrapText="1"/>
    </xf>
    <xf numFmtId="0" fontId="23" fillId="0" borderId="19" xfId="0" applyFont="1" applyBorder="1" applyNumberFormat="1">
      <alignment vertical="center" wrapText="1"/>
    </xf>
    <xf numFmtId="0" fontId="0" fillId="0" borderId="14" xfId="0" applyFont="1" applyBorder="1" applyNumberFormat="1">
      <alignment horizontal="center" vertical="center" wrapText="1"/>
    </xf>
    <xf numFmtId="0" fontId="77" fillId="0" borderId="0" xfId="0" applyFont="1" applyNumberFormat="1">
      <alignment vertical="center" wrapText="1"/>
    </xf>
    <xf numFmtId="0" fontId="85" fillId="37" borderId="21" xfId="0" applyFont="1" applyFill="1" applyBorder="1" applyNumberFormat="1">
      <alignment horizontal="center" vertical="center" wrapText="1"/>
    </xf>
    <xf numFmtId="0" fontId="77" fillId="0" borderId="0" xfId="0" applyFont="1" applyNumberFormat="1">
      <alignment horizontal="left" vertical="center" indent="1"/>
    </xf>
    <xf numFmtId="0" fontId="77" fillId="0" borderId="0" xfId="0" applyFont="1" applyNumberFormat="1">
      <alignment horizontal="center" vertical="center"/>
    </xf>
    <xf numFmtId="0" fontId="23" fillId="0" borderId="0" xfId="0" applyFont="1" applyNumberFormat="1">
      <alignment horizontal="left" vertical="center" indent="1"/>
    </xf>
    <xf numFmtId="49" fontId="23" fillId="0" borderId="0" xfId="0" applyFont="1" applyNumberFormat="1">
      <alignment horizontal="left" vertical="center"/>
    </xf>
    <xf numFmtId="164" fontId="23" fillId="0" borderId="14" xfId="0" applyFont="1" applyBorder="1" applyNumberFormat="1">
      <alignment horizontal="right" vertical="center" wrapText="1"/>
    </xf>
    <xf numFmtId="0" fontId="0" fillId="37" borderId="21" xfId="0" applyFont="1" applyFill="1" applyBorder="1" applyNumberFormat="1">
      <alignment horizontal="center" vertical="center" wrapText="1"/>
    </xf>
    <xf numFmtId="0" fontId="55" fillId="0" borderId="19" xfId="0" applyFont="1" applyBorder="1" applyNumberFormat="1">
      <alignment horizontal="center" vertical="center" wrapText="1"/>
    </xf>
    <xf numFmtId="0" fontId="23" fillId="0" borderId="39" xfId="0" applyFont="1" applyBorder="1" applyNumberFormat="1">
      <alignment horizontal="center" vertical="center" wrapText="1"/>
    </xf>
    <xf numFmtId="0" fontId="55" fillId="0" borderId="14" xfId="0" applyFont="1" applyBorder="1" applyNumberFormat="1">
      <alignment vertical="center" wrapText="1"/>
    </xf>
    <xf numFmtId="0" fontId="23" fillId="0" borderId="0" xfId="0" applyFont="1" applyNumberFormat="1">
      <alignment vertical="center"/>
    </xf>
    <xf numFmtId="0" fontId="55" fillId="0" borderId="25" xfId="0" applyFont="1" applyBorder="1" applyNumberFormat="1">
      <alignment horizontal="center" vertical="center" wrapText="1"/>
    </xf>
    <xf numFmtId="0" fontId="23" fillId="0" borderId="32" xfId="0" applyFont="1" applyBorder="1" applyNumberFormat="1">
      <alignment horizontal="center" vertical="center" wrapText="1"/>
    </xf>
    <xf numFmtId="0" fontId="55" fillId="0" borderId="14" xfId="0" applyFont="1" applyBorder="1" applyNumberFormat="1">
      <alignment horizontal="center" vertical="center" wrapText="1"/>
    </xf>
    <xf numFmtId="0" fontId="0" fillId="0" borderId="15" xfId="0" applyFont="1" applyBorder="1" applyNumberFormat="1">
      <alignment horizontal="center" vertical="center" wrapText="1"/>
    </xf>
    <xf numFmtId="0" fontId="85" fillId="37" borderId="0" xfId="0" applyFont="1" applyFill="1" applyNumberFormat="1">
      <alignment horizontal="center" vertical="center" wrapText="1"/>
    </xf>
    <xf numFmtId="0" fontId="55" fillId="0" borderId="14" xfId="0" applyFont="1" applyBorder="1" applyNumberFormat="1">
      <alignment horizontal="left" vertical="center" wrapText="1"/>
    </xf>
    <xf numFmtId="0" fontId="55" fillId="0" borderId="14" xfId="0" applyFont="1" applyBorder="1" applyNumberFormat="1">
      <alignment horizontal="left" vertical="center" wrapText="1" indent="4"/>
    </xf>
    <xf numFmtId="0" fontId="55" fillId="0" borderId="14" xfId="0" applyFont="1" applyBorder="1" applyNumberFormat="1">
      <alignment horizontal="left" vertical="center" wrapText="1" indent="6"/>
    </xf>
    <xf numFmtId="0" fontId="55" fillId="0" borderId="16" xfId="0" applyFont="1" applyBorder="1" applyNumberFormat="1">
      <alignment horizontal="left" vertical="center" wrapText="1"/>
    </xf>
    <xf numFmtId="0" fontId="55" fillId="0" borderId="17" xfId="0" applyFont="1" applyBorder="1" applyNumberFormat="1">
      <alignment horizontal="left" vertical="center" wrapText="1"/>
    </xf>
    <xf numFmtId="0" fontId="55" fillId="0" borderId="15" xfId="0" applyFont="1" applyBorder="1" applyNumberFormat="1">
      <alignment horizontal="left" vertical="center" wrapText="1"/>
    </xf>
    <xf numFmtId="0" fontId="55" fillId="0" borderId="14" xfId="0" applyFont="1" applyBorder="1" applyNumberFormat="1">
      <alignment vertical="top" wrapText="1"/>
    </xf>
    <xf numFmtId="49" fontId="102" fillId="0" borderId="16" xfId="0" applyFont="1" applyBorder="1" applyNumberFormat="1">
      <alignment horizontal="left" vertical="center"/>
    </xf>
    <xf numFmtId="49" fontId="55" fillId="0" borderId="17" xfId="0" applyFont="1" applyBorder="1" applyNumberFormat="1">
      <alignment horizontal="left" vertical="center" indent="4"/>
    </xf>
    <xf numFmtId="49" fontId="55" fillId="0" borderId="17" xfId="0" applyFont="1" applyBorder="1" applyNumberFormat="1">
      <alignment horizontal="center" vertical="center" wrapText="1"/>
    </xf>
    <xf numFmtId="49" fontId="55" fillId="0" borderId="15" xfId="0" applyFont="1" applyBorder="1" applyNumberFormat="1">
      <alignment horizontal="center" vertical="center" wrapText="1"/>
    </xf>
    <xf numFmtId="49" fontId="55" fillId="0" borderId="0" xfId="0" applyFont="1" applyNumberFormat="1">
      <alignment vertical="center" wrapText="1"/>
    </xf>
    <xf numFmtId="0" fontId="0" fillId="0" borderId="0" xfId="0" applyFont="1" applyNumberFormat="1">
      <alignment horizontal="left" vertical="top" wrapText="1"/>
    </xf>
    <xf numFmtId="0" fontId="54" fillId="0" borderId="0" xfId="0" applyFont="1" applyNumberFormat="1">
      <alignment vertical="top" wrapText="1"/>
    </xf>
    <xf numFmtId="0" fontId="23" fillId="0" borderId="21" xfId="0" applyFont="1" applyBorder="1" applyNumberFormat="1">
      <alignment horizontal="left" vertical="center" wrapText="1" indent="1"/>
    </xf>
    <xf numFmtId="0" fontId="23" fillId="0" borderId="0" xfId="0" applyFont="1" applyNumberFormat="1">
      <alignment horizontal="left" vertical="center" wrapText="1"/>
    </xf>
    <xf numFmtId="0" fontId="23" fillId="43" borderId="22" xfId="0" applyFont="1" applyFill="1" applyBorder="1" applyNumberFormat="1">
      <alignment horizontal="left" vertical="center" wrapText="1"/>
    </xf>
    <xf numFmtId="0" fontId="23" fillId="0" borderId="0" xfId="0" applyFont="1" applyNumberFormat="1">
      <alignment horizontal="center" vertical="center" wrapText="1"/>
    </xf>
    <xf numFmtId="164" fontId="23" fillId="39" borderId="16" xfId="0" applyFont="1" applyFill="1" applyBorder="1" applyNumberFormat="1">
      <alignment horizontal="right" vertical="center" wrapText="1"/>
      <protection locked="0"/>
    </xf>
    <xf numFmtId="4" fontId="23" fillId="39" borderId="15" xfId="0" applyFont="1" applyFill="1" applyBorder="1" applyNumberFormat="1">
      <alignment horizontal="right" vertical="center" wrapText="1"/>
      <protection locked="0"/>
    </xf>
    <xf numFmtId="0" fontId="53" fillId="0" borderId="19" xfId="0" applyFont="1" applyBorder="1" applyNumberFormat="1">
      <alignment vertical="top" wrapText="1"/>
    </xf>
    <xf numFmtId="0" fontId="23" fillId="39" borderId="14" xfId="0" applyFont="1" applyFill="1" applyBorder="1" applyNumberFormat="1">
      <alignment horizontal="left" vertical="center" wrapText="1" indent="7"/>
      <protection locked="0"/>
    </xf>
    <xf numFmtId="49" fontId="0" fillId="42" borderId="14" xfId="0" applyFont="1" applyFill="1" applyBorder="1" applyNumberFormat="1">
      <alignment horizontal="center" vertical="center" wrapText="1"/>
      <protection locked="0"/>
    </xf>
    <xf numFmtId="4" fontId="55" fillId="0" borderId="16" xfId="0" applyFont="1" applyBorder="1" applyNumberFormat="1">
      <alignment horizontal="center" vertical="center" wrapText="1"/>
    </xf>
    <xf numFmtId="4" fontId="23" fillId="0" borderId="15" xfId="0" applyFont="1" applyBorder="1" applyNumberFormat="1">
      <alignment horizontal="right" vertical="center" wrapText="1"/>
    </xf>
    <xf numFmtId="0" fontId="23" fillId="40" borderId="17" xfId="0" applyFont="1" applyFill="1" applyBorder="1" applyNumberFormat="1">
      <alignment horizontal="left" vertical="center" wrapText="1" indent="6"/>
    </xf>
    <xf numFmtId="4" fontId="23" fillId="40" borderId="17" xfId="0" applyFont="1" applyFill="1" applyBorder="1" applyNumberFormat="1">
      <alignment horizontal="right" vertical="center" wrapText="1"/>
    </xf>
    <xf numFmtId="4" fontId="55" fillId="40" borderId="17" xfId="0" applyFont="1" applyFill="1" applyBorder="1" applyNumberFormat="1">
      <alignment horizontal="center" vertical="center" wrapText="1"/>
    </xf>
    <xf numFmtId="4" fontId="23" fillId="40" borderId="15" xfId="0" applyFont="1" applyFill="1" applyBorder="1" applyNumberFormat="1">
      <alignment horizontal="right" vertical="center" wrapText="1"/>
    </xf>
    <xf numFmtId="49" fontId="23" fillId="40" borderId="29" xfId="0" applyFont="1" applyFill="1" applyBorder="1" applyNumberFormat="1">
      <alignment horizontal="center" vertical="center" wrapText="1"/>
    </xf>
    <xf numFmtId="0" fontId="23" fillId="0" borderId="0" xfId="0" applyFont="1" applyNumberFormat="1">
      <alignment horizontal="center" vertical="center" wrapText="1"/>
    </xf>
    <xf numFmtId="0" fontId="23" fillId="0" borderId="14" xfId="0" applyFont="1" applyBorder="1" applyNumberFormat="1">
      <alignment horizontal="center" vertical="center" wrapText="1"/>
    </xf>
    <xf numFmtId="0" fontId="23" fillId="0" borderId="21" xfId="0" applyFont="1" applyBorder="1" applyNumberFormat="1">
      <alignment horizontal="center" vertical="center" wrapText="1"/>
    </xf>
    <xf numFmtId="0" fontId="23" fillId="0" borderId="22" xfId="0" applyFont="1" applyBorder="1" applyNumberFormat="1">
      <alignment horizontal="center" vertical="center" wrapText="1"/>
    </xf>
    <xf numFmtId="0" fontId="23" fillId="0" borderId="24" xfId="0" applyFont="1" applyBorder="1" applyNumberFormat="1">
      <alignment horizontal="center" vertical="center" wrapText="1"/>
    </xf>
    <xf numFmtId="0" fontId="0" fillId="0" borderId="19" xfId="0" applyFont="1" applyBorder="1" applyNumberFormat="1">
      <alignment horizontal="center" vertical="center" wrapText="1"/>
    </xf>
    <xf numFmtId="0" fontId="0" fillId="0" borderId="17" xfId="0" applyFont="1" applyBorder="1" applyNumberFormat="1">
      <alignment horizontal="center" vertical="center" wrapText="1"/>
    </xf>
    <xf numFmtId="0" fontId="23" fillId="0" borderId="29" xfId="0" applyFont="1" applyBorder="1" applyNumberFormat="1">
      <alignment horizontal="center" vertical="center" wrapText="1"/>
    </xf>
    <xf numFmtId="0" fontId="23" fillId="0" borderId="31" xfId="0" applyFont="1" applyBorder="1" applyNumberFormat="1">
      <alignment horizontal="center" vertical="center" wrapText="1"/>
    </xf>
    <xf numFmtId="0" fontId="0" fillId="0" borderId="38" xfId="0" applyFont="1" applyBorder="1" applyNumberFormat="1">
      <alignment horizontal="center" vertical="center" wrapText="1"/>
    </xf>
    <xf numFmtId="0" fontId="0" fillId="0" borderId="39" xfId="0" applyFont="1" applyBorder="1" applyNumberFormat="1">
      <alignment horizontal="center" vertical="center" wrapText="1"/>
    </xf>
    <xf numFmtId="0" fontId="0" fillId="0" borderId="22" xfId="0" applyFont="1" applyBorder="1" applyNumberFormat="1">
      <alignment horizontal="center" vertical="center" wrapText="1"/>
    </xf>
    <xf numFmtId="0" fontId="0" fillId="0" borderId="25" xfId="0" applyFont="1" applyBorder="1" applyNumberFormat="1">
      <alignment horizontal="center" vertical="center" wrapText="1"/>
    </xf>
    <xf numFmtId="0" fontId="0" fillId="0" borderId="32" xfId="0" applyFont="1" applyBorder="1" applyNumberFormat="1">
      <alignment horizontal="center" vertical="center" wrapText="1"/>
    </xf>
    <xf numFmtId="0" fontId="0" fillId="0" borderId="31" xfId="0" applyFont="1" applyBorder="1" applyNumberFormat="1">
      <alignment horizontal="center" vertical="center" wrapText="1"/>
    </xf>
    <xf numFmtId="0" fontId="23" fillId="0" borderId="14" xfId="0" applyFont="1" applyBorder="1" applyNumberFormat="1">
      <alignment horizontal="center" vertical="center"/>
    </xf>
    <xf numFmtId="0" fontId="23" fillId="0" borderId="16" xfId="0" applyFont="1" applyBorder="1" applyNumberFormat="1">
      <alignment horizontal="center" vertical="center"/>
    </xf>
    <xf numFmtId="49" fontId="54" fillId="0" borderId="0" xfId="0" applyFont="1" applyNumberFormat="1">
      <alignment vertical="center" wrapText="1"/>
    </xf>
    <xf numFmtId="0" fontId="54" fillId="0" borderId="0" xfId="0" applyFont="1" applyNumberFormat="1">
      <alignment horizontal="center" vertical="center" wrapText="1"/>
    </xf>
    <xf numFmtId="0" fontId="61" fillId="37" borderId="0" xfId="0" applyFont="1" applyFill="1" applyNumberFormat="1">
      <alignment horizontal="center" vertical="center" wrapText="1"/>
    </xf>
    <xf numFmtId="0" fontId="61" fillId="0" borderId="0" xfId="0" applyFont="1" applyNumberFormat="1">
      <alignment vertical="center" wrapText="1"/>
    </xf>
    <xf numFmtId="0" fontId="55" fillId="0" borderId="14" xfId="0" applyFont="1" applyBorder="1" applyNumberFormat="1">
      <alignment horizontal="left" vertical="center" wrapText="1" indent="5"/>
    </xf>
    <xf numFmtId="0" fontId="55" fillId="0" borderId="26" xfId="0" applyFont="1" applyBorder="1" applyNumberFormat="1">
      <alignment horizontal="center" vertical="top" wrapText="1"/>
    </xf>
    <xf numFmtId="0" fontId="23" fillId="37" borderId="19" xfId="0" applyFont="1" applyFill="1" applyBorder="1" applyNumberFormat="1">
      <alignment horizontal="left" vertical="center" wrapText="1"/>
    </xf>
    <xf numFmtId="49" fontId="23" fillId="42" borderId="19" xfId="0" applyFont="1" applyFill="1" applyBorder="1" applyNumberFormat="1">
      <alignment horizontal="left" vertical="center" wrapText="1" indent="6"/>
      <protection locked="0"/>
    </xf>
    <xf numFmtId="0" fontId="45" fillId="0" borderId="14" xfId="0" applyFont="1" applyBorder="1" applyNumberFormat="1">
      <alignment horizontal="center" vertical="center" wrapText="1"/>
    </xf>
    <xf numFmtId="49" fontId="23" fillId="43" borderId="14" xfId="0" applyFont="1" applyFill="1" applyBorder="1" applyNumberFormat="1">
      <alignment horizontal="left" vertical="center" wrapText="1" indent="1"/>
    </xf>
    <xf numFmtId="0" fontId="23" fillId="0" borderId="14" xfId="0" applyFont="1" applyBorder="1" applyNumberFormat="1">
      <alignment horizontal="left" vertical="center" wrapText="1" indent="4"/>
    </xf>
    <xf numFmtId="49" fontId="23" fillId="37" borderId="14" xfId="0" applyFont="1" applyFill="1" applyBorder="1" applyNumberFormat="1">
      <alignment horizontal="center" vertical="center" wrapText="1"/>
    </xf>
    <xf numFmtId="0" fontId="23" fillId="43" borderId="14" xfId="0" applyFont="1" applyFill="1" applyBorder="1" applyNumberFormat="1">
      <alignment horizontal="left" vertical="center" wrapText="1" indent="1"/>
    </xf>
    <xf numFmtId="167" fontId="0" fillId="42" borderId="14" xfId="0" applyFont="1" applyFill="1" applyBorder="1" applyNumberFormat="1">
      <alignment horizontal="center" vertical="center" wrapText="1"/>
      <protection locked="0"/>
    </xf>
    <xf numFmtId="49" fontId="23" fillId="43" borderId="14" xfId="0" applyFont="1" applyFill="1" applyBorder="1" applyNumberFormat="1">
      <alignment horizontal="center" vertical="center" wrapText="1"/>
    </xf>
    <xf numFmtId="0" fontId="23" fillId="37" borderId="38" xfId="0" applyFont="1" applyFill="1" applyBorder="1" applyNumberFormat="1">
      <alignment horizontal="left" vertical="center" wrapText="1"/>
    </xf>
    <xf numFmtId="49" fontId="23" fillId="42" borderId="38" xfId="0" applyFont="1" applyFill="1" applyBorder="1" applyNumberFormat="1">
      <alignment horizontal="left" vertical="center" wrapText="1" indent="6"/>
      <protection locked="0"/>
    </xf>
    <xf numFmtId="164" fontId="23" fillId="40" borderId="15" xfId="0" applyFont="1" applyFill="1" applyBorder="1" applyNumberFormat="1">
      <alignment horizontal="right" vertical="center" wrapText="1"/>
    </xf>
    <xf numFmtId="49" fontId="48" fillId="40" borderId="16" xfId="0" applyFont="1" applyFill="1" applyBorder="1" applyNumberFormat="1">
      <alignment horizontal="left" vertical="center"/>
    </xf>
    <xf numFmtId="164" fontId="23" fillId="40" borderId="17" xfId="0" applyFont="1" applyFill="1" applyBorder="1" applyNumberFormat="1">
      <alignment horizontal="right" vertical="center" wrapText="1"/>
    </xf>
    <xf numFmtId="4" fontId="23" fillId="0" borderId="38" xfId="0" applyFont="1" applyBorder="1" applyNumberFormat="1">
      <alignment horizontal="right" vertical="center" wrapText="1"/>
    </xf>
    <xf numFmtId="49" fontId="48" fillId="40" borderId="16" xfId="0" applyFont="1" applyFill="1" applyBorder="1" applyNumberFormat="1">
      <alignment horizontal="left" vertical="center" indent="1"/>
    </xf>
    <xf numFmtId="0" fontId="23" fillId="37" borderId="25" xfId="0" applyFont="1" applyFill="1" applyBorder="1" applyNumberFormat="1">
      <alignment horizontal="left" vertical="center" wrapText="1"/>
    </xf>
    <xf numFmtId="49" fontId="23" fillId="42" borderId="25" xfId="0" applyFont="1" applyFill="1" applyBorder="1" applyNumberFormat="1">
      <alignment horizontal="left" vertical="center" wrapText="1" indent="6"/>
      <protection locked="0"/>
    </xf>
    <xf numFmtId="4" fontId="55" fillId="40" borderId="15" xfId="0" applyFont="1" applyFill="1" applyBorder="1" applyNumberFormat="1">
      <alignment horizontal="center" vertical="center" wrapText="1"/>
    </xf>
    <xf numFmtId="49" fontId="48" fillId="40" borderId="16" xfId="0" applyFont="1" applyFill="1" applyBorder="1" applyNumberFormat="1">
      <alignment vertical="center" wrapText="1"/>
    </xf>
    <xf numFmtId="49" fontId="48" fillId="40" borderId="17" xfId="0" applyFont="1" applyFill="1" applyBorder="1" applyNumberFormat="1">
      <alignment vertical="center" wrapText="1"/>
    </xf>
    <xf numFmtId="49" fontId="55" fillId="0" borderId="26" xfId="0" applyFont="1" applyBorder="1" applyNumberFormat="1">
      <alignment vertical="top"/>
    </xf>
    <xf numFmtId="0" fontId="116" fillId="0" borderId="0" xfId="0" applyFont="1" applyNumberFormat="1">
      <alignment horizontal="center" vertical="center" wrapText="1"/>
    </xf>
    <xf numFmtId="49" fontId="55" fillId="0" borderId="0" xfId="0" applyFont="1" applyNumberFormat="1">
      <alignment horizontal="center" vertical="center" wrapText="1"/>
    </xf>
    <xf numFmtId="49" fontId="55" fillId="0" borderId="0" xfId="0" applyFont="1" applyNumberFormat="1">
      <alignment horizontal="left" vertical="center" wrapText="1" indent="1"/>
    </xf>
    <xf numFmtId="0" fontId="55" fillId="0" borderId="0" xfId="0" applyFont="1" applyNumberFormat="1">
      <alignment horizontal="left" vertical="center" wrapText="1" indent="4"/>
    </xf>
    <xf numFmtId="0" fontId="55" fillId="0" borderId="26" xfId="0" applyFont="1" applyBorder="1" applyNumberFormat="1">
      <alignment horizontal="left" vertical="center" wrapText="1" indent="1"/>
    </xf>
    <xf numFmtId="4" fontId="55" fillId="0" borderId="14" xfId="0" applyFont="1" applyBorder="1" applyNumberFormat="1">
      <alignment horizontal="right" vertical="center" wrapText="1"/>
    </xf>
    <xf numFmtId="164" fontId="55" fillId="0" borderId="14" xfId="0" applyFont="1" applyBorder="1" applyNumberFormat="1">
      <alignment horizontal="right" vertical="center" wrapText="1"/>
    </xf>
    <xf numFmtId="167" fontId="55" fillId="0" borderId="14" xfId="0" applyFont="1" applyBorder="1" applyNumberFormat="1">
      <alignment horizontal="center" vertical="center" wrapText="1"/>
    </xf>
    <xf numFmtId="49" fontId="55" fillId="0" borderId="14" xfId="0" applyFont="1" applyBorder="1" applyNumberFormat="1">
      <alignment horizontal="center" vertical="center" wrapText="1"/>
    </xf>
    <xf numFmtId="0" fontId="54" fillId="0" borderId="0" xfId="0" applyFont="1" applyNumberFormat="1">
      <alignment horizontal="left" vertical="center"/>
    </xf>
    <xf numFmtId="49" fontId="54" fillId="0" borderId="0" xfId="0" applyFont="1" applyNumberFormat="1">
      <alignment horizontal="left" vertical="center"/>
    </xf>
    <xf numFmtId="0" fontId="54" fillId="0" borderId="0" xfId="0" applyFont="1" applyNumberFormat="1">
      <alignment horizontal="left" vertical="center"/>
    </xf>
    <xf numFmtId="0" fontId="74" fillId="0" borderId="0" xfId="0" applyFont="1" applyNumberFormat="1">
      <alignment horizontal="left" vertical="center"/>
    </xf>
    <xf numFmtId="0" fontId="55" fillId="0" borderId="0" xfId="0" applyFont="1" applyNumberFormat="1">
      <alignment horizontal="left" vertical="center"/>
    </xf>
    <xf numFmtId="0" fontId="74" fillId="37" borderId="0" xfId="0" applyFont="1" applyFill="1" applyNumberFormat="1">
      <alignment vertical="center" wrapText="1"/>
    </xf>
    <xf numFmtId="0" fontId="23" fillId="37" borderId="39" xfId="0" applyFont="1" applyFill="1" applyBorder="1" applyNumberFormat="1">
      <alignment horizontal="center" vertical="center" wrapText="1"/>
    </xf>
    <xf numFmtId="0" fontId="0" fillId="37" borderId="39" xfId="0" applyFont="1" applyFill="1" applyBorder="1" applyNumberFormat="1">
      <alignment horizontal="center" vertical="center" wrapText="1"/>
    </xf>
    <xf numFmtId="0" fontId="0" fillId="37" borderId="22" xfId="0" applyFont="1" applyFill="1" applyBorder="1" applyNumberFormat="1">
      <alignment horizontal="center" vertical="center" wrapText="1"/>
    </xf>
    <xf numFmtId="0" fontId="23" fillId="37" borderId="24" xfId="0" applyFont="1" applyFill="1" applyBorder="1" applyNumberFormat="1">
      <alignment horizontal="center" vertical="center" wrapText="1"/>
    </xf>
    <xf numFmtId="0" fontId="0" fillId="37" borderId="24" xfId="0" applyFont="1" applyFill="1" applyBorder="1" applyNumberFormat="1">
      <alignment horizontal="center" vertical="center" wrapText="1"/>
    </xf>
    <xf numFmtId="0" fontId="0" fillId="37" borderId="0" xfId="0" applyFont="1" applyFill="1" applyNumberFormat="1">
      <alignment horizontal="center" vertical="center" wrapText="1"/>
    </xf>
    <xf numFmtId="0" fontId="0" fillId="37" borderId="26" xfId="0" applyFont="1" applyFill="1" applyBorder="1" applyNumberFormat="1">
      <alignment horizontal="center" vertical="center" wrapText="1"/>
    </xf>
    <xf numFmtId="0" fontId="23" fillId="42" borderId="14" xfId="0" applyFont="1" applyFill="1" applyBorder="1" applyNumberFormat="1">
      <alignment horizontal="center" vertical="center" wrapText="1"/>
      <protection locked="0"/>
    </xf>
    <xf numFmtId="0" fontId="23" fillId="37" borderId="14" xfId="0" applyFont="1" applyFill="1" applyBorder="1" applyNumberFormat="1">
      <alignment horizontal="center" vertical="center" wrapText="1"/>
    </xf>
    <xf numFmtId="0" fontId="23" fillId="37" borderId="32" xfId="0" applyFont="1" applyFill="1" applyBorder="1" applyNumberFormat="1">
      <alignment horizontal="center" vertical="center" wrapText="1"/>
    </xf>
    <xf numFmtId="0" fontId="0" fillId="37" borderId="32" xfId="0" applyFont="1" applyFill="1" applyBorder="1" applyNumberFormat="1">
      <alignment horizontal="center" vertical="center" wrapText="1"/>
    </xf>
    <xf numFmtId="0" fontId="0" fillId="37" borderId="29" xfId="0" applyFont="1" applyFill="1" applyBorder="1" applyNumberFormat="1">
      <alignment horizontal="center" vertical="center" wrapText="1"/>
    </xf>
    <xf numFmtId="0" fontId="0" fillId="37" borderId="31" xfId="0" applyFont="1" applyFill="1" applyBorder="1" applyNumberFormat="1">
      <alignment horizontal="center" vertical="center" wrapText="1"/>
    </xf>
    <xf numFmtId="0" fontId="23" fillId="37" borderId="25" xfId="0" applyFont="1" applyFill="1" applyBorder="1" applyNumberFormat="1">
      <alignment horizontal="center" vertical="center" wrapText="1"/>
    </xf>
    <xf numFmtId="49" fontId="23" fillId="0" borderId="14" xfId="0" applyFont="1" applyBorder="1" applyNumberFormat="1">
      <alignment horizontal="left" vertical="center" wrapText="1" indent="1"/>
    </xf>
    <xf numFmtId="0" fontId="23" fillId="0" borderId="14" xfId="0" applyFont="1" applyBorder="1" applyNumberFormat="1">
      <alignment horizontal="left" vertical="center" wrapText="1" indent="1"/>
    </xf>
    <xf numFmtId="49" fontId="23" fillId="40" borderId="16" xfId="0" applyFont="1" applyFill="1" applyBorder="1" applyNumberFormat="1">
      <alignment horizontal="center" vertical="center" wrapText="1"/>
    </xf>
    <xf numFmtId="49" fontId="77" fillId="0" borderId="26" xfId="0" applyFont="1" applyBorder="1" applyNumberFormat="1">
      <alignment vertical="top"/>
    </xf>
    <xf numFmtId="0" fontId="23" fillId="0" borderId="0" xfId="0" applyFont="1" applyNumberFormat="1">
      <alignment horizontal="left" vertical="top" wrapText="1"/>
    </xf>
    <xf numFmtId="0" fontId="23" fillId="37" borderId="14" xfId="0" applyFont="1" applyFill="1" applyBorder="1" applyNumberFormat="1">
      <alignment horizontal="left" vertical="center" wrapText="1"/>
    </xf>
    <xf numFmtId="0" fontId="23" fillId="0" borderId="0" xfId="0" applyFont="1" applyNumberFormat="1">
      <alignment horizontal="center" vertical="center" wrapText="1"/>
    </xf>
    <xf numFmtId="0" fontId="55" fillId="0" borderId="0" xfId="0" applyFont="1" applyNumberFormat="1">
      <alignment horizontal="center" vertical="center" wrapText="1"/>
    </xf>
    <xf numFmtId="0" fontId="23" fillId="39" borderId="16" xfId="0" applyFont="1" applyFill="1" applyBorder="1" applyNumberFormat="1">
      <alignment horizontal="left" vertical="center" wrapText="1"/>
      <protection locked="0"/>
    </xf>
    <xf numFmtId="0" fontId="23" fillId="39" borderId="17" xfId="0" applyFont="1" applyFill="1" applyBorder="1" applyNumberFormat="1">
      <alignment horizontal="left" vertical="center" wrapText="1"/>
      <protection locked="0"/>
    </xf>
    <xf numFmtId="0" fontId="23" fillId="39" borderId="15" xfId="0" applyFont="1" applyFill="1" applyBorder="1" applyNumberFormat="1">
      <alignment horizontal="left" vertical="center" wrapText="1"/>
      <protection locked="0"/>
    </xf>
    <xf numFmtId="49" fontId="23" fillId="39" borderId="16" xfId="0" applyFont="1" applyFill="1" applyBorder="1" applyNumberFormat="1">
      <alignment horizontal="left" vertical="center" wrapText="1"/>
      <protection locked="0"/>
    </xf>
    <xf numFmtId="49" fontId="23" fillId="39" borderId="17" xfId="0" applyFont="1" applyFill="1" applyBorder="1" applyNumberFormat="1">
      <alignment horizontal="left" vertical="center" wrapText="1"/>
      <protection locked="0"/>
    </xf>
    <xf numFmtId="49" fontId="23" fillId="39" borderId="15" xfId="0" applyFont="1" applyFill="1" applyBorder="1" applyNumberFormat="1">
      <alignment horizontal="left" vertical="center" wrapText="1"/>
      <protection locked="0"/>
    </xf>
    <xf numFmtId="49" fontId="23" fillId="39" borderId="14" xfId="0" applyFont="1" applyFill="1" applyBorder="1" applyNumberFormat="1">
      <alignment horizontal="left" vertical="center" wrapText="1" indent="6"/>
      <protection locked="0"/>
    </xf>
    <xf numFmtId="4" fontId="23" fillId="0" borderId="39" xfId="0" applyFont="1" applyBorder="1" applyNumberFormat="1">
      <alignment horizontal="right" vertical="center" wrapText="1"/>
    </xf>
    <xf numFmtId="0" fontId="53" fillId="0" borderId="14" xfId="0" applyFont="1" applyBorder="1" applyNumberFormat="1">
      <alignment horizontal="left" vertical="top" wrapText="1"/>
    </xf>
    <xf numFmtId="49" fontId="23" fillId="0" borderId="14" xfId="0" applyFont="1" applyBorder="1" applyNumberFormat="1">
      <alignment horizontal="left" vertical="center" wrapText="1"/>
    </xf>
    <xf numFmtId="4" fontId="23" fillId="0" borderId="32" xfId="0" applyFont="1" applyBorder="1" applyNumberFormat="1">
      <alignment horizontal="right" vertical="center" wrapText="1"/>
    </xf>
    <xf numFmtId="49" fontId="0" fillId="40" borderId="31" xfId="0" applyFont="1" applyFill="1" applyBorder="1" applyNumberFormat="1">
      <alignment horizontal="center" vertical="center" wrapText="1"/>
    </xf>
    <xf numFmtId="49" fontId="48" fillId="40" borderId="17" xfId="0" applyFont="1" applyFill="1" applyBorder="1" applyNumberFormat="1">
      <alignment horizontal="left" vertical="center" indent="3"/>
    </xf>
    <xf numFmtId="0" fontId="55" fillId="0" borderId="0" xfId="0" applyFont="1" applyNumberFormat="1">
      <alignment horizontal="center" vertical="center"/>
    </xf>
    <xf numFmtId="0" fontId="54" fillId="0" borderId="0" xfId="0" applyFont="1" applyNumberFormat="1">
      <alignment horizontal="center" vertical="center" wrapText="1"/>
    </xf>
    <xf numFmtId="0" fontId="115" fillId="0" borderId="0" xfId="0" applyFont="1" applyNumberFormat="1">
      <alignment vertical="center" wrapText="1"/>
    </xf>
    <xf numFmtId="0" fontId="23" fillId="0" borderId="0" xfId="0" applyFont="1" applyNumberFormat="1">
      <alignment horizontal="right" vertical="center" wrapText="1"/>
    </xf>
    <xf numFmtId="0" fontId="23" fillId="0" borderId="19" xfId="0" applyFont="1" applyBorder="1" applyNumberFormat="1">
      <alignment horizontal="center" vertical="center" wrapText="1"/>
    </xf>
    <xf numFmtId="0" fontId="0" fillId="0" borderId="14" xfId="0" applyFont="1" applyBorder="1" applyNumberFormat="1">
      <alignment horizontal="center" vertical="center" wrapText="1"/>
    </xf>
    <xf numFmtId="0" fontId="85" fillId="37" borderId="21" xfId="0" applyFont="1" applyFill="1" applyBorder="1" applyNumberFormat="1">
      <alignment horizontal="center" vertical="center" wrapText="1"/>
    </xf>
    <xf numFmtId="0" fontId="23" fillId="37" borderId="14" xfId="0" applyFont="1" applyFill="1" applyBorder="1" applyNumberFormat="1">
      <alignment horizontal="left" vertical="center" wrapText="1"/>
    </xf>
    <xf numFmtId="0" fontId="23" fillId="0" borderId="0" xfId="0" applyFont="1" applyNumberFormat="1">
      <alignment horizontal="center" vertical="center" wrapText="1"/>
    </xf>
    <xf numFmtId="0" fontId="55" fillId="0" borderId="0" xfId="0" applyFont="1" applyNumberFormat="1">
      <alignment horizontal="center" vertical="center" wrapText="1"/>
    </xf>
    <xf numFmtId="49" fontId="23" fillId="0" borderId="14" xfId="0" applyFont="1" applyBorder="1" applyNumberFormat="1">
      <alignment horizontal="left" vertical="center" wrapText="1"/>
    </xf>
    <xf numFmtId="49" fontId="23" fillId="0" borderId="0" xfId="0" applyFont="1" applyNumberFormat="1">
      <alignment vertical="center" wrapText="1"/>
    </xf>
    <xf numFmtId="0" fontId="23" fillId="37" borderId="14" xfId="0" applyFont="1" applyFill="1" applyBorder="1" applyNumberFormat="1">
      <alignment horizontal="left" vertical="center" wrapText="1"/>
    </xf>
    <xf numFmtId="0" fontId="23" fillId="0" borderId="0" xfId="0" applyFont="1" applyNumberFormat="1">
      <alignment horizontal="center" vertical="center" wrapText="1"/>
    </xf>
    <xf numFmtId="0" fontId="55" fillId="0" borderId="0" xfId="0" applyFont="1" applyNumberFormat="1">
      <alignment horizontal="center" vertical="center" wrapText="1"/>
    </xf>
    <xf numFmtId="49" fontId="23" fillId="0" borderId="14" xfId="0" applyFont="1" applyBorder="1" applyNumberFormat="1">
      <alignment horizontal="left" vertical="center" wrapText="1"/>
    </xf>
    <xf numFmtId="0" fontId="55" fillId="0" borderId="0" xfId="0" applyFont="1" applyNumberFormat="1">
      <alignment horizontal="center" vertical="center"/>
    </xf>
    <xf numFmtId="0" fontId="54" fillId="0" borderId="0" xfId="0" applyFont="1" applyNumberFormat="1">
      <alignment horizontal="center" vertical="center" wrapText="1"/>
    </xf>
    <xf numFmtId="0" fontId="23" fillId="0" borderId="0" xfId="0" applyFont="1" applyNumberFormat="1">
      <alignment horizontal="right" vertical="center" wrapText="1"/>
    </xf>
    <xf numFmtId="0" fontId="23" fillId="0" borderId="19" xfId="0" applyFont="1" applyBorder="1" applyNumberFormat="1">
      <alignment horizontal="center" vertical="center" wrapText="1"/>
    </xf>
    <xf numFmtId="0" fontId="0" fillId="0" borderId="14" xfId="0" applyFont="1" applyBorder="1" applyNumberFormat="1">
      <alignment horizontal="center" vertical="center" wrapText="1"/>
    </xf>
    <xf numFmtId="0" fontId="85" fillId="37" borderId="21" xfId="0" applyFont="1" applyFill="1" applyBorder="1" applyNumberFormat="1">
      <alignment horizontal="center" vertical="center" wrapText="1"/>
    </xf>
    <xf numFmtId="49" fontId="23" fillId="0" borderId="0" xfId="0" applyFont="1" applyNumberFormat="1">
      <alignment vertical="center" wrapText="1"/>
    </xf>
    <xf numFmtId="0" fontId="23" fillId="38" borderId="17" xfId="0" applyFont="1" applyFill="1" applyBorder="1" applyNumberFormat="1">
      <alignment horizontal="left" vertical="center" wrapText="1"/>
    </xf>
    <xf numFmtId="0" fontId="54" fillId="0" borderId="0" xfId="0" applyFont="1" applyNumberFormat="1">
      <alignment horizontal="center" vertical="center" wrapText="1"/>
    </xf>
    <xf numFmtId="0" fontId="55" fillId="0" borderId="17" xfId="0" applyFont="1" applyBorder="1" applyNumberFormat="1">
      <alignment horizontal="left" vertical="center" wrapText="1"/>
    </xf>
    <xf numFmtId="49" fontId="23" fillId="43" borderId="14" xfId="0" applyFont="1" applyFill="1" applyBorder="1" applyNumberFormat="1">
      <alignment horizontal="center" vertical="center" wrapText="1"/>
    </xf>
    <xf numFmtId="167" fontId="0" fillId="42" borderId="14" xfId="0" applyFont="1" applyFill="1" applyBorder="1" applyNumberFormat="1">
      <alignment horizontal="center" vertical="center" wrapText="1"/>
      <protection locked="0"/>
    </xf>
    <xf numFmtId="49" fontId="23" fillId="43" borderId="17" xfId="0" applyFont="1" applyFill="1" applyBorder="1" applyNumberFormat="1">
      <alignment horizontal="center" vertical="center" wrapText="1"/>
    </xf>
    <xf numFmtId="49" fontId="55" fillId="0" borderId="14" xfId="0" applyFont="1" applyBorder="1" applyNumberFormat="1">
      <alignment horizontal="center" vertical="center" wrapText="1"/>
    </xf>
    <xf numFmtId="0" fontId="23" fillId="0" borderId="0" xfId="0" applyFont="1" applyNumberFormat="1">
      <alignment horizontal="left" vertical="center"/>
    </xf>
    <xf numFmtId="49" fontId="23" fillId="0" borderId="0" xfId="0" applyFont="1" applyNumberFormat="1">
      <alignment horizontal="left" vertical="center"/>
    </xf>
    <xf numFmtId="0" fontId="23" fillId="0" borderId="0" xfId="0" applyFont="1" applyNumberFormat="1">
      <alignment horizontal="left" vertical="center"/>
    </xf>
    <xf numFmtId="0" fontId="45" fillId="0" borderId="29" xfId="0" applyFont="1" applyBorder="1" applyNumberFormat="1">
      <alignment horizontal="center" vertical="center" wrapText="1"/>
    </xf>
    <xf numFmtId="0" fontId="23" fillId="42" borderId="15" xfId="0" applyFont="1" applyFill="1" applyBorder="1" applyNumberFormat="1">
      <alignment horizontal="center" vertical="center" wrapText="1"/>
      <protection locked="0"/>
    </xf>
    <xf numFmtId="0" fontId="23" fillId="37" borderId="14" xfId="0" applyFont="1" applyFill="1" applyBorder="1" applyNumberFormat="1">
      <alignment horizontal="center" vertical="center" wrapText="1"/>
    </xf>
    <xf numFmtId="0" fontId="23" fillId="37" borderId="31" xfId="0" applyFont="1" applyFill="1" applyBorder="1" applyNumberFormat="1">
      <alignment horizontal="center" vertical="center" wrapText="1"/>
    </xf>
    <xf numFmtId="0" fontId="23" fillId="37" borderId="25" xfId="0" applyFont="1" applyFill="1" applyBorder="1" applyNumberFormat="1">
      <alignment horizontal="center" vertical="center" wrapText="1"/>
    </xf>
    <xf numFmtId="0" fontId="23" fillId="0" borderId="14" xfId="0" applyFont="1" applyBorder="1" applyNumberFormat="1">
      <alignment horizontal="center" vertical="center" wrapText="1"/>
    </xf>
    <xf numFmtId="0" fontId="23" fillId="37" borderId="19" xfId="0" applyFont="1" applyFill="1" applyBorder="1" applyNumberFormat="1">
      <alignment horizontal="left" vertical="center" wrapText="1"/>
    </xf>
    <xf numFmtId="49" fontId="23" fillId="42" borderId="19" xfId="0" applyFont="1" applyFill="1" applyBorder="1" applyNumberFormat="1">
      <alignment horizontal="left" vertical="center" wrapText="1" indent="6"/>
      <protection locked="0"/>
    </xf>
    <xf numFmtId="49" fontId="23" fillId="39" borderId="19" xfId="0" applyFont="1" applyFill="1" applyBorder="1" applyNumberFormat="1">
      <alignment horizontal="left" vertical="center" wrapText="1" indent="6"/>
      <protection locked="0"/>
    </xf>
    <xf numFmtId="4" fontId="23" fillId="42" borderId="14" xfId="0" applyFont="1" applyFill="1" applyBorder="1" applyNumberFormat="1">
      <alignment horizontal="left" vertical="center" wrapText="1" indent="1"/>
      <protection locked="0"/>
    </xf>
    <xf numFmtId="0" fontId="23" fillId="0" borderId="0" xfId="0" applyFont="1" applyNumberFormat="1">
      <alignment horizontal="left" vertical="top" wrapText="1"/>
    </xf>
    <xf numFmtId="0" fontId="23" fillId="37" borderId="14" xfId="0" applyFont="1" applyFill="1" applyBorder="1" applyNumberFormat="1">
      <alignment horizontal="left" vertical="center" wrapText="1"/>
    </xf>
    <xf numFmtId="0" fontId="116" fillId="0" borderId="0" xfId="0" applyFont="1" applyNumberFormat="1">
      <alignment vertical="center" wrapText="1"/>
    </xf>
    <xf numFmtId="0" fontId="116" fillId="37" borderId="0" xfId="0" applyFont="1" applyFill="1" applyNumberFormat="1">
      <alignment horizontal="center" vertical="center" wrapText="1"/>
    </xf>
    <xf numFmtId="0" fontId="55" fillId="37" borderId="14" xfId="0" applyFont="1" applyFill="1" applyBorder="1" applyNumberFormat="1">
      <alignment horizontal="left" vertical="center" wrapText="1" indent="3"/>
    </xf>
    <xf numFmtId="0" fontId="55" fillId="0" borderId="0" xfId="0" applyFont="1" applyNumberFormat="1">
      <alignment horizontal="center" vertical="center" wrapText="1"/>
    </xf>
    <xf numFmtId="49" fontId="23" fillId="39" borderId="19" xfId="0" applyFont="1" applyFill="1" applyBorder="1" applyNumberFormat="1">
      <alignment horizontal="left" vertical="center" wrapText="1" indent="6"/>
      <protection locked="0"/>
    </xf>
    <xf numFmtId="4" fontId="23" fillId="42" borderId="14" xfId="0" applyFont="1" applyFill="1" applyBorder="1" applyNumberFormat="1">
      <alignment horizontal="left" vertical="center" wrapText="1" indent="1"/>
      <protection locked="0"/>
    </xf>
    <xf numFmtId="49" fontId="23" fillId="43" borderId="14" xfId="0" applyFont="1" applyFill="1" applyBorder="1" applyNumberFormat="1">
      <alignment horizontal="left" vertical="center" wrapText="1" indent="1"/>
      <protection locked="0"/>
    </xf>
    <xf numFmtId="4" fontId="23" fillId="42" borderId="14" xfId="0" applyFont="1" applyFill="1" applyBorder="1" applyNumberFormat="1">
      <alignment horizontal="center" vertical="center" wrapText="1"/>
      <protection locked="0"/>
    </xf>
    <xf numFmtId="49" fontId="23" fillId="43" borderId="22" xfId="0" applyFont="1" applyFill="1" applyBorder="1" applyNumberFormat="1">
      <alignment horizontal="center" vertical="center" wrapText="1"/>
    </xf>
    <xf numFmtId="49" fontId="23" fillId="37" borderId="14" xfId="0" applyFont="1" applyFill="1" applyBorder="1" applyNumberFormat="1">
      <alignment horizontal="center" vertical="center" wrapText="1"/>
    </xf>
    <xf numFmtId="49" fontId="23" fillId="42" borderId="14" xfId="0" applyFont="1" applyFill="1" applyBorder="1" applyNumberFormat="1">
      <alignment horizontal="left" vertical="center" wrapText="1" indent="1"/>
      <protection locked="0"/>
    </xf>
    <xf numFmtId="49" fontId="23" fillId="39" borderId="38" xfId="0" applyFont="1" applyFill="1" applyBorder="1" applyNumberFormat="1">
      <alignment horizontal="left" vertical="center" wrapText="1" indent="6"/>
      <protection locked="0"/>
    </xf>
    <xf numFmtId="49" fontId="23" fillId="43" borderId="31" xfId="0" applyFont="1" applyFill="1" applyBorder="1" applyNumberFormat="1">
      <alignment horizontal="center" vertical="center" wrapText="1"/>
    </xf>
    <xf numFmtId="49" fontId="48" fillId="40" borderId="29" xfId="0" applyFont="1" applyFill="1" applyBorder="1" applyNumberFormat="1">
      <alignment horizontal="left" vertical="center"/>
    </xf>
    <xf numFmtId="49" fontId="23" fillId="39" borderId="25" xfId="0" applyFont="1" applyFill="1" applyBorder="1" applyNumberFormat="1">
      <alignment horizontal="left" vertical="center" wrapText="1" indent="6"/>
      <protection locked="0"/>
    </xf>
    <xf numFmtId="0" fontId="55" fillId="0" borderId="0" xfId="0" applyFont="1" applyNumberFormat="1">
      <alignment horizontal="center" vertical="center"/>
    </xf>
    <xf numFmtId="0" fontId="55" fillId="0" borderId="0" xfId="0" applyFont="1" applyNumberFormat="1">
      <alignment horizontal="left" vertical="center" wrapText="1" indent="1"/>
    </xf>
    <xf numFmtId="0" fontId="23" fillId="37" borderId="14" xfId="0" applyFont="1" applyFill="1" applyBorder="1" applyNumberFormat="1">
      <alignment horizontal="center" vertical="center" wrapText="1"/>
    </xf>
    <xf numFmtId="0" fontId="55" fillId="0" borderId="21" xfId="0" applyFont="1" applyBorder="1" applyNumberFormat="1">
      <alignment horizontal="left" vertical="center" wrapText="1"/>
    </xf>
    <xf numFmtId="0" fontId="23" fillId="0" borderId="0" xfId="0" applyFont="1" applyNumberFormat="1">
      <alignment horizontal="left" vertical="top" wrapText="1"/>
    </xf>
    <xf numFmtId="0" fontId="54" fillId="0" borderId="0" xfId="0" applyFont="1" applyNumberFormat="1">
      <alignment horizontal="center" vertical="center" wrapText="1"/>
    </xf>
    <xf numFmtId="0" fontId="23" fillId="37" borderId="14" xfId="0" applyFont="1" applyFill="1" applyBorder="1" applyNumberFormat="1">
      <alignment horizontal="left" vertical="center" wrapText="1"/>
    </xf>
    <xf numFmtId="0" fontId="23" fillId="0" borderId="0" xfId="0" applyFont="1" applyNumberFormat="1">
      <alignment horizontal="center" vertical="center" wrapText="1"/>
    </xf>
    <xf numFmtId="0" fontId="55" fillId="0" borderId="0" xfId="0" applyFont="1" applyNumberFormat="1">
      <alignment horizontal="center" vertical="center" wrapText="1"/>
    </xf>
    <xf numFmtId="49" fontId="23" fillId="0" borderId="14" xfId="0" applyFont="1" applyBorder="1" applyNumberFormat="1">
      <alignment horizontal="left" vertical="center" wrapText="1"/>
    </xf>
    <xf numFmtId="0" fontId="55" fillId="0" borderId="0" xfId="0" applyFont="1" applyNumberFormat="1">
      <alignment horizontal="center" vertical="center"/>
    </xf>
    <xf numFmtId="0" fontId="54" fillId="0" borderId="0" xfId="0" applyFont="1" applyNumberFormat="1">
      <alignment horizontal="center" vertical="center" wrapText="1"/>
    </xf>
    <xf numFmtId="0" fontId="23" fillId="0" borderId="0" xfId="0" applyFont="1" applyNumberFormat="1">
      <alignment horizontal="right" vertical="center" wrapText="1"/>
    </xf>
    <xf numFmtId="0" fontId="23" fillId="0" borderId="19" xfId="0" applyFont="1" applyBorder="1" applyNumberFormat="1">
      <alignment horizontal="center" vertical="center" wrapText="1"/>
    </xf>
    <xf numFmtId="0" fontId="0" fillId="0" borderId="14" xfId="0" applyFont="1" applyBorder="1" applyNumberFormat="1">
      <alignment horizontal="center" vertical="center" wrapText="1"/>
    </xf>
    <xf numFmtId="0" fontId="85" fillId="37" borderId="21" xfId="0" applyFont="1" applyFill="1" applyBorder="1" applyNumberFormat="1">
      <alignment horizontal="center" vertical="center" wrapText="1"/>
    </xf>
    <xf numFmtId="49" fontId="23" fillId="0" borderId="0" xfId="0" applyFont="1" applyNumberFormat="1">
      <alignment vertical="center" wrapText="1"/>
    </xf>
    <xf numFmtId="49" fontId="23" fillId="43" borderId="14" xfId="0" applyFont="1" applyFill="1" applyBorder="1" applyNumberFormat="1">
      <alignment horizontal="center" vertical="center" wrapText="1"/>
    </xf>
    <xf numFmtId="49" fontId="23" fillId="37" borderId="14" xfId="0" applyFont="1" applyFill="1" applyBorder="1" applyNumberFormat="1">
      <alignment horizontal="center" vertical="center" wrapText="1"/>
    </xf>
    <xf numFmtId="49" fontId="23" fillId="42" borderId="14" xfId="0" applyFont="1" applyFill="1" applyBorder="1" applyNumberFormat="1">
      <alignment horizontal="left" vertical="center" wrapText="1" indent="1"/>
      <protection locked="0"/>
    </xf>
    <xf numFmtId="49" fontId="55" fillId="0" borderId="14" xfId="0" applyFont="1" applyBorder="1" applyNumberFormat="1">
      <alignment horizontal="center" vertical="center" wrapText="1"/>
    </xf>
    <xf numFmtId="0" fontId="23" fillId="37" borderId="14" xfId="0" applyFont="1" applyFill="1" applyBorder="1" applyNumberFormat="1">
      <alignment horizontal="center" vertical="center" wrapText="1"/>
    </xf>
    <xf numFmtId="0" fontId="23" fillId="0" borderId="0" xfId="0" applyFont="1" applyNumberFormat="1">
      <alignment horizontal="left" vertical="top" wrapText="1"/>
    </xf>
    <xf numFmtId="0" fontId="23" fillId="0" borderId="14" xfId="0" applyFont="1" applyBorder="1" applyNumberFormat="1">
      <alignment horizontal="center" vertical="center" wrapText="1"/>
    </xf>
    <xf numFmtId="49" fontId="23" fillId="37" borderId="14" xfId="0" applyFont="1" applyFill="1" applyBorder="1" applyNumberFormat="1">
      <alignment horizontal="center" vertical="center" wrapText="1"/>
    </xf>
    <xf numFmtId="0" fontId="54" fillId="0" borderId="0" xfId="0" applyFont="1" applyNumberFormat="1">
      <alignment horizontal="center" vertical="center" wrapText="1"/>
    </xf>
    <xf numFmtId="49" fontId="23" fillId="37" borderId="14" xfId="0" applyFont="1" applyFill="1" applyBorder="1" applyNumberFormat="1">
      <alignment horizontal="center" vertical="center" wrapText="1"/>
    </xf>
    <xf numFmtId="0" fontId="54" fillId="0" borderId="0" xfId="0" applyFont="1" applyNumberFormat="1">
      <alignment horizontal="center" vertical="center" wrapText="1"/>
    </xf>
    <xf numFmtId="49" fontId="23" fillId="0" borderId="0" xfId="0" applyFont="1" applyNumberFormat="1">
      <alignment vertical="center" wrapText="1"/>
    </xf>
    <xf numFmtId="0" fontId="85" fillId="37" borderId="21" xfId="0" applyFont="1" applyFill="1" applyBorder="1" applyNumberFormat="1">
      <alignment horizontal="center" vertical="center" wrapText="1"/>
    </xf>
    <xf numFmtId="49" fontId="55" fillId="0" borderId="0" xfId="0" applyFont="1" applyNumberFormat="1">
      <alignment horizontal="center" vertical="center" wrapText="1"/>
    </xf>
    <xf numFmtId="49" fontId="23" fillId="0" borderId="0" xfId="0" applyFont="1" applyNumberFormat="1">
      <alignment horizontal="center" vertical="center" wrapText="1"/>
    </xf>
    <xf numFmtId="0" fontId="23" fillId="0" borderId="30" xfId="0" applyFont="1" applyBorder="1" applyNumberFormat="1">
      <alignment horizontal="center" vertical="center" wrapText="1"/>
    </xf>
    <xf numFmtId="0" fontId="23" fillId="42" borderId="14" xfId="0" applyFont="1" applyFill="1" applyBorder="1" applyNumberFormat="1">
      <alignment horizontal="left" vertical="center" wrapText="1" indent="2"/>
      <protection locked="0"/>
    </xf>
    <xf numFmtId="0" fontId="23" fillId="0" borderId="14" xfId="0" applyFont="1" applyBorder="1" applyNumberFormat="1">
      <alignment horizontal="center" vertical="center" wrapText="1"/>
    </xf>
    <xf numFmtId="0" fontId="23" fillId="0" borderId="14" xfId="0" applyFont="1" applyBorder="1" applyNumberFormat="1">
      <alignment vertical="center" wrapText="1"/>
    </xf>
    <xf numFmtId="0" fontId="89" fillId="0" borderId="0" xfId="0" applyFont="1" applyNumberFormat="1">
      <alignment vertical="center" wrapText="1"/>
    </xf>
    <xf numFmtId="0" fontId="55" fillId="0" borderId="30" xfId="0" applyFont="1" applyBorder="1" applyNumberFormat="1">
      <alignment horizontal="center" vertical="center" wrapText="1"/>
    </xf>
    <xf numFmtId="0" fontId="55" fillId="0" borderId="14" xfId="0" applyFont="1" applyBorder="1" applyNumberFormat="1">
      <alignment horizontal="left" vertical="center" wrapText="1" indent="2"/>
    </xf>
    <xf numFmtId="0" fontId="55" fillId="0" borderId="14" xfId="0" applyFont="1" applyBorder="1" applyNumberFormat="1">
      <alignment horizontal="center" vertical="center" wrapText="1"/>
    </xf>
    <xf numFmtId="0" fontId="55" fillId="0" borderId="14" xfId="0" applyFont="1" applyBorder="1" applyNumberFormat="1">
      <alignment vertical="center" wrapText="1"/>
    </xf>
    <xf numFmtId="0" fontId="23" fillId="0" borderId="14" xfId="0" applyFont="1" applyBorder="1" applyNumberFormat="1">
      <alignment horizontal="left" vertical="center" wrapText="1" indent="3"/>
    </xf>
    <xf numFmtId="49" fontId="23" fillId="42" borderId="14" xfId="0" applyFont="1" applyFill="1" applyBorder="1" applyNumberFormat="1">
      <alignment horizontal="center" vertical="center" wrapText="1"/>
      <protection locked="0"/>
    </xf>
    <xf numFmtId="4" fontId="23" fillId="39" borderId="14" xfId="0" applyFont="1" applyFill="1" applyBorder="1" applyNumberFormat="1">
      <alignment horizontal="right" vertical="center" wrapText="1"/>
      <protection locked="0"/>
    </xf>
    <xf numFmtId="0" fontId="23" fillId="39" borderId="14" xfId="0" applyFont="1" applyFill="1" applyBorder="1" applyNumberFormat="1">
      <alignment horizontal="left" vertical="center" wrapText="1"/>
      <protection locked="0"/>
    </xf>
    <xf numFmtId="49" fontId="96" fillId="0" borderId="0" xfId="0" applyFont="1" applyNumberFormat="1">
      <alignment horizontal="center" vertical="center" wrapText="1"/>
    </xf>
    <xf numFmtId="49" fontId="23" fillId="0" borderId="0" xfId="0" applyFont="1" applyNumberFormat="1">
      <alignment horizontal="center" vertical="top" wrapText="1"/>
    </xf>
    <xf numFmtId="0" fontId="23" fillId="0" borderId="14" xfId="0" applyFont="1" applyBorder="1" applyNumberFormat="1">
      <alignment horizontal="center" vertical="center" wrapText="1"/>
    </xf>
    <xf numFmtId="0" fontId="23" fillId="0" borderId="15" xfId="0" applyFont="1" applyBorder="1" applyNumberFormat="1">
      <alignment vertical="top" wrapText="1"/>
    </xf>
    <xf numFmtId="0" fontId="59" fillId="0" borderId="0" xfId="0" applyFont="1" applyNumberFormat="1">
      <alignment vertical="center" wrapText="1"/>
    </xf>
    <xf numFmtId="0" fontId="23" fillId="0" borderId="15" xfId="0" applyFont="1" applyBorder="1" applyNumberFormat="1">
      <alignment horizontal="center" vertical="center" wrapText="1"/>
    </xf>
    <xf numFmtId="166" fontId="23" fillId="39" borderId="14" xfId="0" applyFont="1" applyFill="1" applyBorder="1" applyNumberFormat="1">
      <alignment horizontal="right" vertical="center" wrapText="1"/>
      <protection locked="0"/>
    </xf>
    <xf numFmtId="0" fontId="23" fillId="0" borderId="22" xfId="0" applyFont="1" applyBorder="1" applyNumberFormat="1">
      <alignment vertical="center" wrapText="1"/>
    </xf>
    <xf numFmtId="0" fontId="40" fillId="0" borderId="0" xfId="0" applyFont="1" applyNumberFormat="1">
      <alignment vertical="center" wrapText="1"/>
    </xf>
    <xf numFmtId="0" fontId="22" fillId="0" borderId="0" xfId="0" applyFont="1" applyNumberFormat="1">
      <alignment vertical="center" wrapText="1"/>
    </xf>
    <xf numFmtId="0" fontId="23" fillId="0" borderId="0" xfId="0" applyFont="1" applyNumberFormat="1">
      <alignment horizontal="left" vertical="center" wrapText="1" indent="3"/>
    </xf>
    <xf numFmtId="0" fontId="102" fillId="37" borderId="0" xfId="0" applyFont="1" applyFill="1" applyNumberFormat="1">
      <alignment horizontal="right" vertical="center"/>
    </xf>
    <xf numFmtId="0" fontId="23" fillId="0" borderId="16" xfId="0" applyFont="1" applyBorder="1" applyNumberFormat="1">
      <alignment vertical="center" wrapText="1"/>
    </xf>
    <xf numFmtId="0" fontId="23" fillId="0" borderId="17" xfId="0" applyFont="1" applyBorder="1" applyNumberFormat="1">
      <alignment horizontal="right" vertical="center" wrapText="1" indent="1"/>
    </xf>
    <xf numFmtId="0" fontId="23" fillId="0" borderId="15" xfId="0" applyFont="1" applyBorder="1" applyNumberFormat="1">
      <alignment horizontal="right" vertical="center" wrapText="1" indent="1"/>
    </xf>
    <xf numFmtId="0" fontId="23" fillId="38" borderId="16" xfId="0" applyFont="1" applyFill="1" applyBorder="1" applyNumberFormat="1">
      <alignment horizontal="left" vertical="top" wrapText="1"/>
    </xf>
    <xf numFmtId="0" fontId="23" fillId="0" borderId="16" xfId="0" applyFont="1" applyBorder="1" applyNumberFormat="1">
      <alignment horizontal="right" vertical="center" wrapText="1"/>
    </xf>
    <xf numFmtId="0" fontId="23" fillId="0" borderId="17" xfId="0" applyFont="1" applyBorder="1" applyNumberFormat="1">
      <alignment horizontal="right" vertical="center" wrapText="1"/>
    </xf>
    <xf numFmtId="0" fontId="23" fillId="0" borderId="17" xfId="0" applyFont="1" applyBorder="1" applyNumberFormat="1">
      <alignment horizontal="right" vertical="center" wrapText="1" indent="1"/>
    </xf>
    <xf numFmtId="0" fontId="23" fillId="0" borderId="14" xfId="0" applyFont="1" applyBorder="1" applyNumberFormat="1">
      <alignment horizontal="center" vertical="center" wrapText="1"/>
    </xf>
    <xf numFmtId="0" fontId="23" fillId="0" borderId="14" xfId="0" applyFont="1" applyBorder="1" applyNumberFormat="1">
      <alignment horizontal="left" vertical="center" wrapText="1"/>
    </xf>
    <xf numFmtId="0" fontId="23" fillId="0" borderId="14" xfId="0" applyFont="1" applyBorder="1" applyNumberFormat="1">
      <alignment horizontal="center" vertical="center" wrapText="1"/>
    </xf>
    <xf numFmtId="4" fontId="23" fillId="42" borderId="14" xfId="0" applyFont="1" applyFill="1" applyBorder="1" applyNumberFormat="1">
      <alignment horizontal="right" vertical="center" wrapText="1"/>
      <protection locked="0"/>
    </xf>
    <xf numFmtId="4" fontId="23" fillId="38" borderId="14" xfId="0" applyFont="1" applyFill="1" applyBorder="1" applyNumberFormat="1">
      <alignment horizontal="right" vertical="center" wrapText="1"/>
    </xf>
    <xf numFmtId="0" fontId="23" fillId="0" borderId="14" xfId="0" applyFont="1" applyBorder="1" applyNumberFormat="1">
      <alignment horizontal="left" vertical="center" wrapText="1" indent="1"/>
    </xf>
    <xf numFmtId="49" fontId="96" fillId="48" borderId="0" xfId="0" applyFont="1" applyFill="1" applyNumberFormat="1">
      <alignment horizontal="center" vertical="center" textRotation="90" wrapText="1"/>
    </xf>
    <xf numFmtId="0" fontId="77" fillId="0" borderId="0" xfId="0" applyFont="1" applyNumberFormat="1">
      <alignment horizontal="center" vertical="center" wrapText="1"/>
    </xf>
    <xf numFmtId="49" fontId="77" fillId="0" borderId="0" xfId="0" applyFont="1" applyNumberFormat="1">
      <alignment horizontal="center" vertical="center" wrapText="1"/>
    </xf>
    <xf numFmtId="49" fontId="77" fillId="0" borderId="30" xfId="0" applyFont="1" applyBorder="1" applyNumberFormat="1">
      <alignment horizontal="center" vertical="center" wrapText="1"/>
    </xf>
    <xf numFmtId="0" fontId="77" fillId="0" borderId="14" xfId="0" applyFont="1" applyBorder="1" applyNumberFormat="1">
      <alignment horizontal="left" vertical="center" wrapText="1" indent="2"/>
    </xf>
    <xf numFmtId="0" fontId="77" fillId="0" borderId="14" xfId="0" applyFont="1" applyBorder="1" applyNumberFormat="1">
      <alignment horizontal="center" vertical="center" wrapText="1"/>
    </xf>
    <xf numFmtId="0" fontId="77" fillId="0" borderId="14" xfId="0" applyFont="1" applyBorder="1" applyNumberFormat="1">
      <alignment vertical="center" wrapText="1"/>
    </xf>
    <xf numFmtId="0" fontId="90" fillId="0" borderId="0" xfId="0" applyFont="1" applyNumberFormat="1">
      <alignment vertical="center" wrapText="1"/>
    </xf>
    <xf numFmtId="0" fontId="68" fillId="0" borderId="0" xfId="0" applyFont="1" applyNumberFormat="1">
      <alignment vertical="center" wrapText="1"/>
    </xf>
    <xf numFmtId="0" fontId="77" fillId="0" borderId="30" xfId="0" applyFont="1" applyBorder="1" applyNumberFormat="1">
      <alignment horizontal="center" vertical="center" wrapText="1"/>
    </xf>
    <xf numFmtId="0" fontId="77" fillId="0" borderId="14" xfId="0" applyFont="1" applyBorder="1" applyNumberFormat="1">
      <alignment horizontal="left" vertical="center" wrapText="1" indent="3"/>
    </xf>
    <xf numFmtId="4" fontId="77" fillId="0" borderId="14" xfId="0" applyFont="1" applyBorder="1" applyNumberFormat="1">
      <alignment horizontal="right" vertical="center" wrapText="1"/>
    </xf>
    <xf numFmtId="0" fontId="45" fillId="0" borderId="0" xfId="0" applyFont="1" applyNumberFormat="1">
      <alignment horizontal="center" vertical="center" wrapText="1"/>
    </xf>
    <xf numFmtId="49" fontId="23" fillId="40" borderId="16" xfId="0" applyFont="1" applyFill="1" applyBorder="1" applyNumberFormat="1">
      <alignment vertical="center" wrapText="1"/>
    </xf>
    <xf numFmtId="0" fontId="23" fillId="40" borderId="17" xfId="0" applyFont="1" applyFill="1" applyBorder="1" applyNumberFormat="1">
      <alignment vertical="center" wrapText="1"/>
    </xf>
    <xf numFmtId="0" fontId="54" fillId="40" borderId="15" xfId="0" applyFont="1" applyFill="1" applyBorder="1" applyNumberFormat="1">
      <alignment vertical="center" wrapText="1"/>
    </xf>
    <xf numFmtId="0" fontId="23" fillId="0" borderId="14" xfId="0" applyFont="1" applyBorder="1" applyNumberFormat="1">
      <alignment horizontal="left" vertical="center" wrapText="1" indent="2"/>
    </xf>
    <xf numFmtId="14" fontId="23" fillId="0" borderId="0" xfId="0" applyFont="1" applyNumberFormat="1">
      <alignment horizontal="center" vertical="center" wrapText="1"/>
    </xf>
    <xf numFmtId="49" fontId="96" fillId="48" borderId="0" xfId="0" applyFont="1" applyFill="1" applyNumberFormat="1">
      <alignment horizontal="center" vertical="center" wrapText="1"/>
    </xf>
    <xf numFmtId="49" fontId="36" fillId="0" borderId="0" xfId="0" applyFont="1" applyNumberFormat="1">
      <alignment horizontal="center" vertical="center"/>
    </xf>
    <xf numFmtId="166" fontId="23" fillId="42" borderId="14" xfId="0" applyFont="1" applyFill="1" applyBorder="1" applyNumberFormat="1">
      <alignment horizontal="right" vertical="center" wrapText="1"/>
      <protection locked="0"/>
    </xf>
    <xf numFmtId="49" fontId="96" fillId="0" borderId="0" xfId="0" applyFont="1" applyNumberFormat="1">
      <alignment horizontal="left" vertical="center" wrapText="1"/>
    </xf>
    <xf numFmtId="0" fontId="55" fillId="0" borderId="0" xfId="0" applyFont="1" applyNumberFormat="1">
      <alignment horizontal="left" vertical="center" wrapText="1"/>
    </xf>
    <xf numFmtId="49" fontId="23" fillId="0" borderId="0" xfId="0" applyFont="1" applyNumberFormat="1">
      <alignment horizontal="left" vertical="center" wrapText="1"/>
    </xf>
    <xf numFmtId="0" fontId="59" fillId="0" borderId="0" xfId="0" applyFont="1" applyNumberFormat="1">
      <alignment horizontal="left" vertical="center" wrapText="1"/>
    </xf>
    <xf numFmtId="0" fontId="40" fillId="0" borderId="0" xfId="0" applyFont="1" applyNumberFormat="1">
      <alignment horizontal="left" vertical="center" wrapText="1"/>
    </xf>
    <xf numFmtId="49" fontId="23" fillId="43" borderId="14" xfId="0" applyFont="1" applyFill="1" applyBorder="1" applyNumberFormat="1">
      <alignment horizontal="left" vertical="center" wrapText="1"/>
    </xf>
    <xf numFmtId="0" fontId="23" fillId="0" borderId="19" xfId="0" applyFont="1" applyBorder="1" applyNumberFormat="1">
      <alignment horizontal="center" vertical="center" wrapText="1"/>
    </xf>
    <xf numFmtId="4" fontId="23" fillId="38" borderId="19" xfId="0" applyFont="1" applyFill="1" applyBorder="1" applyNumberFormat="1">
      <alignment horizontal="right" vertical="center" wrapText="1"/>
    </xf>
    <xf numFmtId="0" fontId="55" fillId="0" borderId="14" xfId="0" applyFont="1" applyBorder="1" applyNumberFormat="1">
      <alignment horizontal="left" vertical="center" wrapText="1" indent="3"/>
    </xf>
    <xf numFmtId="49" fontId="55" fillId="0" borderId="14" xfId="0" applyFont="1" applyBorder="1" applyNumberFormat="1">
      <alignment vertical="center" wrapText="1"/>
    </xf>
    <xf numFmtId="0" fontId="55" fillId="0" borderId="19" xfId="0" applyFont="1" applyBorder="1" applyNumberFormat="1">
      <alignment vertical="top" wrapText="1"/>
    </xf>
    <xf numFmtId="4" fontId="23" fillId="42" borderId="15" xfId="0" applyFont="1" applyFill="1" applyBorder="1" applyNumberFormat="1">
      <alignment horizontal="right" vertical="center" wrapText="1"/>
      <protection locked="0"/>
    </xf>
    <xf numFmtId="49" fontId="34" fillId="39" borderId="15" xfId="0" applyFont="1" applyFill="1" applyBorder="1" applyNumberFormat="1">
      <alignment horizontal="left" vertical="center" wrapText="1"/>
      <protection locked="0"/>
    </xf>
    <xf numFmtId="49" fontId="34" fillId="39" borderId="14" xfId="0" applyFont="1" applyFill="1" applyBorder="1" applyNumberFormat="1">
      <alignment horizontal="left" vertical="center" wrapText="1"/>
      <protection locked="0"/>
    </xf>
    <xf numFmtId="0" fontId="54" fillId="0" borderId="0" xfId="0" applyFont="1" applyNumberFormat="1">
      <alignment vertical="center" wrapText="1"/>
    </xf>
    <xf numFmtId="0" fontId="55" fillId="0" borderId="0" xfId="0" applyFont="1" applyNumberFormat="1">
      <alignment vertical="center" wrapText="1"/>
    </xf>
    <xf numFmtId="49" fontId="23" fillId="0" borderId="0" xfId="0" applyFont="1" applyNumberFormat="1">
      <alignment horizontal="center" vertical="center" wrapText="1"/>
    </xf>
    <xf numFmtId="0" fontId="23" fillId="0" borderId="14" xfId="0" applyFont="1" applyBorder="1" applyNumberFormat="1">
      <alignment horizontal="center" vertical="center" wrapText="1"/>
    </xf>
    <xf numFmtId="166" fontId="23" fillId="42" borderId="15" xfId="0" applyFont="1" applyFill="1" applyBorder="1" applyNumberFormat="1">
      <alignment horizontal="right" vertical="center" wrapText="1"/>
      <protection locked="0"/>
    </xf>
    <xf numFmtId="0" fontId="89" fillId="0" borderId="0" xfId="0" applyFont="1" applyNumberFormat="1">
      <alignment vertical="center" wrapText="1"/>
    </xf>
    <xf numFmtId="0" fontId="59" fillId="0" borderId="0" xfId="0" applyFont="1" applyNumberFormat="1">
      <alignment vertical="center" wrapText="1"/>
    </xf>
    <xf numFmtId="0" fontId="40" fillId="0" borderId="0" xfId="0" applyFont="1" applyNumberFormat="1">
      <alignment vertical="center" wrapText="1"/>
    </xf>
    <xf numFmtId="49" fontId="36" fillId="0" borderId="0" xfId="0" applyFont="1" applyNumberFormat="1">
      <alignment horizontal="center" vertical="center"/>
    </xf>
    <xf numFmtId="0" fontId="23" fillId="0" borderId="0" xfId="0" applyFont="1" applyNumberFormat="1">
      <alignment vertical="center" wrapText="1"/>
    </xf>
    <xf numFmtId="166" fontId="23" fillId="38" borderId="15" xfId="0" applyFont="1" applyFill="1" applyBorder="1" applyNumberFormat="1">
      <alignment horizontal="right" vertical="center" wrapText="1"/>
    </xf>
    <xf numFmtId="166" fontId="23" fillId="38" borderId="14" xfId="0" applyFont="1" applyFill="1" applyBorder="1" applyNumberFormat="1">
      <alignment horizontal="right" vertical="center" wrapText="1"/>
    </xf>
    <xf numFmtId="49" fontId="96" fillId="48" borderId="0" xfId="0" applyFont="1" applyFill="1" applyNumberFormat="1">
      <alignment horizontal="center" vertical="center" textRotation="90" wrapText="1"/>
    </xf>
    <xf numFmtId="0" fontId="23" fillId="42" borderId="14" xfId="0" applyFont="1" applyFill="1" applyBorder="1" applyNumberFormat="1">
      <alignment horizontal="center" vertical="center" wrapText="1"/>
      <protection locked="0"/>
    </xf>
    <xf numFmtId="4" fontId="23" fillId="42" borderId="31" xfId="0" applyFont="1" applyFill="1" applyBorder="1" applyNumberFormat="1">
      <alignment horizontal="right" vertical="center" wrapText="1"/>
      <protection locked="0"/>
    </xf>
    <xf numFmtId="4" fontId="23" fillId="42" borderId="25" xfId="0" applyFont="1" applyFill="1" applyBorder="1" applyNumberFormat="1">
      <alignment horizontal="right" vertical="center" wrapText="1"/>
      <protection locked="0"/>
    </xf>
    <xf numFmtId="0" fontId="55" fillId="0" borderId="38" xfId="0" applyFont="1" applyBorder="1" applyNumberFormat="1">
      <alignment horizontal="left" vertical="center" wrapText="1" indent="1"/>
    </xf>
    <xf numFmtId="0" fontId="55" fillId="0" borderId="38" xfId="0" applyFont="1" applyBorder="1" applyNumberFormat="1">
      <alignment horizontal="center" vertical="center" wrapText="1"/>
    </xf>
    <xf numFmtId="0" fontId="55" fillId="0" borderId="19" xfId="0" applyFont="1" applyBorder="1" applyNumberFormat="1">
      <alignment vertical="center" wrapText="1"/>
    </xf>
    <xf numFmtId="49" fontId="23" fillId="40" borderId="39" xfId="0" applyFont="1" applyFill="1" applyBorder="1" applyNumberFormat="1">
      <alignment vertical="center" wrapText="1"/>
    </xf>
    <xf numFmtId="49" fontId="48" fillId="40" borderId="21" xfId="0" applyFont="1" applyFill="1" applyBorder="1" applyNumberFormat="1">
      <alignment horizontal="left" vertical="center" indent="1"/>
    </xf>
    <xf numFmtId="0" fontId="23" fillId="0" borderId="25" xfId="0" applyFont="1" applyBorder="1" applyNumberFormat="1">
      <alignment vertical="top" wrapText="1"/>
    </xf>
    <xf numFmtId="0" fontId="23" fillId="0" borderId="15" xfId="0" applyFont="1" applyBorder="1" applyNumberFormat="1">
      <alignment horizontal="center" vertical="center" wrapText="1"/>
    </xf>
    <xf numFmtId="0" fontId="23" fillId="0" borderId="15" xfId="0" applyFont="1" applyBorder="1" applyNumberFormat="1">
      <alignment horizontal="center" vertical="center" wrapText="1"/>
    </xf>
    <xf numFmtId="0" fontId="23" fillId="0" borderId="22" xfId="0" applyFont="1" applyBorder="1" applyNumberFormat="1">
      <alignment horizontal="center" vertical="center" wrapText="1"/>
    </xf>
    <xf numFmtId="166" fontId="23" fillId="42" borderId="19" xfId="0" applyFont="1" applyFill="1" applyBorder="1" applyNumberFormat="1">
      <alignment horizontal="right" vertical="center" wrapText="1"/>
      <protection locked="0"/>
    </xf>
    <xf numFmtId="0" fontId="55" fillId="0" borderId="25" xfId="0" applyFont="1" applyBorder="1" applyNumberFormat="1">
      <alignment horizontal="left" vertical="center" wrapText="1" indent="1"/>
    </xf>
    <xf numFmtId="0" fontId="55" fillId="0" borderId="19" xfId="0" applyFont="1" applyBorder="1" applyNumberFormat="1">
      <alignment horizontal="center" vertical="center" wrapText="1"/>
    </xf>
    <xf numFmtId="0" fontId="45" fillId="0" borderId="0" xfId="0" applyFont="1" applyNumberFormat="1">
      <alignment horizontal="center" vertical="center" wrapText="1"/>
    </xf>
    <xf numFmtId="49" fontId="23" fillId="40" borderId="39" xfId="0" applyFont="1" applyFill="1" applyBorder="1" applyNumberFormat="1">
      <alignment vertical="center" wrapText="1"/>
    </xf>
    <xf numFmtId="49" fontId="48" fillId="40" borderId="21" xfId="0" applyFont="1" applyFill="1" applyBorder="1" applyNumberFormat="1">
      <alignment horizontal="left" vertical="center" indent="1"/>
    </xf>
    <xf numFmtId="0" fontId="23" fillId="40" borderId="17" xfId="0" applyFont="1" applyFill="1" applyBorder="1" applyNumberFormat="1">
      <alignment vertical="center" wrapText="1"/>
    </xf>
    <xf numFmtId="0" fontId="54" fillId="40" borderId="15" xfId="0" applyFont="1" applyFill="1" applyBorder="1" applyNumberFormat="1">
      <alignment vertical="center" wrapText="1"/>
    </xf>
    <xf numFmtId="0" fontId="23" fillId="0" borderId="25" xfId="0" applyFont="1" applyBorder="1" applyNumberFormat="1">
      <alignment vertical="top" wrapText="1"/>
    </xf>
    <xf numFmtId="0" fontId="55" fillId="0" borderId="19" xfId="0" applyFont="1" applyBorder="1" applyNumberFormat="1">
      <alignment horizontal="left" vertical="center" wrapText="1" indent="1"/>
    </xf>
    <xf numFmtId="49" fontId="34" fillId="39" borderId="14" xfId="0" applyFont="1" applyFill="1" applyBorder="1" applyNumberFormat="1">
      <alignment horizontal="left" vertical="center" wrapText="1"/>
      <protection locked="0"/>
    </xf>
    <xf numFmtId="0" fontId="23" fillId="0" borderId="0" xfId="0" applyFont="1" applyNumberFormat="1">
      <alignment vertical="top" wrapText="1"/>
    </xf>
    <xf numFmtId="0" fontId="23" fillId="0" borderId="0" xfId="0" applyFont="1" applyNumberFormat="1">
      <alignment horizontal="left" vertical="top" wrapText="1"/>
    </xf>
    <xf numFmtId="0" fontId="59" fillId="0" borderId="0" xfId="0" applyFont="1" applyNumberFormat="1">
      <alignment vertical="center"/>
    </xf>
    <xf numFmtId="0" fontId="96" fillId="0" borderId="0" xfId="0" applyFont="1" applyNumberFormat="1">
      <alignment vertical="center" wrapText="1"/>
    </xf>
    <xf numFmtId="0" fontId="23" fillId="0" borderId="21" xfId="0" applyFont="1" applyBorder="1" applyNumberFormat="1">
      <alignment vertical="center" wrapText="1"/>
    </xf>
    <xf numFmtId="0" fontId="23" fillId="0" borderId="0" xfId="0" applyFont="1" applyNumberFormat="1">
      <alignment horizontal="center" vertical="center" wrapText="1"/>
    </xf>
    <xf numFmtId="49" fontId="40" fillId="0" borderId="0" xfId="0" applyFont="1" applyNumberFormat="1">
      <alignment horizontal="center" vertical="center" wrapText="1"/>
    </xf>
    <xf numFmtId="0" fontId="23" fillId="0" borderId="29" xfId="0" applyFont="1" applyBorder="1" applyNumberFormat="1">
      <alignment vertical="center" wrapText="1"/>
    </xf>
    <xf numFmtId="0" fontId="55" fillId="0" borderId="0" xfId="0" applyFont="1" applyNumberFormat="1">
      <alignment vertical="center" wrapText="1"/>
    </xf>
    <xf numFmtId="0" fontId="40" fillId="0" borderId="0" xfId="0" applyFont="1" applyNumberFormat="1">
      <alignment vertical="center" wrapText="1"/>
    </xf>
    <xf numFmtId="0" fontId="36" fillId="0" borderId="0" xfId="0" applyFont="1" applyNumberFormat="1">
      <alignment horizontal="center" vertical="center" wrapText="1"/>
    </xf>
    <xf numFmtId="49" fontId="68" fillId="0" borderId="0" xfId="0" applyFont="1" applyNumberFormat="1">
      <alignment horizontal="center" vertical="center" wrapText="1"/>
    </xf>
    <xf numFmtId="0" fontId="77" fillId="0" borderId="0" xfId="0" applyFont="1" applyNumberFormat="1">
      <alignment horizontal="center" vertical="center" wrapText="1"/>
    </xf>
    <xf numFmtId="0" fontId="105" fillId="0" borderId="0" xfId="0" applyFont="1" applyNumberFormat="1">
      <alignment horizontal="center" vertical="center" wrapText="1"/>
    </xf>
    <xf numFmtId="0" fontId="106" fillId="37" borderId="0" xfId="0" applyFont="1" applyFill="1" applyNumberFormat="1">
      <alignment horizontal="right" vertical="center"/>
    </xf>
    <xf numFmtId="0" fontId="68" fillId="0" borderId="0" xfId="0" applyFont="1" applyNumberFormat="1">
      <alignment vertical="center" wrapText="1"/>
    </xf>
    <xf numFmtId="0" fontId="76" fillId="0" borderId="0" xfId="0" applyFont="1" applyNumberFormat="1">
      <alignment vertical="center" wrapText="1"/>
    </xf>
    <xf numFmtId="0" fontId="23" fillId="0" borderId="14" xfId="0" applyFont="1" applyBorder="1" applyNumberFormat="1">
      <alignment horizontal="center" vertical="center" wrapText="1"/>
    </xf>
    <xf numFmtId="49" fontId="55" fillId="0" borderId="0" xfId="0" applyFont="1" applyNumberFormat="1">
      <alignment horizontal="center" vertical="center" wrapText="1"/>
    </xf>
    <xf numFmtId="49" fontId="55" fillId="0" borderId="0" xfId="0" applyFont="1" applyNumberFormat="1">
      <alignment horizontal="center" vertical="center" wrapText="1"/>
    </xf>
    <xf numFmtId="49" fontId="40" fillId="0" borderId="0" xfId="0" applyFont="1" applyNumberFormat="1">
      <alignment horizontal="center" vertical="center" wrapText="1"/>
    </xf>
    <xf numFmtId="49" fontId="23" fillId="0" borderId="0" xfId="0" applyFont="1" applyNumberFormat="1">
      <alignment horizontal="center" vertical="center" wrapText="1"/>
    </xf>
    <xf numFmtId="4" fontId="23" fillId="0" borderId="0" xfId="0" applyFont="1" applyNumberFormat="1">
      <alignment horizontal="right" vertical="center" wrapText="1"/>
    </xf>
    <xf numFmtId="9" fontId="36" fillId="0" borderId="0" xfId="0" applyFont="1" applyNumberFormat="1">
      <alignment horizontal="center" vertical="center" wrapText="1"/>
    </xf>
    <xf numFmtId="0" fontId="76" fillId="0" borderId="0" xfId="0" applyFont="1" applyNumberFormat="1">
      <alignment vertical="center" wrapText="1"/>
    </xf>
    <xf numFmtId="0" fontId="55" fillId="0" borderId="0" xfId="0" applyFont="1" applyNumberFormat="1">
      <alignment vertical="center" wrapText="1"/>
    </xf>
    <xf numFmtId="0" fontId="40" fillId="0" borderId="0" xfId="0" applyFont="1" applyNumberFormat="1">
      <alignment vertical="center" wrapText="1"/>
    </xf>
    <xf numFmtId="0" fontId="0" fillId="0" borderId="0" xfId="0" applyFont="1" applyNumberFormat="1">
      <alignment vertical="top"/>
    </xf>
    <xf numFmtId="49" fontId="0" fillId="0" borderId="0" xfId="0" applyFont="1" applyNumberFormat="1">
      <alignment vertical="top"/>
    </xf>
    <xf numFmtId="49" fontId="55" fillId="0" borderId="19" xfId="0" applyFont="1" applyBorder="1" applyNumberFormat="1">
      <alignment horizontal="center" vertical="center" wrapText="1"/>
    </xf>
    <xf numFmtId="0" fontId="0" fillId="0" borderId="16" xfId="0" applyFont="1" applyBorder="1" applyNumberFormat="1">
      <alignment horizontal="right" vertical="center" wrapText="1" indent="1"/>
    </xf>
    <xf numFmtId="0" fontId="0" fillId="0" borderId="17" xfId="0" applyFont="1" applyBorder="1" applyNumberFormat="1">
      <alignment horizontal="right" vertical="center" wrapText="1" indent="1"/>
    </xf>
    <xf numFmtId="0" fontId="0" fillId="0" borderId="15" xfId="0" applyFont="1" applyBorder="1" applyNumberFormat="1">
      <alignment horizontal="right" vertical="center" wrapText="1" indent="1"/>
    </xf>
    <xf numFmtId="0" fontId="0" fillId="38" borderId="14" xfId="0" applyFont="1" applyFill="1" applyBorder="1" applyNumberFormat="1">
      <alignment horizontal="left" vertical="center" wrapText="1" indent="1"/>
    </xf>
    <xf numFmtId="0" fontId="23" fillId="0" borderId="15" xfId="0" applyFont="1" applyBorder="1" applyNumberFormat="1">
      <alignment horizontal="left" vertical="center" wrapText="1" indent="1"/>
    </xf>
    <xf numFmtId="49" fontId="55" fillId="0" borderId="24" xfId="0" applyFont="1" applyBorder="1" applyNumberFormat="1">
      <alignment vertical="top"/>
    </xf>
    <xf numFmtId="49" fontId="55" fillId="0" borderId="0" xfId="0" applyFont="1" applyNumberFormat="1">
      <alignment vertical="top"/>
    </xf>
    <xf numFmtId="49" fontId="54" fillId="0" borderId="0" xfId="0" applyFont="1" applyNumberFormat="1">
      <alignment vertical="top"/>
    </xf>
    <xf numFmtId="49" fontId="55" fillId="0" borderId="0" xfId="0" applyFont="1" applyNumberFormat="1">
      <alignment vertical="top"/>
    </xf>
    <xf numFmtId="49" fontId="54" fillId="0" borderId="0" xfId="0" applyFont="1" applyNumberFormat="1">
      <alignment vertical="top"/>
    </xf>
    <xf numFmtId="0" fontId="54" fillId="0" borderId="0" xfId="0" applyFont="1" applyNumberFormat="1">
      <alignment horizontal="center" vertical="top"/>
    </xf>
    <xf numFmtId="49" fontId="54" fillId="0" borderId="0" xfId="0" applyFont="1" applyNumberFormat="1">
      <alignment vertical="top"/>
    </xf>
    <xf numFmtId="0" fontId="54" fillId="0" borderId="0" xfId="0" applyFont="1" applyNumberFormat="1">
      <alignment vertical="top"/>
    </xf>
    <xf numFmtId="0" fontId="79" fillId="0" borderId="0" xfId="0" applyFont="1" applyNumberFormat="1">
      <alignment vertical="top"/>
    </xf>
    <xf numFmtId="0" fontId="92" fillId="0" borderId="0" xfId="0" applyFont="1" applyNumberFormat="1">
      <alignment vertical="top"/>
    </xf>
    <xf numFmtId="49" fontId="55" fillId="0" borderId="38" xfId="0" applyFont="1" applyBorder="1" applyNumberFormat="1">
      <alignment horizontal="center" vertical="center" wrapText="1"/>
    </xf>
    <xf numFmtId="0" fontId="54" fillId="0" borderId="0" xfId="0" applyFont="1" applyNumberFormat="1">
      <alignment horizontal="center" vertical="center" wrapText="1"/>
    </xf>
    <xf numFmtId="0" fontId="23" fillId="0" borderId="25" xfId="0" applyFont="1" applyBorder="1" applyNumberFormat="1">
      <alignment horizontal="left" vertical="center" wrapText="1"/>
    </xf>
    <xf numFmtId="2" fontId="23" fillId="0" borderId="25" xfId="0" applyFont="1" applyBorder="1" applyNumberFormat="1">
      <alignment horizontal="center" vertical="center" wrapText="1"/>
    </xf>
    <xf numFmtId="0" fontId="23" fillId="0" borderId="14" xfId="0" applyFont="1" applyBorder="1" applyNumberFormat="1">
      <alignment horizontal="left" vertical="center" wrapText="1"/>
    </xf>
    <xf numFmtId="49" fontId="55" fillId="0" borderId="24" xfId="0" applyFont="1" applyBorder="1" applyNumberFormat="1">
      <alignment vertical="top"/>
    </xf>
    <xf numFmtId="0" fontId="55" fillId="0" borderId="0" xfId="0" applyFont="1" applyNumberFormat="1">
      <alignment horizontal="center" vertical="center" wrapText="1"/>
    </xf>
    <xf numFmtId="0" fontId="55" fillId="0" borderId="0" xfId="0" applyFont="1" applyNumberFormat="1">
      <alignment horizontal="center" vertical="center" wrapText="1"/>
    </xf>
    <xf numFmtId="0" fontId="55" fillId="0" borderId="14" xfId="0" applyFont="1" applyBorder="1" applyNumberFormat="1">
      <alignment horizontal="left" vertical="center" wrapText="1"/>
    </xf>
    <xf numFmtId="0" fontId="55" fillId="0" borderId="14" xfId="0" applyFont="1" applyBorder="1" applyNumberFormat="1">
      <alignment vertical="center" wrapText="1"/>
    </xf>
    <xf numFmtId="0" fontId="55" fillId="0" borderId="24" xfId="0" applyFont="1" applyBorder="1" applyNumberFormat="1">
      <alignment vertical="center" wrapText="1"/>
    </xf>
    <xf numFmtId="49" fontId="48" fillId="40" borderId="16" xfId="0" applyFont="1" applyFill="1" applyBorder="1" applyNumberFormat="1">
      <alignment horizontal="left" vertical="center"/>
    </xf>
    <xf numFmtId="49" fontId="48" fillId="40" borderId="17" xfId="0" applyFont="1" applyFill="1" applyBorder="1" applyNumberFormat="1">
      <alignment horizontal="left" vertical="center" indent="1"/>
    </xf>
    <xf numFmtId="49" fontId="48" fillId="40" borderId="17" xfId="0" applyFont="1" applyFill="1" applyBorder="1" applyNumberFormat="1">
      <alignment horizontal="left" vertical="center"/>
    </xf>
    <xf numFmtId="49" fontId="48" fillId="40" borderId="15" xfId="0" applyFont="1" applyFill="1" applyBorder="1" applyNumberFormat="1">
      <alignment horizontal="left" vertical="center" indent="1"/>
    </xf>
    <xf numFmtId="0" fontId="23" fillId="0" borderId="25" xfId="0" applyFont="1" applyBorder="1" applyNumberFormat="1">
      <alignment horizontal="left" vertical="center" wrapText="1"/>
    </xf>
    <xf numFmtId="0" fontId="23" fillId="0" borderId="14" xfId="0" applyFont="1" applyBorder="1" applyNumberFormat="1">
      <alignment horizontal="left" vertical="center" wrapText="1"/>
    </xf>
    <xf numFmtId="0" fontId="54" fillId="0" borderId="0" xfId="0" applyFont="1" applyNumberFormat="1">
      <alignment horizontal="center" vertical="top"/>
    </xf>
    <xf numFmtId="0" fontId="55" fillId="0" borderId="0" xfId="0" applyFont="1" applyNumberFormat="1">
      <alignment horizontal="center" vertical="center" wrapText="1"/>
    </xf>
    <xf numFmtId="49" fontId="55" fillId="0" borderId="25" xfId="0" applyFont="1" applyBorder="1" applyNumberFormat="1">
      <alignment horizontal="center" vertical="center" wrapText="1"/>
    </xf>
    <xf numFmtId="49" fontId="48" fillId="0" borderId="21" xfId="0" applyFont="1" applyBorder="1" applyNumberFormat="1">
      <alignment horizontal="right" vertical="center"/>
    </xf>
    <xf numFmtId="0" fontId="23" fillId="0" borderId="0" xfId="0" applyFont="1" applyNumberFormat="1">
      <alignment horizontal="right" vertical="center" wrapText="1"/>
    </xf>
    <xf numFmtId="0" fontId="0" fillId="0" borderId="0" xfId="0" applyFont="1" applyNumberFormat="1">
      <alignment vertical="center"/>
    </xf>
    <xf numFmtId="0" fontId="53" fillId="0" borderId="0" xfId="0" applyFont="1" applyNumberFormat="1">
      <alignment horizontal="right" vertical="top" wrapText="1"/>
    </xf>
    <xf numFmtId="0" fontId="53" fillId="0" borderId="0" xfId="0" applyFont="1" applyNumberFormat="1">
      <alignment horizontal="left" vertical="top" wrapText="1"/>
    </xf>
    <xf numFmtId="0" fontId="23" fillId="0" borderId="14" xfId="0" applyFont="1" applyBorder="1" applyNumberFormat="1">
      <alignment horizontal="center" vertical="center" wrapText="1"/>
    </xf>
    <xf numFmtId="0" fontId="23" fillId="0" borderId="14" xfId="0" applyFont="1" applyBorder="1" applyNumberFormat="1">
      <alignment horizontal="center" vertical="center" wrapText="1"/>
    </xf>
    <xf numFmtId="0" fontId="23" fillId="38" borderId="16" xfId="0" applyFont="1" applyFill="1" applyBorder="1" applyNumberFormat="1">
      <alignment horizontal="left" vertical="top" wrapText="1"/>
    </xf>
    <xf numFmtId="0" fontId="55" fillId="0" borderId="16" xfId="0" applyFont="1" applyBorder="1" applyNumberFormat="1">
      <alignment vertical="center" wrapText="1"/>
    </xf>
    <xf numFmtId="0" fontId="55" fillId="0" borderId="17" xfId="0" applyFont="1" applyBorder="1" applyNumberFormat="1">
      <alignment horizontal="right" vertical="center" wrapText="1" indent="1"/>
    </xf>
    <xf numFmtId="0" fontId="55" fillId="0" borderId="15" xfId="0" applyFont="1" applyBorder="1" applyNumberFormat="1">
      <alignment horizontal="right" vertical="center" wrapText="1" indent="1"/>
    </xf>
    <xf numFmtId="0" fontId="55" fillId="0" borderId="16" xfId="0" applyFont="1" applyBorder="1" applyNumberFormat="1">
      <alignment horizontal="left" vertical="top" wrapText="1"/>
    </xf>
    <xf numFmtId="0" fontId="23" fillId="0" borderId="17" xfId="0" applyFont="1" applyBorder="1" applyNumberFormat="1">
      <alignment horizontal="right" vertical="center" wrapText="1" indent="1"/>
    </xf>
    <xf numFmtId="0" fontId="23" fillId="0" borderId="14" xfId="0" applyFont="1" applyBorder="1" applyNumberFormat="1">
      <alignment horizontal="center" vertical="center" wrapText="1"/>
    </xf>
    <xf numFmtId="49" fontId="23" fillId="0" borderId="30" xfId="0" applyFont="1" applyBorder="1" applyNumberFormat="1">
      <alignment horizontal="center" vertical="center" wrapText="1"/>
    </xf>
    <xf numFmtId="0" fontId="23" fillId="0" borderId="14" xfId="0" applyFont="1" applyBorder="1" applyNumberFormat="1">
      <alignment horizontal="left" vertical="center" wrapText="1"/>
    </xf>
    <xf numFmtId="49" fontId="23" fillId="0" borderId="61" xfId="0" applyFont="1" applyBorder="1" applyNumberFormat="1">
      <alignment horizontal="center" vertical="center" wrapText="1"/>
    </xf>
    <xf numFmtId="0" fontId="23" fillId="0" borderId="14" xfId="0" applyFont="1" applyBorder="1" applyNumberFormat="1">
      <alignment horizontal="left" vertical="center" wrapText="1" indent="1"/>
    </xf>
    <xf numFmtId="0" fontId="23" fillId="0" borderId="15" xfId="0" applyFont="1" applyBorder="1" applyNumberFormat="1">
      <alignment horizontal="center" vertical="center" wrapText="1"/>
    </xf>
    <xf numFmtId="49" fontId="23" fillId="0" borderId="62" xfId="0" applyFont="1" applyBorder="1" applyNumberFormat="1">
      <alignment horizontal="center" vertical="center" wrapText="1"/>
    </xf>
    <xf numFmtId="0" fontId="23" fillId="0" borderId="15" xfId="0" applyFont="1" applyBorder="1" applyNumberFormat="1">
      <alignment horizontal="center" vertical="center" wrapText="1"/>
    </xf>
    <xf numFmtId="4" fontId="23" fillId="42" borderId="19" xfId="0" applyFont="1" applyFill="1" applyBorder="1" applyNumberFormat="1">
      <alignment horizontal="right" vertical="center" wrapText="1"/>
      <protection locked="0"/>
    </xf>
    <xf numFmtId="0" fontId="23" fillId="0" borderId="19" xfId="0" applyFont="1" applyBorder="1" applyNumberFormat="1">
      <alignment horizontal="center" vertical="center" wrapText="1"/>
    </xf>
    <xf numFmtId="49" fontId="48" fillId="40" borderId="21" xfId="0" applyFont="1" applyFill="1" applyBorder="1" applyNumberFormat="1">
      <alignment horizontal="left" vertical="center" indent="2"/>
    </xf>
    <xf numFmtId="0" fontId="23" fillId="0" borderId="14" xfId="0" applyFont="1" applyBorder="1" applyNumberFormat="1">
      <alignment horizontal="center" vertical="center" wrapText="1"/>
    </xf>
    <xf numFmtId="0" fontId="23" fillId="0" borderId="14" xfId="0" applyFont="1" applyBorder="1" applyNumberFormat="1">
      <alignment horizontal="center" vertical="center" wrapText="1"/>
    </xf>
    <xf numFmtId="0" fontId="23" fillId="38" borderId="16" xfId="0" applyFont="1" applyFill="1" applyBorder="1" applyNumberFormat="1">
      <alignment horizontal="left" vertical="top" wrapText="1"/>
    </xf>
    <xf numFmtId="0" fontId="23" fillId="0" borderId="17" xfId="0" applyFont="1" applyBorder="1" applyNumberFormat="1">
      <alignment horizontal="right" vertical="center" wrapText="1" indent="1"/>
    </xf>
    <xf numFmtId="0" fontId="23" fillId="0" borderId="14" xfId="0" applyFont="1" applyBorder="1" applyNumberFormat="1">
      <alignment horizontal="center" vertical="center" wrapText="1"/>
    </xf>
    <xf numFmtId="0" fontId="23" fillId="0" borderId="19" xfId="0" applyFont="1" applyBorder="1" applyNumberFormat="1">
      <alignment horizontal="left" vertical="center" wrapText="1"/>
    </xf>
    <xf numFmtId="49" fontId="0" fillId="0" borderId="14" xfId="0" applyFont="1" applyBorder="1" applyNumberFormat="1">
      <alignment horizontal="left" vertical="center" wrapText="1" indent="1"/>
    </xf>
    <xf numFmtId="49" fontId="0" fillId="0" borderId="14" xfId="0" applyFont="1" applyBorder="1" applyNumberFormat="1">
      <alignment horizontal="left" vertical="center" wrapText="1" indent="2"/>
    </xf>
    <xf numFmtId="49" fontId="23" fillId="0" borderId="60" xfId="0" applyFont="1" applyBorder="1" applyNumberFormat="1">
      <alignment horizontal="center" vertical="center" wrapText="1"/>
    </xf>
    <xf numFmtId="0" fontId="23" fillId="0" borderId="19" xfId="0" applyFont="1" applyBorder="1" applyNumberFormat="1">
      <alignment horizontal="left" vertical="center" wrapText="1" indent="1"/>
    </xf>
    <xf numFmtId="0" fontId="23" fillId="0" borderId="19" xfId="0" applyFont="1" applyBorder="1" applyNumberFormat="1">
      <alignment horizontal="center" vertical="center" wrapText="1"/>
    </xf>
    <xf numFmtId="49" fontId="0" fillId="0" borderId="14" xfId="0" applyFont="1" applyBorder="1" applyNumberFormat="1">
      <alignment vertical="center" wrapText="1"/>
    </xf>
    <xf numFmtId="49" fontId="0" fillId="0" borderId="14" xfId="0" applyFont="1" applyBorder="1" applyNumberFormat="1">
      <alignment horizontal="left" vertical="center" wrapText="1" indent="1"/>
    </xf>
    <xf numFmtId="49" fontId="54" fillId="0" borderId="0" xfId="0" applyFont="1" applyNumberFormat="1">
      <alignment horizontal="center" vertical="center" wrapText="1"/>
    </xf>
    <xf numFmtId="49" fontId="54" fillId="0" borderId="0" xfId="0" applyFont="1" applyNumberFormat="1">
      <alignment horizontal="center" vertical="center" wrapText="1"/>
    </xf>
    <xf numFmtId="0" fontId="55" fillId="0" borderId="29" xfId="0" applyFont="1" applyBorder="1" applyNumberFormat="1">
      <alignment vertical="center" wrapText="1"/>
    </xf>
    <xf numFmtId="0" fontId="23" fillId="38" borderId="16" xfId="0" applyFont="1" applyFill="1" applyBorder="1" applyNumberFormat="1">
      <alignment horizontal="left" vertical="top" wrapText="1"/>
    </xf>
    <xf numFmtId="0" fontId="23" fillId="38" borderId="15" xfId="0" applyFont="1" applyFill="1" applyBorder="1" applyNumberFormat="1">
      <alignment horizontal="left" vertical="top" wrapText="1"/>
    </xf>
    <xf numFmtId="49" fontId="54" fillId="0" borderId="0" xfId="0" applyFont="1" applyNumberFormat="1">
      <alignment horizontal="center" vertical="center" wrapText="1"/>
    </xf>
    <xf numFmtId="49" fontId="54" fillId="0" borderId="0" xfId="0" applyFont="1" applyNumberFormat="1">
      <alignment horizontal="center" vertical="center" wrapText="1"/>
    </xf>
    <xf numFmtId="0" fontId="23" fillId="0" borderId="0" xfId="0" applyFont="1" applyNumberFormat="1">
      <alignment horizontal="left" vertical="top" wrapText="1"/>
    </xf>
    <xf numFmtId="0" fontId="23" fillId="0" borderId="0" xfId="0" applyFont="1" applyNumberFormat="1">
      <alignment vertical="top" wrapText="1"/>
    </xf>
    <xf numFmtId="0" fontId="23" fillId="0" borderId="14" xfId="0" applyFont="1" applyBorder="1" applyNumberFormat="1">
      <alignment horizontal="center" vertical="center" wrapText="1"/>
    </xf>
    <xf numFmtId="0" fontId="23" fillId="0" borderId="14" xfId="0" applyFont="1" applyBorder="1" applyNumberFormat="1">
      <alignment horizontal="center" vertical="center" wrapText="1"/>
    </xf>
    <xf numFmtId="0" fontId="23" fillId="0" borderId="14" xfId="0" applyFont="1" applyBorder="1" applyNumberFormat="1">
      <alignment horizontal="center" vertical="center" wrapText="1"/>
    </xf>
    <xf numFmtId="0" fontId="23" fillId="0" borderId="16" xfId="0" applyFont="1" applyBorder="1" applyNumberFormat="1">
      <alignment horizontal="center" vertical="center" wrapText="1"/>
    </xf>
    <xf numFmtId="0" fontId="23" fillId="0" borderId="0" xfId="0" applyFont="1" applyNumberFormat="1">
      <alignment horizontal="left" vertical="top" wrapText="1"/>
    </xf>
    <xf numFmtId="49" fontId="55" fillId="0" borderId="0" xfId="0" applyFont="1" applyNumberFormat="1">
      <alignment horizontal="center" vertical="center" wrapText="1"/>
    </xf>
    <xf numFmtId="0" fontId="55" fillId="0" borderId="0" xfId="0" applyFont="1" applyNumberFormat="1">
      <alignment horizontal="center" vertical="center" wrapText="1"/>
    </xf>
    <xf numFmtId="49" fontId="23" fillId="58" borderId="0" xfId="0" applyFont="1" applyFill="1" applyNumberFormat="1">
      <alignment horizontal="center" vertical="center" textRotation="90" wrapText="1"/>
    </xf>
    <xf numFmtId="49" fontId="23" fillId="0" borderId="14" xfId="0" applyFont="1" applyBorder="1" applyNumberFormat="1">
      <alignment horizontal="center" vertical="center" wrapText="1"/>
    </xf>
    <xf numFmtId="0" fontId="23" fillId="0" borderId="14" xfId="0" applyFont="1" applyBorder="1" applyNumberFormat="1">
      <alignment horizontal="left" vertical="center" wrapText="1"/>
    </xf>
    <xf numFmtId="4" fontId="23" fillId="0" borderId="14" xfId="0" applyFont="1" applyBorder="1" applyNumberFormat="1">
      <alignment horizontal="center" vertical="center" wrapText="1"/>
    </xf>
    <xf numFmtId="49" fontId="34" fillId="39" borderId="16" xfId="0" applyFont="1" applyFill="1" applyBorder="1" applyNumberFormat="1">
      <alignment horizontal="left" vertical="center" wrapText="1"/>
      <protection locked="0"/>
    </xf>
    <xf numFmtId="0" fontId="76" fillId="0" borderId="24" xfId="0" applyFont="1" applyBorder="1" applyNumberFormat="1">
      <alignment vertical="center" wrapText="1"/>
    </xf>
    <xf numFmtId="49" fontId="23" fillId="0" borderId="14" xfId="0" applyFont="1" applyBorder="1" applyNumberFormat="1">
      <alignment horizontal="center" vertical="center" wrapText="1"/>
    </xf>
    <xf numFmtId="49" fontId="34" fillId="39" borderId="16" xfId="0" applyFont="1" applyFill="1" applyBorder="1" applyNumberFormat="1">
      <alignment horizontal="left" vertical="center" wrapText="1"/>
      <protection locked="0"/>
    </xf>
    <xf numFmtId="0" fontId="23" fillId="0" borderId="14" xfId="0" applyFont="1" applyBorder="1" applyNumberFormat="1">
      <alignment horizontal="center" vertical="center" wrapText="1"/>
    </xf>
    <xf numFmtId="49" fontId="23" fillId="39" borderId="14" xfId="0" applyFont="1" applyFill="1" applyBorder="1" applyNumberFormat="1">
      <alignment horizontal="left" vertical="center" wrapText="1"/>
      <protection locked="0"/>
    </xf>
    <xf numFmtId="3" fontId="23" fillId="39" borderId="16" xfId="0" applyFont="1" applyFill="1" applyBorder="1" applyNumberFormat="1">
      <alignment horizontal="right" vertical="center" wrapText="1"/>
      <protection locked="0"/>
    </xf>
    <xf numFmtId="4" fontId="23" fillId="39" borderId="16" xfId="0" applyFont="1" applyFill="1" applyBorder="1" applyNumberFormat="1">
      <alignment horizontal="right" vertical="center" wrapText="1"/>
      <protection locked="0"/>
    </xf>
    <xf numFmtId="49" fontId="23" fillId="42" borderId="14" xfId="0" applyFont="1" applyFill="1" applyBorder="1" applyNumberFormat="1">
      <alignment horizontal="left" vertical="center" wrapText="1"/>
      <protection locked="0"/>
    </xf>
    <xf numFmtId="49" fontId="23" fillId="42" borderId="14" xfId="0" applyFont="1" applyFill="1" applyBorder="1" applyNumberFormat="1">
      <alignment horizontal="left" vertical="center" wrapText="1"/>
      <protection locked="0"/>
    </xf>
    <xf numFmtId="0" fontId="45" fillId="0" borderId="0" xfId="0" applyFont="1" applyNumberFormat="1">
      <alignment horizontal="center" vertical="center" wrapText="1"/>
    </xf>
    <xf numFmtId="0" fontId="23" fillId="0" borderId="19" xfId="0" applyFont="1" applyBorder="1" applyNumberFormat="1">
      <alignment horizontal="center" vertical="center" wrapText="1"/>
    </xf>
    <xf numFmtId="0" fontId="23" fillId="0" borderId="16" xfId="0" applyFont="1" applyBorder="1" applyNumberFormat="1">
      <alignment horizontal="center" vertical="center" wrapText="1"/>
    </xf>
    <xf numFmtId="0" fontId="88" fillId="0" borderId="0" xfId="0" applyFont="1" applyNumberFormat="1">
      <alignment vertical="center" wrapText="1"/>
    </xf>
    <xf numFmtId="0" fontId="23" fillId="0" borderId="14" xfId="0" applyFont="1" applyBorder="1" applyNumberFormat="1">
      <alignment horizontal="left" vertical="center" wrapText="1" indent="2"/>
    </xf>
    <xf numFmtId="3" fontId="53" fillId="39" borderId="14" xfId="0" applyFont="1" applyFill="1" applyBorder="1" applyNumberFormat="1">
      <alignment horizontal="right" vertical="center"/>
      <protection locked="0"/>
    </xf>
    <xf numFmtId="49" fontId="23" fillId="39" borderId="16" xfId="0" applyFont="1" applyFill="1" applyBorder="1" applyNumberFormat="1">
      <alignment horizontal="left" vertical="center" wrapText="1"/>
      <protection locked="0"/>
    </xf>
    <xf numFmtId="0" fontId="23" fillId="0" borderId="0" xfId="0" applyFont="1" applyNumberFormat="1">
      <alignment vertical="top" wrapText="1"/>
    </xf>
    <xf numFmtId="0" fontId="23" fillId="0" borderId="0" xfId="0" applyFont="1" applyNumberFormat="1">
      <alignment vertical="top"/>
    </xf>
    <xf numFmtId="49" fontId="54" fillId="0" borderId="0" xfId="0" applyFont="1" applyNumberFormat="1">
      <alignment horizontal="center" vertical="center" wrapText="1"/>
    </xf>
    <xf numFmtId="0" fontId="23" fillId="0" borderId="0" xfId="0" applyFont="1" applyNumberFormat="1">
      <alignment vertical="top" wrapText="1"/>
    </xf>
    <xf numFmtId="0" fontId="23" fillId="0" borderId="0" xfId="0" applyFont="1" applyNumberFormat="1">
      <alignment vertical="top"/>
    </xf>
    <xf numFmtId="49" fontId="34" fillId="0" borderId="14" xfId="0" applyFont="1" applyBorder="1" applyNumberFormat="1">
      <alignment horizontal="left" vertical="center" wrapText="1"/>
    </xf>
    <xf numFmtId="49" fontId="23" fillId="0" borderId="34" xfId="0" applyFont="1" applyBorder="1" applyNumberFormat="1">
      <alignment horizontal="center" vertical="center" wrapText="1"/>
    </xf>
    <xf numFmtId="0" fontId="23" fillId="0" borderId="34" xfId="0" applyFont="1" applyBorder="1" applyNumberFormat="1">
      <alignment horizontal="left" vertical="center" wrapText="1"/>
    </xf>
    <xf numFmtId="4" fontId="23" fillId="0" borderId="42" xfId="0" applyFont="1" applyBorder="1" applyNumberFormat="1">
      <alignment horizontal="center" vertical="center" wrapText="1"/>
    </xf>
    <xf numFmtId="49" fontId="34" fillId="0" borderId="32" xfId="0" applyFont="1" applyBorder="1" applyNumberFormat="1">
      <alignment horizontal="left" vertical="center" wrapText="1"/>
    </xf>
    <xf numFmtId="49" fontId="23" fillId="0" borderId="33" xfId="0" applyFont="1" applyBorder="1" applyNumberFormat="1">
      <alignment horizontal="center" vertical="center" wrapText="1"/>
    </xf>
    <xf numFmtId="0" fontId="23" fillId="0" borderId="35" xfId="0" applyFont="1" applyBorder="1" applyNumberFormat="1">
      <alignment horizontal="left" vertical="center" wrapText="1" indent="1"/>
    </xf>
    <xf numFmtId="4" fontId="23" fillId="42" borderId="33" xfId="0" applyFont="1" applyFill="1" applyBorder="1" applyNumberFormat="1">
      <alignment horizontal="right" vertical="center" wrapText="1"/>
      <protection locked="0"/>
    </xf>
    <xf numFmtId="49" fontId="34" fillId="0" borderId="16" xfId="0" applyFont="1" applyBorder="1" applyNumberFormat="1">
      <alignment horizontal="left" vertical="center" wrapText="1"/>
    </xf>
    <xf numFmtId="4" fontId="23" fillId="0" borderId="19" xfId="0" applyFont="1" applyBorder="1" applyNumberFormat="1">
      <alignment horizontal="center" vertical="center" wrapText="1"/>
    </xf>
    <xf numFmtId="4" fontId="23" fillId="42" borderId="37" xfId="0" applyFont="1" applyFill="1" applyBorder="1" applyNumberFormat="1">
      <alignment horizontal="right" vertical="center" wrapText="1"/>
      <protection locked="0"/>
    </xf>
    <xf numFmtId="0" fontId="23" fillId="0" borderId="35" xfId="0" applyFont="1" applyBorder="1" applyNumberFormat="1">
      <alignment horizontal="left" vertical="center" wrapText="1"/>
    </xf>
    <xf numFmtId="49" fontId="34" fillId="0" borderId="17" xfId="0" applyFont="1" applyBorder="1" applyNumberFormat="1">
      <alignment horizontal="left" vertical="center" wrapText="1"/>
    </xf>
    <xf numFmtId="0" fontId="23" fillId="0" borderId="33" xfId="0" applyFont="1" applyBorder="1" applyNumberFormat="1">
      <alignment horizontal="left" vertical="center" wrapText="1" indent="1"/>
    </xf>
    <xf numFmtId="4" fontId="23" fillId="0" borderId="34" xfId="0" applyFont="1" applyBorder="1" applyNumberFormat="1">
      <alignment horizontal="center" vertical="center" wrapText="1"/>
    </xf>
    <xf numFmtId="0" fontId="23" fillId="0" borderId="33" xfId="0" applyFont="1" applyBorder="1" applyNumberFormat="1">
      <alignment horizontal="left" vertical="center" wrapText="1"/>
    </xf>
    <xf numFmtId="0" fontId="23" fillId="0" borderId="33" xfId="0" applyFont="1" applyBorder="1" applyNumberFormat="1">
      <alignment horizontal="left" vertical="center" wrapText="1" indent="2"/>
    </xf>
    <xf numFmtId="4" fontId="23" fillId="0" borderId="33" xfId="0" applyFont="1" applyBorder="1" applyNumberFormat="1">
      <alignment horizontal="center" vertical="center" wrapText="1"/>
    </xf>
    <xf numFmtId="49" fontId="23" fillId="0" borderId="36" xfId="0" applyFont="1" applyBorder="1" applyNumberFormat="1">
      <alignment horizontal="center" vertical="center" wrapText="1"/>
    </xf>
    <xf numFmtId="49" fontId="34" fillId="42" borderId="14" xfId="0" applyFont="1" applyFill="1" applyBorder="1" applyNumberFormat="1">
      <alignment horizontal="left" vertical="center" wrapText="1"/>
      <protection locked="0"/>
    </xf>
    <xf numFmtId="0" fontId="23" fillId="0" borderId="37" xfId="0" applyFont="1" applyBorder="1" applyNumberFormat="1">
      <alignment horizontal="left" vertical="center" wrapText="1"/>
    </xf>
    <xf numFmtId="4" fontId="23" fillId="0" borderId="37" xfId="0" applyFont="1" applyBorder="1" applyNumberFormat="1">
      <alignment horizontal="center" vertical="center" wrapText="1"/>
    </xf>
    <xf numFmtId="49" fontId="34" fillId="0" borderId="39" xfId="0" applyFont="1" applyBorder="1" applyNumberFormat="1">
      <alignment horizontal="left" vertical="center" wrapText="1"/>
    </xf>
    <xf numFmtId="49" fontId="23" fillId="0" borderId="35" xfId="0" applyFont="1" applyBorder="1" applyNumberFormat="1">
      <alignment horizontal="center" vertical="center" wrapText="1"/>
    </xf>
    <xf numFmtId="4" fontId="23" fillId="42" borderId="16" xfId="0" applyFont="1" applyFill="1" applyBorder="1" applyNumberFormat="1">
      <alignment horizontal="right" vertical="center" wrapText="1"/>
      <protection locked="0"/>
    </xf>
    <xf numFmtId="4" fontId="23" fillId="42" borderId="35" xfId="0" applyFont="1" applyFill="1" applyBorder="1" applyNumberFormat="1">
      <alignment horizontal="right" vertical="center" wrapText="1"/>
      <protection locked="0"/>
    </xf>
    <xf numFmtId="4" fontId="23" fillId="0" borderId="35" xfId="0" applyFont="1" applyBorder="1" applyNumberFormat="1">
      <alignment horizontal="center" vertical="center" wrapText="1"/>
    </xf>
    <xf numFmtId="4" fontId="23" fillId="42" borderId="36" xfId="0" applyFont="1" applyFill="1" applyBorder="1" applyNumberFormat="1">
      <alignment horizontal="right" vertical="center" wrapText="1"/>
      <protection locked="0"/>
    </xf>
    <xf numFmtId="49" fontId="34" fillId="42" borderId="16" xfId="0" applyFont="1" applyFill="1" applyBorder="1" applyNumberFormat="1">
      <alignment horizontal="left" vertical="center" wrapText="1"/>
      <protection locked="0"/>
    </xf>
    <xf numFmtId="0" fontId="54" fillId="0" borderId="0" xfId="0" applyFont="1" applyNumberFormat="1">
      <alignment horizontal="center" vertical="center" wrapText="1"/>
    </xf>
    <xf numFmtId="49" fontId="23" fillId="0" borderId="0" xfId="0" applyFont="1" applyNumberFormat="1">
      <alignment vertical="center" wrapText="1"/>
    </xf>
    <xf numFmtId="0" fontId="44" fillId="0" borderId="26" xfId="0" applyFont="1" applyBorder="1" applyNumberFormat="1">
      <alignment horizontal="center" vertical="center" wrapText="1"/>
    </xf>
    <xf numFmtId="0" fontId="0" fillId="0" borderId="16" xfId="0" applyFont="1" applyBorder="1" applyNumberFormat="1">
      <alignment horizontal="center" vertical="center"/>
    </xf>
    <xf numFmtId="0" fontId="23" fillId="0" borderId="15" xfId="0" applyFont="1" applyBorder="1" applyNumberFormat="1">
      <alignment horizontal="center" vertical="center" wrapText="1"/>
    </xf>
    <xf numFmtId="167" fontId="0" fillId="39" borderId="14" xfId="0" applyFont="1" applyFill="1" applyBorder="1" applyNumberFormat="1">
      <alignment horizontal="left" vertical="center" wrapText="1" indent="1"/>
      <protection locked="0"/>
    </xf>
    <xf numFmtId="49" fontId="23" fillId="42" borderId="16" xfId="0" applyFont="1" applyFill="1" applyBorder="1" applyNumberFormat="1">
      <alignment horizontal="left" vertical="center" wrapText="1"/>
      <protection locked="0"/>
    </xf>
    <xf numFmtId="0" fontId="23" fillId="0" borderId="0" xfId="0" applyFont="1" applyNumberFormat="1">
      <alignment horizontal="left" vertical="center" wrapText="1"/>
    </xf>
    <xf numFmtId="0" fontId="23" fillId="38" borderId="16" xfId="0" applyFont="1" applyFill="1" applyBorder="1" applyNumberFormat="1">
      <alignment horizontal="left" vertical="top" wrapText="1" indent="1"/>
    </xf>
    <xf numFmtId="0" fontId="23" fillId="38" borderId="15" xfId="0" applyFont="1" applyFill="1" applyBorder="1" applyNumberFormat="1">
      <alignment horizontal="left" vertical="top" wrapText="1" indent="1"/>
    </xf>
    <xf numFmtId="0" fontId="23" fillId="0" borderId="17" xfId="0" applyFont="1" applyBorder="1" applyNumberFormat="1">
      <alignment horizontal="right" vertical="center" wrapText="1" indent="1"/>
    </xf>
    <xf numFmtId="0" fontId="23" fillId="0" borderId="15" xfId="0" applyFont="1" applyBorder="1" applyNumberFormat="1">
      <alignment horizontal="right" vertical="center" wrapText="1" indent="1"/>
    </xf>
    <xf numFmtId="0" fontId="23" fillId="0" borderId="14" xfId="0" applyFont="1" applyBorder="1" applyNumberFormat="1">
      <alignment horizontal="center" vertical="center" wrapText="1"/>
    </xf>
    <xf numFmtId="0" fontId="23" fillId="0" borderId="14" xfId="0" applyFont="1" applyBorder="1" applyNumberFormat="1">
      <alignment horizontal="center" vertical="center" wrapText="1"/>
    </xf>
    <xf numFmtId="0" fontId="23" fillId="0" borderId="16" xfId="0" applyFont="1" applyBorder="1" applyNumberFormat="1">
      <alignment horizontal="center" vertical="center" wrapText="1"/>
    </xf>
    <xf numFmtId="0" fontId="44" fillId="0" borderId="0" xfId="0" applyFont="1" applyNumberFormat="1">
      <alignment horizontal="center" vertical="center" wrapText="1"/>
    </xf>
    <xf numFmtId="49" fontId="0" fillId="0" borderId="16" xfId="0" applyFont="1" applyBorder="1" applyNumberFormat="1">
      <alignment horizontal="center" vertical="center"/>
    </xf>
    <xf numFmtId="49" fontId="0" fillId="0" borderId="14" xfId="0" applyFont="1" applyBorder="1" applyNumberFormat="1">
      <alignment vertical="center" wrapText="1"/>
    </xf>
    <xf numFmtId="0" fontId="23" fillId="0" borderId="15" xfId="0" applyFont="1" applyBorder="1" applyNumberFormat="1">
      <alignment horizontal="center" vertical="center" wrapText="1"/>
    </xf>
    <xf numFmtId="0" fontId="23" fillId="40" borderId="16" xfId="0" applyFont="1" applyFill="1" applyBorder="1" applyNumberFormat="1">
      <alignment vertical="center" wrapText="1"/>
    </xf>
    <xf numFmtId="0" fontId="23" fillId="0" borderId="15" xfId="0" applyFont="1" applyBorder="1" applyNumberFormat="1">
      <alignment horizontal="center" vertical="center" wrapText="1"/>
    </xf>
    <xf numFmtId="0" fontId="23" fillId="40" borderId="21" xfId="0" applyFont="1" applyFill="1" applyBorder="1" applyNumberFormat="1">
      <alignment vertical="center" wrapText="1"/>
    </xf>
    <xf numFmtId="0" fontId="23" fillId="0" borderId="17" xfId="0" applyFont="1" applyBorder="1" applyNumberFormat="1">
      <alignment horizontal="center" vertical="center" wrapText="1"/>
    </xf>
    <xf numFmtId="49" fontId="23" fillId="43" borderId="14" xfId="0" applyFont="1" applyFill="1" applyBorder="1" applyNumberFormat="1">
      <alignment horizontal="center" vertical="center" wrapText="1"/>
    </xf>
    <xf numFmtId="49" fontId="23" fillId="43" borderId="14" xfId="0" applyFont="1" applyFill="1" applyBorder="1" applyNumberFormat="1">
      <alignment horizontal="center" vertical="center" wrapText="1"/>
    </xf>
    <xf numFmtId="0" fontId="23" fillId="0" borderId="14" xfId="0" applyFont="1" applyBorder="1" applyNumberFormat="1">
      <alignment horizontal="center" vertical="center" wrapText="1"/>
    </xf>
    <xf numFmtId="0" fontId="23" fillId="0" borderId="15" xfId="0" applyFont="1" applyBorder="1" applyNumberFormat="1">
      <alignment vertical="center" wrapText="1"/>
    </xf>
    <xf numFmtId="0" fontId="23" fillId="40" borderId="29" xfId="0" applyFont="1" applyFill="1" applyBorder="1" applyNumberFormat="1">
      <alignment vertical="center" wrapText="1"/>
    </xf>
    <xf numFmtId="0" fontId="44" fillId="0" borderId="0" xfId="0" applyFont="1" applyNumberFormat="1">
      <alignment horizontal="center" vertical="center" wrapText="1"/>
    </xf>
    <xf numFmtId="49" fontId="54" fillId="0" borderId="0" xfId="0" applyFont="1" applyNumberFormat="1">
      <alignment horizontal="center" vertical="center" wrapText="1"/>
    </xf>
    <xf numFmtId="0" fontId="23" fillId="0" borderId="0" xfId="0" applyFont="1" applyNumberFormat="1">
      <alignment vertical="center" wrapText="1"/>
    </xf>
    <xf numFmtId="49" fontId="54" fillId="0" borderId="0" xfId="0" applyFont="1" applyNumberFormat="1">
      <alignment horizontal="center" vertical="center" wrapText="1"/>
    </xf>
    <xf numFmtId="0" fontId="23" fillId="0" borderId="0" xfId="0" applyFont="1" applyNumberFormat="1">
      <alignment vertical="center" wrapText="1"/>
    </xf>
    <xf numFmtId="49" fontId="54" fillId="0" borderId="0" xfId="0" applyFont="1" applyNumberFormat="1">
      <alignment horizontal="center" vertical="center" wrapText="1"/>
    </xf>
    <xf numFmtId="49" fontId="103" fillId="0" borderId="0" xfId="0" applyFont="1" applyNumberFormat="1">
      <alignment horizontal="center" vertical="center" wrapText="1"/>
    </xf>
    <xf numFmtId="0" fontId="0" fillId="37" borderId="16" xfId="0" applyFont="1" applyFill="1" applyBorder="1" applyNumberFormat="1">
      <alignment horizontal="center" vertical="center" wrapText="1"/>
    </xf>
    <xf numFmtId="0" fontId="0" fillId="37" borderId="17" xfId="0" applyFont="1" applyFill="1" applyBorder="1" applyNumberFormat="1">
      <alignment horizontal="center" vertical="center" wrapText="1"/>
    </xf>
    <xf numFmtId="0" fontId="0" fillId="37" borderId="15" xfId="0" applyFont="1" applyFill="1" applyBorder="1" applyNumberFormat="1">
      <alignment horizontal="center" vertical="center" wrapText="1"/>
    </xf>
    <xf numFmtId="0" fontId="0" fillId="37" borderId="19" xfId="0" applyFont="1" applyFill="1" applyBorder="1" applyNumberFormat="1">
      <alignment horizontal="center" vertical="center" wrapText="1"/>
    </xf>
    <xf numFmtId="0" fontId="23" fillId="37" borderId="19" xfId="0" applyFont="1" applyFill="1" applyBorder="1" applyNumberFormat="1">
      <alignment horizontal="center" vertical="center" wrapText="1"/>
    </xf>
    <xf numFmtId="0" fontId="0" fillId="37" borderId="19" xfId="0" applyFont="1" applyFill="1" applyBorder="1" applyNumberFormat="1">
      <alignment horizontal="center" vertical="center" wrapText="1"/>
    </xf>
    <xf numFmtId="0" fontId="0" fillId="37" borderId="39" xfId="0" applyFont="1" applyFill="1" applyBorder="1" applyNumberFormat="1">
      <alignment horizontal="center" vertical="center" wrapText="1"/>
    </xf>
    <xf numFmtId="0" fontId="23" fillId="0" borderId="14" xfId="0" applyFont="1" applyBorder="1" applyNumberFormat="1">
      <alignment horizontal="center" vertical="center" wrapText="1"/>
    </xf>
    <xf numFmtId="0" fontId="55" fillId="0" borderId="0" xfId="0" applyFont="1" applyNumberFormat="1">
      <alignment horizontal="center" vertical="center" wrapText="1"/>
    </xf>
    <xf numFmtId="49" fontId="55" fillId="0" borderId="14" xfId="0" applyFont="1" applyBorder="1" applyNumberFormat="1">
      <alignment horizontal="center" vertical="center" wrapText="1"/>
    </xf>
    <xf numFmtId="0" fontId="0" fillId="0" borderId="14" xfId="0" applyFont="1" applyBorder="1" applyNumberFormat="1">
      <alignment horizontal="left" vertical="center" wrapText="1" indent="1"/>
    </xf>
    <xf numFmtId="49" fontId="0" fillId="0" borderId="14" xfId="0" applyFont="1" applyBorder="1" applyNumberFormat="1">
      <alignment horizontal="center" vertical="center" wrapText="1"/>
    </xf>
    <xf numFmtId="49" fontId="23" fillId="0" borderId="14" xfId="0" applyFont="1" applyBorder="1" applyNumberFormat="1">
      <alignment horizontal="left" vertical="center" wrapText="1"/>
    </xf>
    <xf numFmtId="49" fontId="55" fillId="0" borderId="0" xfId="0" applyFont="1" applyNumberFormat="1">
      <alignment horizontal="center" vertical="center" wrapText="1"/>
    </xf>
    <xf numFmtId="49" fontId="23" fillId="0" borderId="16" xfId="0" applyFont="1" applyBorder="1" applyNumberFormat="1">
      <alignment horizontal="center" vertical="center" wrapText="1"/>
    </xf>
    <xf numFmtId="49" fontId="48" fillId="40" borderId="16" xfId="0" applyFont="1" applyFill="1" applyBorder="1" applyNumberFormat="1">
      <alignment horizontal="left" vertical="center" indent="1"/>
    </xf>
    <xf numFmtId="0" fontId="23" fillId="40" borderId="31" xfId="0" applyFont="1" applyFill="1" applyBorder="1" applyNumberFormat="1">
      <alignment vertical="center" wrapText="1"/>
    </xf>
    <xf numFmtId="0" fontId="54" fillId="0" borderId="0" xfId="0" applyFont="1" applyNumberFormat="1">
      <alignment vertical="center" wrapText="1"/>
    </xf>
    <xf numFmtId="0" fontId="54" fillId="0" borderId="0" xfId="0" applyFont="1" applyNumberFormat="1">
      <alignment vertical="center" wrapText="1"/>
    </xf>
    <xf numFmtId="0" fontId="54" fillId="0" borderId="0" xfId="0" applyFont="1" applyNumberFormat="1">
      <alignment vertical="center" wrapText="1"/>
    </xf>
    <xf numFmtId="0" fontId="40" fillId="0" borderId="0" xfId="0" applyFont="1" applyNumberFormat="1">
      <alignment vertical="center" wrapText="1"/>
    </xf>
    <xf numFmtId="0" fontId="40" fillId="0" borderId="0" xfId="0" applyFont="1" applyNumberFormat="1">
      <alignment vertical="center" wrapText="1"/>
    </xf>
    <xf numFmtId="0" fontId="40" fillId="0" borderId="0" xfId="0" applyFont="1" applyNumberFormat="1">
      <alignment vertical="center" wrapText="1"/>
    </xf>
    <xf numFmtId="0" fontId="23" fillId="0" borderId="0" xfId="0" applyFont="1" applyNumberFormat="1">
      <alignment horizontal="left" vertical="center" wrapText="1" indent="3"/>
    </xf>
    <xf numFmtId="0" fontId="23" fillId="37" borderId="0" xfId="0" applyFont="1" applyFill="1" applyNumberFormat="1">
      <alignment vertical="center" wrapText="1"/>
    </xf>
    <xf numFmtId="0" fontId="23" fillId="37" borderId="41" xfId="0" applyFont="1" applyFill="1" applyBorder="1" applyNumberFormat="1">
      <alignment vertical="center" wrapText="1"/>
    </xf>
    <xf numFmtId="0" fontId="23" fillId="37" borderId="41" xfId="0" applyFont="1" applyFill="1" applyBorder="1" applyNumberFormat="1">
      <alignment vertical="center" wrapText="1"/>
    </xf>
    <xf numFmtId="49" fontId="78" fillId="0" borderId="41" xfId="0" applyFont="1" applyBorder="1" applyNumberFormat="1">
      <alignment vertical="top"/>
    </xf>
    <xf numFmtId="49" fontId="78" fillId="0" borderId="41" xfId="0" applyFont="1" applyBorder="1" applyNumberFormat="1">
      <alignment vertical="top"/>
    </xf>
    <xf numFmtId="0" fontId="36" fillId="37" borderId="41" xfId="0" applyFont="1" applyFill="1" applyBorder="1" applyNumberFormat="1">
      <alignment horizontal="center" wrapText="1"/>
    </xf>
    <xf numFmtId="0" fontId="36" fillId="37" borderId="41" xfId="0" applyFont="1" applyFill="1" applyBorder="1" applyNumberFormat="1">
      <alignment horizontal="center" wrapText="1"/>
    </xf>
    <xf numFmtId="0" fontId="23" fillId="37" borderId="41" xfId="0" applyFont="1" applyFill="1" applyBorder="1" applyNumberFormat="1">
      <alignment vertical="center" wrapText="1"/>
    </xf>
    <xf numFmtId="0" fontId="23" fillId="37" borderId="41" xfId="0" applyFont="1" applyFill="1" applyBorder="1" applyNumberFormat="1">
      <alignment vertical="center" wrapText="1"/>
    </xf>
    <xf numFmtId="49" fontId="23" fillId="0" borderId="0" xfId="0" applyFont="1" applyNumberFormat="1">
      <alignment vertical="top"/>
    </xf>
    <xf numFmtId="0" fontId="23" fillId="0" borderId="63" xfId="0" applyFont="1" applyBorder="1" applyNumberFormat="1">
      <alignment horizontal="center" vertical="center"/>
    </xf>
    <xf numFmtId="0" fontId="23" fillId="0" borderId="64" xfId="0" applyFont="1" applyBorder="1" applyNumberFormat="1">
      <alignment horizontal="center" vertical="center"/>
    </xf>
    <xf numFmtId="0" fontId="23" fillId="0" borderId="66" xfId="0" applyFont="1" applyBorder="1" applyNumberFormat="1">
      <alignment horizontal="center" vertical="center"/>
    </xf>
    <xf numFmtId="0" fontId="23" fillId="0" borderId="40" xfId="0" applyFont="1" applyBorder="1" applyNumberFormat="1">
      <alignment vertical="center" wrapText="1"/>
    </xf>
    <xf numFmtId="0" fontId="23" fillId="37" borderId="14" xfId="0" applyFont="1" applyFill="1" applyBorder="1" applyNumberFormat="1">
      <alignment horizontal="center" vertical="center" wrapText="1"/>
    </xf>
    <xf numFmtId="0" fontId="23" fillId="37" borderId="39" xfId="0" applyFont="1" applyFill="1" applyBorder="1" applyNumberFormat="1">
      <alignment horizontal="center" vertical="center" wrapText="1"/>
    </xf>
    <xf numFmtId="0" fontId="23" fillId="37" borderId="22" xfId="0" applyFont="1" applyFill="1" applyBorder="1" applyNumberFormat="1">
      <alignment horizontal="center" vertical="center" wrapText="1"/>
    </xf>
    <xf numFmtId="0" fontId="23" fillId="0" borderId="0" xfId="0" applyFont="1" applyNumberFormat="1">
      <alignment vertical="center" wrapText="1"/>
    </xf>
    <xf numFmtId="0" fontId="23" fillId="37" borderId="0" xfId="0" applyFont="1" applyFill="1" applyNumberFormat="1">
      <alignment vertical="center" wrapText="1"/>
    </xf>
    <xf numFmtId="0" fontId="23" fillId="37" borderId="24" xfId="0" applyFont="1" applyFill="1" applyBorder="1" applyNumberFormat="1">
      <alignment horizontal="center" vertical="center" wrapText="1"/>
    </xf>
    <xf numFmtId="0" fontId="23" fillId="37" borderId="26" xfId="0" applyFont="1" applyFill="1" applyBorder="1" applyNumberFormat="1">
      <alignment horizontal="center" vertical="center" wrapText="1"/>
    </xf>
    <xf numFmtId="49" fontId="23" fillId="0" borderId="0" xfId="0" applyFont="1" applyNumberFormat="1">
      <alignment vertical="top"/>
    </xf>
    <xf numFmtId="0" fontId="23" fillId="0" borderId="0" xfId="0" applyFont="1" applyNumberFormat="1">
      <alignment vertical="center" wrapText="1"/>
    </xf>
    <xf numFmtId="49" fontId="103" fillId="0" borderId="0" xfId="0" applyFont="1" applyNumberFormat="1">
      <alignment horizontal="center" vertical="center" wrapText="1"/>
    </xf>
    <xf numFmtId="0" fontId="23" fillId="37" borderId="0" xfId="0" applyFont="1" applyFill="1" applyNumberFormat="1">
      <alignment vertical="center" wrapText="1"/>
    </xf>
    <xf numFmtId="0" fontId="0" fillId="0" borderId="14" xfId="0" applyFont="1" applyBorder="1" applyNumberFormat="1">
      <alignment horizontal="center" vertical="center" wrapText="1"/>
    </xf>
    <xf numFmtId="49" fontId="23" fillId="0" borderId="0" xfId="0" applyFont="1" applyNumberFormat="1">
      <alignment vertical="top"/>
    </xf>
    <xf numFmtId="0" fontId="23" fillId="37" borderId="32" xfId="0" applyFont="1" applyFill="1" applyBorder="1" applyNumberFormat="1">
      <alignment horizontal="center" vertical="center" wrapText="1"/>
    </xf>
    <xf numFmtId="0" fontId="23" fillId="37" borderId="31" xfId="0" applyFont="1" applyFill="1" applyBorder="1" applyNumberFormat="1">
      <alignment horizontal="center" vertical="center" wrapText="1"/>
    </xf>
    <xf numFmtId="0" fontId="23" fillId="0" borderId="14" xfId="0" applyFont="1" applyBorder="1" applyNumberFormat="1">
      <alignment horizontal="center" vertical="center" wrapText="1"/>
    </xf>
    <xf numFmtId="0" fontId="0" fillId="0" borderId="14" xfId="0" applyFont="1" applyBorder="1" applyNumberFormat="1">
      <alignment horizontal="center" vertical="center" wrapText="1"/>
    </xf>
    <xf numFmtId="0" fontId="23" fillId="0" borderId="14" xfId="0" applyFont="1" applyBorder="1" applyNumberFormat="1">
      <alignment horizontal="center" vertical="center" wrapText="1"/>
    </xf>
    <xf numFmtId="0" fontId="23" fillId="0" borderId="14" xfId="0" applyFont="1" applyBorder="1" applyNumberFormat="1">
      <alignment horizontal="center" vertical="center" wrapText="1"/>
    </xf>
    <xf numFmtId="0" fontId="23" fillId="37" borderId="0" xfId="0" applyFont="1" applyFill="1" applyNumberFormat="1">
      <alignment vertical="center" wrapText="1"/>
    </xf>
    <xf numFmtId="0" fontId="23" fillId="0" borderId="0" xfId="0" applyFont="1" applyNumberFormat="1">
      <alignment vertical="center" wrapText="1"/>
    </xf>
    <xf numFmtId="0" fontId="23" fillId="0" borderId="0" xfId="0" applyFont="1" applyNumberFormat="1">
      <alignment vertical="center" wrapText="1"/>
    </xf>
    <xf numFmtId="0" fontId="23" fillId="0" borderId="0" xfId="0" applyFont="1" applyNumberFormat="1">
      <alignment vertical="center" wrapText="1"/>
    </xf>
    <xf numFmtId="0" fontId="23" fillId="0" borderId="0" xfId="0" applyFont="1" applyNumberFormat="1">
      <alignment vertical="center" wrapText="1"/>
    </xf>
    <xf numFmtId="0" fontId="23" fillId="0" borderId="0" xfId="0" applyFont="1" applyNumberFormat="1">
      <alignment vertical="center"/>
    </xf>
    <xf numFmtId="0" fontId="23" fillId="0" borderId="0" xfId="0" applyFont="1" applyNumberFormat="1">
      <alignment vertical="center"/>
    </xf>
    <xf numFmtId="49" fontId="23" fillId="0" borderId="0" xfId="0" applyFont="1" applyNumberFormat="1">
      <alignment vertical="top"/>
    </xf>
    <xf numFmtId="49" fontId="23" fillId="0" borderId="0" xfId="0" applyFont="1" applyNumberFormat="1">
      <alignment vertical="top"/>
    </xf>
    <xf numFmtId="49" fontId="23" fillId="0" borderId="0" xfId="0" applyFont="1" applyNumberFormat="1">
      <alignment vertical="top"/>
    </xf>
    <xf numFmtId="0" fontId="23" fillId="0" borderId="0" xfId="0" applyFont="1" applyNumberFormat="1">
      <alignment horizontal="left" vertical="center" wrapText="1"/>
    </xf>
    <xf numFmtId="0" fontId="23" fillId="0" borderId="0" xfId="0" applyFont="1" applyNumberFormat="1">
      <alignment vertical="center" wrapText="1"/>
    </xf>
    <xf numFmtId="0" fontId="23" fillId="0" borderId="0" xfId="0" applyFont="1" applyNumberFormat="1">
      <alignment vertical="center" wrapText="1"/>
    </xf>
    <xf numFmtId="0" fontId="23" fillId="37" borderId="0" xfId="0" applyFont="1" applyFill="1" applyNumberFormat="1">
      <alignment vertical="center" wrapText="1"/>
    </xf>
    <xf numFmtId="0" fontId="23" fillId="37" borderId="21" xfId="0" applyFont="1" applyFill="1" applyBorder="1" applyNumberFormat="1">
      <alignment vertical="center" wrapText="1"/>
    </xf>
    <xf numFmtId="49" fontId="23" fillId="0" borderId="0" xfId="0" applyFont="1" applyNumberFormat="1">
      <alignment vertical="top"/>
    </xf>
    <xf numFmtId="49" fontId="55" fillId="0" borderId="0" xfId="0" applyFont="1" applyNumberFormat="1">
      <alignment vertical="top"/>
    </xf>
    <xf numFmtId="0" fontId="55" fillId="0" borderId="41" xfId="0" applyFont="1" applyBorder="1" applyNumberFormat="1">
      <alignment vertical="center" wrapText="1"/>
    </xf>
    <xf numFmtId="0" fontId="23" fillId="0" borderId="76" xfId="0" applyFont="1" applyBorder="1" applyNumberFormat="1">
      <alignment horizontal="center" vertical="center"/>
    </xf>
    <xf numFmtId="0" fontId="23" fillId="0" borderId="45" xfId="0" applyFont="1" applyBorder="1" applyNumberFormat="1">
      <alignment horizontal="center" vertical="center"/>
    </xf>
    <xf numFmtId="0" fontId="23" fillId="0" borderId="40" xfId="0" applyFont="1" applyBorder="1" applyNumberFormat="1">
      <alignment vertical="center"/>
    </xf>
    <xf numFmtId="49" fontId="0" fillId="0" borderId="19" xfId="0" applyFont="1" applyBorder="1" applyNumberFormat="1">
      <alignment horizontal="center" vertical="center" wrapText="1"/>
    </xf>
    <xf numFmtId="49" fontId="0" fillId="0" borderId="14" xfId="0" applyFont="1" applyBorder="1" applyNumberFormat="1">
      <alignment horizontal="center" vertical="center"/>
    </xf>
    <xf numFmtId="49" fontId="0" fillId="0" borderId="14" xfId="0" applyFont="1" applyBorder="1" applyNumberFormat="1">
      <alignment horizontal="center" vertical="center" wrapText="1"/>
    </xf>
    <xf numFmtId="49" fontId="23" fillId="0" borderId="24" xfId="0" applyFont="1" applyBorder="1" applyNumberFormat="1">
      <alignment vertical="top"/>
    </xf>
    <xf numFmtId="49" fontId="0" fillId="0" borderId="38" xfId="0" applyFont="1" applyBorder="1" applyNumberFormat="1">
      <alignment horizontal="center" vertical="center" wrapText="1"/>
    </xf>
    <xf numFmtId="0" fontId="0" fillId="38" borderId="14" xfId="0" applyFont="1" applyFill="1" applyBorder="1" applyNumberFormat="1">
      <alignment horizontal="center" vertical="center" wrapText="1"/>
    </xf>
    <xf numFmtId="49" fontId="0" fillId="0" borderId="25" xfId="0" applyFont="1" applyBorder="1" applyNumberFormat="1">
      <alignment horizontal="center" vertical="center" wrapText="1"/>
    </xf>
    <xf numFmtId="49" fontId="0" fillId="0" borderId="14" xfId="0" applyFont="1" applyBorder="1" applyNumberFormat="1">
      <alignment horizontal="center" vertical="center"/>
    </xf>
    <xf numFmtId="49" fontId="0" fillId="38" borderId="14" xfId="0" applyFont="1" applyFill="1" applyBorder="1" applyNumberFormat="1">
      <alignment horizontal="center" vertical="center"/>
    </xf>
    <xf numFmtId="0" fontId="23" fillId="0" borderId="24" xfId="0" applyFont="1" applyBorder="1" applyNumberFormat="1">
      <alignment vertical="center" wrapText="1"/>
    </xf>
    <xf numFmtId="49" fontId="0" fillId="0" borderId="14" xfId="0" applyFont="1" applyBorder="1" applyNumberFormat="1">
      <alignment horizontal="center" vertical="center" wrapText="1"/>
    </xf>
    <xf numFmtId="49" fontId="0" fillId="0" borderId="14" xfId="0" applyFont="1" applyBorder="1" applyNumberFormat="1">
      <alignment vertical="center" wrapText="1"/>
    </xf>
    <xf numFmtId="49" fontId="0" fillId="0" borderId="14" xfId="0" applyFont="1" applyBorder="1" applyNumberFormat="1">
      <alignment horizontal="center" vertical="center"/>
    </xf>
    <xf numFmtId="4" fontId="0" fillId="38" borderId="14" xfId="0" applyFont="1" applyFill="1" applyBorder="1" applyNumberFormat="1">
      <alignment horizontal="right" vertical="center" wrapText="1"/>
    </xf>
    <xf numFmtId="49" fontId="0" fillId="0" borderId="14" xfId="0" applyFont="1" applyBorder="1" applyNumberFormat="1">
      <alignment horizontal="left" vertical="center" wrapText="1" indent="2"/>
    </xf>
    <xf numFmtId="4" fontId="0" fillId="39" borderId="14" xfId="0" applyFont="1" applyFill="1" applyBorder="1" applyNumberFormat="1">
      <alignment horizontal="right" vertical="center" wrapText="1"/>
      <protection locked="0"/>
    </xf>
    <xf numFmtId="49" fontId="0" fillId="0" borderId="14" xfId="0" applyFont="1" applyBorder="1" applyNumberFormat="1">
      <alignment horizontal="center" vertical="center" wrapText="1"/>
    </xf>
    <xf numFmtId="49" fontId="0" fillId="0" borderId="14" xfId="0" applyFont="1" applyBorder="1" applyNumberFormat="1">
      <alignment horizontal="left" vertical="center" wrapText="1"/>
    </xf>
    <xf numFmtId="49" fontId="0" fillId="0" borderId="14" xfId="0" applyFont="1" applyBorder="1" applyNumberFormat="1">
      <alignment horizontal="left" vertical="center" wrapText="1" indent="3"/>
    </xf>
    <xf numFmtId="49" fontId="0" fillId="0" borderId="14" xfId="0" applyFont="1" applyBorder="1" applyNumberFormat="1">
      <alignment horizontal="left" vertical="center" wrapText="1"/>
    </xf>
    <xf numFmtId="49" fontId="53" fillId="0" borderId="0" xfId="0" applyFont="1" applyNumberFormat="1">
      <alignment vertical="center"/>
    </xf>
    <xf numFmtId="49" fontId="104" fillId="0" borderId="0" xfId="0" applyFont="1" applyNumberFormat="1">
      <alignment vertical="center"/>
    </xf>
    <xf numFmtId="49" fontId="53" fillId="0" borderId="0" xfId="0" applyFont="1" applyNumberFormat="1">
      <alignment vertical="center"/>
    </xf>
    <xf numFmtId="49" fontId="53" fillId="0" borderId="0" xfId="0" applyFont="1" applyNumberFormat="1">
      <alignment vertical="center"/>
    </xf>
    <xf numFmtId="49" fontId="104" fillId="0" borderId="0" xfId="0" applyFont="1" applyNumberFormat="1">
      <alignment vertical="center" wrapText="1"/>
    </xf>
    <xf numFmtId="49" fontId="53" fillId="0" borderId="0" xfId="0" applyFont="1" applyNumberFormat="1">
      <alignment vertical="center" wrapText="1"/>
    </xf>
    <xf numFmtId="49" fontId="53" fillId="0" borderId="0" xfId="0" applyFont="1" applyNumberFormat="1">
      <alignment vertical="top"/>
    </xf>
    <xf numFmtId="49" fontId="53" fillId="0" borderId="0" xfId="0" applyFont="1" applyNumberFormat="1">
      <alignment vertical="center" wrapText="1"/>
    </xf>
    <xf numFmtId="49" fontId="23" fillId="0" borderId="0" xfId="0" applyFont="1" applyNumberFormat="1">
      <alignment horizontal="center" vertical="top" wrapText="1"/>
    </xf>
    <xf numFmtId="49" fontId="40" fillId="0" borderId="0" xfId="0" applyFont="1" applyNumberFormat="1">
      <alignment horizontal="center" vertical="top" wrapText="1"/>
    </xf>
    <xf numFmtId="49" fontId="23" fillId="37" borderId="0" xfId="0" applyFont="1" applyFill="1" applyNumberFormat="1">
      <alignment horizontal="center" vertical="top" wrapText="1"/>
    </xf>
    <xf numFmtId="0" fontId="23" fillId="0" borderId="22" xfId="0" applyFont="1" applyBorder="1" applyNumberFormat="1">
      <alignment horizontal="left" vertical="top" wrapText="1"/>
    </xf>
    <xf numFmtId="49" fontId="23" fillId="0" borderId="0" xfId="0" applyFont="1" applyNumberFormat="1">
      <alignment horizontal="center" vertical="center" wrapText="1"/>
    </xf>
    <xf numFmtId="49" fontId="40" fillId="0" borderId="0" xfId="0" applyFont="1" applyNumberFormat="1">
      <alignment horizontal="center" vertical="center" wrapText="1"/>
    </xf>
    <xf numFmtId="49" fontId="23" fillId="37" borderId="0" xfId="0" applyFont="1" applyFill="1" applyNumberFormat="1">
      <alignment horizontal="center" vertical="center" wrapText="1"/>
    </xf>
    <xf numFmtId="49" fontId="53" fillId="0" borderId="0" xfId="0" applyFont="1" applyNumberFormat="1">
      <alignment horizontal="center" vertical="center" wrapText="1"/>
    </xf>
    <xf numFmtId="49" fontId="104" fillId="0" borderId="0" xfId="0" applyFont="1" applyNumberFormat="1">
      <alignment horizontal="center" vertical="center" wrapText="1"/>
    </xf>
    <xf numFmtId="49" fontId="53" fillId="0" borderId="0" xfId="0" applyFont="1" applyNumberFormat="1">
      <alignment horizontal="center" vertical="center" wrapText="1"/>
    </xf>
    <xf numFmtId="0" fontId="53" fillId="0" borderId="0" xfId="0" applyFont="1" applyNumberFormat="1">
      <alignment horizontal="center" vertical="center" wrapText="1"/>
    </xf>
    <xf numFmtId="49" fontId="104" fillId="0" borderId="0" xfId="0" applyFont="1" applyNumberFormat="1">
      <alignment horizontal="center" vertical="center" wrapText="1"/>
    </xf>
    <xf numFmtId="49" fontId="23" fillId="0" borderId="0" xfId="0" applyFont="1" applyNumberFormat="1">
      <alignment horizontal="center" vertical="center" wrapText="1"/>
    </xf>
    <xf numFmtId="0" fontId="23" fillId="0" borderId="0" xfId="0" applyFont="1" applyNumberFormat="1">
      <alignment horizontal="center" vertical="center" wrapText="1"/>
    </xf>
    <xf numFmtId="0" fontId="23" fillId="51" borderId="16" xfId="0" applyFont="1" applyFill="1" applyBorder="1" applyNumberFormat="1">
      <alignment horizontal="center" vertical="center" wrapText="1"/>
    </xf>
    <xf numFmtId="0" fontId="23" fillId="51" borderId="17" xfId="0" applyFont="1" applyFill="1" applyBorder="1" applyNumberFormat="1">
      <alignment horizontal="center" vertical="center" wrapText="1"/>
    </xf>
    <xf numFmtId="0" fontId="23" fillId="51" borderId="15" xfId="0" applyFont="1" applyFill="1" applyBorder="1" applyNumberFormat="1">
      <alignment horizontal="center" vertical="center" wrapText="1"/>
    </xf>
    <xf numFmtId="49" fontId="54" fillId="49" borderId="16" xfId="0" applyFont="1" applyFill="1" applyBorder="1" applyNumberFormat="1">
      <alignment horizontal="center" vertical="center" wrapText="1"/>
    </xf>
    <xf numFmtId="49" fontId="54" fillId="49" borderId="17" xfId="0" applyFont="1" applyFill="1" applyBorder="1" applyNumberFormat="1">
      <alignment horizontal="center" vertical="center" wrapText="1"/>
    </xf>
    <xf numFmtId="49" fontId="54" fillId="49" borderId="15" xfId="0" applyFont="1" applyFill="1" applyBorder="1" applyNumberFormat="1">
      <alignment horizontal="center" vertical="center" wrapText="1"/>
    </xf>
    <xf numFmtId="49" fontId="54" fillId="52" borderId="16" xfId="0" applyFont="1" applyFill="1" applyBorder="1" applyNumberFormat="1">
      <alignment horizontal="center" vertical="center" wrapText="1"/>
    </xf>
    <xf numFmtId="49" fontId="54" fillId="52" borderId="17" xfId="0" applyFont="1" applyFill="1" applyBorder="1" applyNumberFormat="1">
      <alignment horizontal="center" vertical="center" wrapText="1"/>
    </xf>
    <xf numFmtId="49" fontId="54" fillId="52" borderId="15" xfId="0" applyFont="1" applyFill="1" applyBorder="1" applyNumberFormat="1">
      <alignment horizontal="center" vertical="center" wrapText="1"/>
    </xf>
    <xf numFmtId="49" fontId="23" fillId="53" borderId="16" xfId="0" applyFont="1" applyFill="1" applyBorder="1" applyNumberFormat="1">
      <alignment horizontal="center" vertical="center" wrapText="1"/>
    </xf>
    <xf numFmtId="49" fontId="23" fillId="53" borderId="17" xfId="0" applyFont="1" applyFill="1" applyBorder="1" applyNumberFormat="1">
      <alignment horizontal="center" vertical="center" wrapText="1"/>
    </xf>
    <xf numFmtId="49" fontId="23" fillId="34" borderId="21" xfId="0" applyFont="1" applyFill="1" applyBorder="1" applyNumberFormat="1">
      <alignment horizontal="center" vertical="center" wrapText="1"/>
    </xf>
    <xf numFmtId="49" fontId="23" fillId="34" borderId="0" xfId="0" applyFont="1" applyFill="1" applyNumberFormat="1">
      <alignment horizontal="center" vertical="center" wrapText="1"/>
    </xf>
    <xf numFmtId="49" fontId="23" fillId="0" borderId="16" xfId="0" applyFont="1" applyBorder="1" applyNumberFormat="1">
      <alignment horizontal="center" vertical="center" wrapText="1"/>
    </xf>
    <xf numFmtId="49" fontId="23" fillId="0" borderId="17" xfId="0" applyFont="1" applyBorder="1" applyNumberFormat="1">
      <alignment horizontal="center" vertical="center" wrapText="1"/>
    </xf>
    <xf numFmtId="49" fontId="23" fillId="0" borderId="15" xfId="0" applyFont="1" applyBorder="1" applyNumberFormat="1">
      <alignment horizontal="center" vertical="center" wrapText="1"/>
    </xf>
    <xf numFmtId="49" fontId="53" fillId="37" borderId="0" xfId="0" applyFont="1" applyFill="1" applyNumberFormat="1">
      <alignment vertical="center" wrapText="1"/>
    </xf>
    <xf numFmtId="49" fontId="23" fillId="37" borderId="14" xfId="0" applyFont="1" applyFill="1" applyBorder="1" applyNumberFormat="1">
      <alignment horizontal="center" vertical="center" wrapText="1"/>
    </xf>
    <xf numFmtId="49" fontId="23" fillId="34" borderId="14" xfId="0" applyFont="1" applyFill="1" applyBorder="1" applyNumberFormat="1">
      <alignment horizontal="center" vertical="center" wrapText="1"/>
    </xf>
    <xf numFmtId="0" fontId="23" fillId="34" borderId="14" xfId="0" applyFont="1" applyFill="1" applyBorder="1" applyNumberFormat="1">
      <alignment horizontal="center" vertical="center" wrapText="1"/>
    </xf>
    <xf numFmtId="0" fontId="23" fillId="34" borderId="16" xfId="0" applyFont="1" applyFill="1" applyBorder="1" applyNumberFormat="1">
      <alignment horizontal="center" vertical="center" wrapText="1"/>
    </xf>
    <xf numFmtId="0" fontId="23" fillId="37" borderId="16" xfId="0" applyFont="1" applyFill="1" applyBorder="1" applyNumberFormat="1">
      <alignment horizontal="center" vertical="center" wrapText="1"/>
    </xf>
    <xf numFmtId="0" fontId="23" fillId="37" borderId="17" xfId="0" applyFont="1" applyFill="1" applyBorder="1" applyNumberFormat="1">
      <alignment horizontal="center" vertical="center" wrapText="1"/>
    </xf>
    <xf numFmtId="0" fontId="23" fillId="37" borderId="15" xfId="0" applyFont="1" applyFill="1" applyBorder="1" applyNumberFormat="1">
      <alignment horizontal="center" vertical="center" wrapText="1"/>
    </xf>
    <xf numFmtId="0" fontId="23" fillId="34" borderId="15" xfId="0" applyFont="1" applyFill="1" applyBorder="1" applyNumberFormat="1">
      <alignment horizontal="center" vertical="center" wrapText="1"/>
    </xf>
    <xf numFmtId="49" fontId="23" fillId="0" borderId="0" xfId="0" applyFont="1" applyNumberFormat="1">
      <alignment vertical="center" wrapText="1"/>
    </xf>
    <xf numFmtId="49" fontId="53" fillId="0" borderId="0" xfId="0" applyFont="1" applyNumberFormat="1">
      <alignment vertical="top"/>
    </xf>
    <xf numFmtId="0" fontId="23" fillId="37" borderId="22" xfId="0" applyFont="1" applyFill="1" applyBorder="1" applyNumberFormat="1">
      <alignment horizontal="center" vertical="center" wrapText="1"/>
    </xf>
    <xf numFmtId="0" fontId="23" fillId="37" borderId="31" xfId="0" applyFont="1" applyFill="1" applyBorder="1" applyNumberFormat="1">
      <alignment horizontal="center" vertical="center" wrapText="1"/>
    </xf>
    <xf numFmtId="0" fontId="23" fillId="37" borderId="14" xfId="0" applyFont="1" applyFill="1" applyBorder="1" applyNumberFormat="1">
      <alignment horizontal="center" vertical="center" wrapText="1"/>
    </xf>
    <xf numFmtId="49" fontId="23" fillId="34" borderId="29" xfId="0" applyFont="1" applyFill="1" applyBorder="1" applyNumberFormat="1">
      <alignment horizontal="center" vertical="center" wrapText="1"/>
    </xf>
    <xf numFmtId="49" fontId="53" fillId="37" borderId="0" xfId="0" applyFont="1" applyFill="1" applyNumberFormat="1">
      <alignment vertical="center"/>
    </xf>
    <xf numFmtId="49" fontId="44" fillId="0" borderId="14" xfId="0" applyFont="1" applyBorder="1" applyNumberFormat="1">
      <alignment horizontal="center" vertical="center"/>
    </xf>
    <xf numFmtId="49" fontId="44" fillId="34" borderId="14" xfId="0" applyFont="1" applyFill="1" applyBorder="1" applyNumberFormat="1">
      <alignment horizontal="center" vertical="center"/>
    </xf>
    <xf numFmtId="0" fontId="44" fillId="0" borderId="14" xfId="0" applyFont="1" applyBorder="1" applyNumberFormat="1">
      <alignment horizontal="center" vertical="center"/>
    </xf>
    <xf numFmtId="49" fontId="44" fillId="0" borderId="25" xfId="0" applyFont="1" applyBorder="1" applyNumberFormat="1">
      <alignment horizontal="center" vertical="center"/>
    </xf>
    <xf numFmtId="49" fontId="23" fillId="0" borderId="0" xfId="0" applyFont="1" applyNumberFormat="1">
      <alignment vertical="center"/>
    </xf>
    <xf numFmtId="49" fontId="104" fillId="0" borderId="0" xfId="0" applyFont="1" applyNumberFormat="1">
      <alignment vertical="center"/>
    </xf>
    <xf numFmtId="49" fontId="54" fillId="0" borderId="19" xfId="0" applyFont="1" applyBorder="1" applyNumberFormat="1">
      <alignment horizontal="center" vertical="center"/>
    </xf>
    <xf numFmtId="49" fontId="23" fillId="0" borderId="19" xfId="0" applyFont="1" applyBorder="1" applyNumberFormat="1">
      <alignment horizontal="center" vertical="center"/>
    </xf>
    <xf numFmtId="0" fontId="23" fillId="0" borderId="19" xfId="0" applyFont="1" applyBorder="1" applyNumberFormat="1">
      <alignment horizontal="right" vertical="center"/>
    </xf>
    <xf numFmtId="0" fontId="23" fillId="0" borderId="19" xfId="0" applyFont="1" applyBorder="1" applyNumberFormat="1">
      <alignment horizontal="center" vertical="center"/>
    </xf>
    <xf numFmtId="0" fontId="23" fillId="0" borderId="14" xfId="0" applyFont="1" applyBorder="1" applyNumberFormat="1">
      <alignment horizontal="right" vertical="center"/>
    </xf>
    <xf numFmtId="49" fontId="23" fillId="0" borderId="0" xfId="0" applyFont="1" applyNumberFormat="1">
      <alignment vertical="center"/>
    </xf>
    <xf numFmtId="49" fontId="53" fillId="0" borderId="0" xfId="0" applyFont="1" applyNumberFormat="1">
      <alignment vertical="top"/>
    </xf>
    <xf numFmtId="4" fontId="53" fillId="37" borderId="0" xfId="0" applyFont="1" applyFill="1" applyNumberFormat="1">
      <alignment vertical="center"/>
    </xf>
    <xf numFmtId="49" fontId="53" fillId="0" borderId="0" xfId="0" applyFont="1" applyNumberFormat="1">
      <alignment vertical="center" wrapText="1"/>
    </xf>
    <xf numFmtId="49" fontId="53" fillId="0" borderId="0" xfId="0" applyFont="1" applyNumberFormat="1">
      <alignment vertical="top"/>
    </xf>
    <xf numFmtId="0" fontId="53" fillId="0" borderId="0" xfId="0" applyFont="1" applyNumberFormat="1">
      <alignment vertical="center" wrapText="1"/>
    </xf>
    <xf numFmtId="49" fontId="99" fillId="0" borderId="0" xfId="0" applyFont="1" applyNumberFormat="1">
      <alignment vertical="center" wrapText="1"/>
    </xf>
    <xf numFmtId="49" fontId="53" fillId="0" borderId="0" xfId="0" applyFont="1" applyNumberFormat="1">
      <alignment vertical="center" wrapText="1"/>
    </xf>
    <xf numFmtId="49" fontId="104" fillId="0" borderId="0" xfId="0" applyFont="1" applyNumberFormat="1">
      <alignment vertical="center" wrapText="1"/>
    </xf>
    <xf numFmtId="0" fontId="44" fillId="0" borderId="0" xfId="0" applyFont="1" applyNumberFormat="1">
      <alignment horizontal="center" vertical="center" wrapText="1"/>
    </xf>
    <xf numFmtId="0" fontId="23" fillId="0" borderId="14" xfId="0" applyFont="1" applyBorder="1" applyNumberFormat="1">
      <alignment horizontal="center" vertical="center" wrapText="1"/>
    </xf>
    <xf numFmtId="0" fontId="23" fillId="38" borderId="16" xfId="0" applyFont="1" applyFill="1" applyBorder="1" applyNumberFormat="1">
      <alignment horizontal="left" vertical="top" wrapText="1" indent="1"/>
    </xf>
    <xf numFmtId="0" fontId="23" fillId="0" borderId="16" xfId="0" applyFont="1" applyBorder="1" applyNumberFormat="1">
      <alignment horizontal="center" vertical="center" wrapText="1"/>
    </xf>
    <xf numFmtId="0" fontId="23" fillId="0" borderId="14" xfId="0" applyFont="1" applyBorder="1" applyNumberFormat="1">
      <alignment horizontal="left" vertical="top" wrapText="1"/>
    </xf>
    <xf numFmtId="3" fontId="23" fillId="42" borderId="16" xfId="0" applyFont="1" applyFill="1" applyBorder="1" applyNumberFormat="1">
      <alignment vertical="center" wrapText="1"/>
      <protection locked="0"/>
    </xf>
    <xf numFmtId="0" fontId="23" fillId="0" borderId="14" xfId="0" applyFont="1" applyBorder="1" applyNumberFormat="1">
      <alignment vertical="top" wrapText="1"/>
    </xf>
    <xf numFmtId="0" fontId="23" fillId="0" borderId="14" xfId="0" applyFont="1" applyBorder="1" applyNumberFormat="1">
      <alignment horizontal="left" vertical="top" wrapText="1"/>
    </xf>
    <xf numFmtId="4" fontId="23" fillId="38" borderId="16" xfId="0" applyFont="1" applyFill="1" applyBorder="1" applyNumberFormat="1">
      <alignment horizontal="right" vertical="center" wrapText="1"/>
    </xf>
    <xf numFmtId="0" fontId="54" fillId="0" borderId="14" xfId="0" applyFont="1" applyBorder="1" applyNumberFormat="1">
      <alignment vertical="top" wrapText="1"/>
    </xf>
    <xf numFmtId="49" fontId="23" fillId="42" borderId="14" xfId="0" applyFont="1" applyFill="1" applyBorder="1" applyNumberFormat="1">
      <alignment horizontal="left" vertical="center" wrapText="1" indent="1"/>
      <protection locked="0"/>
    </xf>
    <xf numFmtId="0" fontId="23" fillId="0" borderId="0" xfId="0" applyFont="1" applyNumberFormat="1">
      <alignment horizontal="left" vertical="center" wrapText="1" indent="2"/>
    </xf>
    <xf numFmtId="0" fontId="47" fillId="37" borderId="0" xfId="0" applyFont="1" applyFill="1" applyNumberFormat="1">
      <alignment vertical="center" wrapText="1"/>
    </xf>
    <xf numFmtId="0" fontId="23" fillId="37" borderId="0" xfId="0" applyFont="1" applyFill="1" applyNumberFormat="1">
      <alignment vertical="center" wrapText="1"/>
    </xf>
    <xf numFmtId="0" fontId="23" fillId="37" borderId="0" xfId="0" applyFont="1" applyFill="1" applyNumberFormat="1">
      <alignment horizontal="right" vertical="center" wrapText="1"/>
    </xf>
    <xf numFmtId="0" fontId="23" fillId="0" borderId="22" xfId="0" applyFont="1" applyBorder="1" applyNumberFormat="1">
      <alignment horizontal="left" vertical="top" wrapText="1" indent="1"/>
    </xf>
    <xf numFmtId="0" fontId="23" fillId="0" borderId="19" xfId="0" applyFont="1" applyBorder="1" applyNumberFormat="1">
      <alignment horizontal="left" vertical="top" wrapText="1" indent="1"/>
    </xf>
    <xf numFmtId="0" fontId="23" fillId="0" borderId="39" xfId="0" applyFont="1" applyBorder="1" applyNumberFormat="1">
      <alignment horizontal="left" vertical="top" wrapText="1" indent="1"/>
    </xf>
    <xf numFmtId="49" fontId="23" fillId="0" borderId="0" xfId="0" applyFont="1" applyNumberFormat="1">
      <alignment vertical="center" wrapText="1"/>
    </xf>
    <xf numFmtId="0" fontId="23" fillId="0" borderId="31" xfId="0" applyFont="1" applyBorder="1" applyNumberFormat="1">
      <alignment horizontal="left" vertical="center" wrapText="1" indent="1"/>
    </xf>
    <xf numFmtId="0" fontId="23" fillId="0" borderId="25" xfId="0" applyFont="1" applyBorder="1" applyNumberFormat="1">
      <alignment horizontal="left" vertical="center" wrapText="1" indent="1"/>
    </xf>
    <xf numFmtId="0" fontId="23" fillId="0" borderId="32" xfId="0" applyFont="1" applyBorder="1" applyNumberFormat="1">
      <alignment horizontal="left" vertical="center" wrapText="1" indent="1"/>
    </xf>
    <xf numFmtId="0" fontId="23" fillId="37" borderId="0" xfId="0" applyFont="1" applyFill="1" applyNumberFormat="1">
      <alignment horizontal="center" vertical="center" wrapText="1"/>
    </xf>
    <xf numFmtId="0" fontId="23" fillId="37" borderId="0" xfId="0" applyFont="1" applyFill="1" applyNumberFormat="1">
      <alignment horizontal="right" vertical="center"/>
    </xf>
    <xf numFmtId="49" fontId="23" fillId="0" borderId="0" xfId="0" applyFont="1" applyNumberFormat="1">
      <alignment vertical="center" wrapText="1"/>
    </xf>
    <xf numFmtId="0" fontId="23" fillId="37" borderId="0" xfId="0" applyFont="1" applyFill="1" applyNumberFormat="1">
      <alignment horizontal="center" vertical="center" wrapText="1"/>
    </xf>
    <xf numFmtId="0" fontId="23" fillId="37" borderId="14" xfId="0" applyFont="1" applyFill="1" applyBorder="1" applyNumberFormat="1">
      <alignment horizontal="center" vertical="center"/>
    </xf>
    <xf numFmtId="0" fontId="23" fillId="37" borderId="14" xfId="0" applyFont="1" applyFill="1" applyBorder="1" applyNumberFormat="1">
      <alignment horizontal="center" vertical="center" wrapText="1"/>
    </xf>
    <xf numFmtId="0" fontId="0" fillId="0" borderId="14" xfId="0" applyFont="1" applyBorder="1" applyNumberFormat="1">
      <alignment horizontal="center" vertical="center" wrapText="1"/>
    </xf>
    <xf numFmtId="49" fontId="44" fillId="37" borderId="0" xfId="0" applyFont="1" applyFill="1" applyNumberFormat="1">
      <alignment horizontal="center" vertical="center" wrapText="1"/>
    </xf>
    <xf numFmtId="49" fontId="23" fillId="0" borderId="0" xfId="0" applyFont="1" applyNumberFormat="1">
      <alignment vertical="top"/>
    </xf>
    <xf numFmtId="49" fontId="0" fillId="37" borderId="14" xfId="0" applyFont="1" applyFill="1" applyBorder="1" applyNumberFormat="1">
      <alignment horizontal="center" vertical="center" wrapText="1"/>
    </xf>
    <xf numFmtId="0" fontId="0" fillId="0" borderId="14" xfId="0" applyFont="1" applyBorder="1" applyNumberFormat="1">
      <alignment vertical="center" wrapText="1"/>
    </xf>
    <xf numFmtId="0" fontId="0" fillId="0" borderId="14" xfId="0" applyFont="1" applyBorder="1" applyNumberFormat="1">
      <alignment horizontal="center" vertical="center" wrapText="1"/>
    </xf>
    <xf numFmtId="0" fontId="23" fillId="0" borderId="14" xfId="0" applyFont="1" applyBorder="1" applyNumberFormat="1">
      <alignment vertical="center" wrapText="1"/>
    </xf>
    <xf numFmtId="0" fontId="0" fillId="0" borderId="14" xfId="0" applyFont="1" applyBorder="1" applyNumberFormat="1">
      <alignment horizontal="left" vertical="center" wrapText="1" indent="1"/>
    </xf>
    <xf numFmtId="0" fontId="0" fillId="42" borderId="14" xfId="0" applyFont="1" applyFill="1" applyBorder="1" applyNumberFormat="1">
      <alignment horizontal="left" vertical="center" wrapText="1" indent="2"/>
      <protection locked="0"/>
    </xf>
    <xf numFmtId="49" fontId="34" fillId="42" borderId="14" xfId="0" applyFont="1" applyFill="1" applyBorder="1" applyNumberFormat="1">
      <alignment horizontal="left" vertical="center" wrapText="1"/>
      <protection locked="0"/>
    </xf>
    <xf numFmtId="0" fontId="23" fillId="40" borderId="16" xfId="0" applyFont="1" applyFill="1" applyBorder="1" applyNumberFormat="1">
      <alignment vertical="center" wrapText="1"/>
    </xf>
    <xf numFmtId="49" fontId="48" fillId="40" borderId="17" xfId="0" applyFont="1" applyFill="1" applyBorder="1" applyNumberFormat="1">
      <alignment horizontal="left" vertical="center" indent="2"/>
    </xf>
    <xf numFmtId="49" fontId="52" fillId="40" borderId="15" xfId="0" applyFont="1" applyFill="1" applyBorder="1" applyNumberFormat="1">
      <alignment horizontal="center" vertical="top"/>
    </xf>
    <xf numFmtId="0" fontId="23" fillId="0" borderId="0" xfId="0" applyFont="1" applyNumberFormat="1">
      <alignment vertical="center" wrapText="1"/>
    </xf>
    <xf numFmtId="49" fontId="23" fillId="0" borderId="0" xfId="0" applyFont="1" applyNumberFormat="1">
      <alignment vertical="top"/>
    </xf>
    <xf numFmtId="0" fontId="54" fillId="0" borderId="0" xfId="0" applyFont="1" applyNumberFormat="1">
      <alignment vertical="center" wrapText="1"/>
    </xf>
    <xf numFmtId="0" fontId="47" fillId="37" borderId="0" xfId="0" applyFont="1" applyFill="1" applyNumberFormat="1">
      <alignment vertical="center" wrapText="1"/>
    </xf>
    <xf numFmtId="49" fontId="52" fillId="40" borderId="17" xfId="0" applyFont="1" applyFill="1" applyBorder="1" applyNumberFormat="1">
      <alignment horizontal="center" vertical="top"/>
    </xf>
    <xf numFmtId="0" fontId="55" fillId="0" borderId="0" xfId="0" applyFont="1" applyNumberFormat="1">
      <alignment vertical="center"/>
    </xf>
    <xf numFmtId="49" fontId="0" fillId="37" borderId="14" xfId="0" applyFont="1" applyFill="1" applyBorder="1" applyNumberFormat="1">
      <alignment horizontal="center" vertical="center" wrapText="1"/>
    </xf>
    <xf numFmtId="0" fontId="0" fillId="0" borderId="14" xfId="0" applyFont="1" applyBorder="1" applyNumberFormat="1">
      <alignment horizontal="left" vertical="center" wrapText="1" indent="1"/>
    </xf>
    <xf numFmtId="0" fontId="0" fillId="37" borderId="14" xfId="0" applyFont="1" applyFill="1" applyBorder="1" applyNumberFormat="1">
      <alignment horizontal="center" vertical="center" wrapText="1"/>
    </xf>
    <xf numFmtId="0" fontId="0" fillId="0" borderId="14" xfId="0" applyFont="1" applyBorder="1" applyNumberFormat="1">
      <alignment horizontal="left" vertical="center" wrapText="1" indent="1"/>
    </xf>
    <xf numFmtId="49" fontId="72" fillId="0" borderId="14" xfId="0" applyFont="1" applyBorder="1" applyNumberFormat="1">
      <alignment horizontal="center" vertical="center" wrapText="1"/>
    </xf>
    <xf numFmtId="0" fontId="72" fillId="0" borderId="14" xfId="0" applyFont="1" applyBorder="1" applyNumberFormat="1">
      <alignment horizontal="left" vertical="center" wrapText="1" indent="2"/>
    </xf>
    <xf numFmtId="49" fontId="75" fillId="0" borderId="16" xfId="0" applyFont="1" applyBorder="1" applyNumberFormat="1">
      <alignment horizontal="left" vertical="center" wrapText="1"/>
    </xf>
    <xf numFmtId="0" fontId="23" fillId="0" borderId="19" xfId="0" applyFont="1" applyBorder="1" applyNumberFormat="1">
      <alignment vertical="top" wrapText="1"/>
    </xf>
    <xf numFmtId="49" fontId="48" fillId="40" borderId="17" xfId="0" applyFont="1" applyFill="1" applyBorder="1" applyNumberFormat="1">
      <alignment horizontal="left" vertical="center" indent="1"/>
    </xf>
    <xf numFmtId="0" fontId="23" fillId="0" borderId="25" xfId="0" applyFont="1" applyBorder="1" applyNumberFormat="1">
      <alignment vertical="top" wrapText="1"/>
    </xf>
    <xf numFmtId="49" fontId="0" fillId="37" borderId="14" xfId="0" applyFont="1" applyFill="1" applyBorder="1" applyNumberFormat="1">
      <alignment horizontal="center" vertical="center" wrapText="1"/>
    </xf>
    <xf numFmtId="0" fontId="0" fillId="0" borderId="14" xfId="0" applyFont="1" applyBorder="1" applyNumberFormat="1">
      <alignment horizontal="center" vertical="center" wrapText="1"/>
    </xf>
    <xf numFmtId="0" fontId="23" fillId="0" borderId="14" xfId="0" applyFont="1" applyBorder="1" applyNumberFormat="1">
      <alignment vertical="center" wrapText="1"/>
    </xf>
    <xf numFmtId="0" fontId="0" fillId="0" borderId="14" xfId="0" applyFont="1" applyBorder="1" applyNumberFormat="1">
      <alignment horizontal="left" vertical="center" wrapText="1" indent="1"/>
    </xf>
    <xf numFmtId="0" fontId="23" fillId="0" borderId="0" xfId="0" applyFont="1" applyNumberFormat="1">
      <alignment vertical="top" wrapText="1"/>
    </xf>
    <xf numFmtId="49" fontId="23" fillId="0" borderId="0" xfId="0" applyFont="1" applyNumberFormat="1">
      <alignment vertical="center" wrapText="1"/>
    </xf>
    <xf numFmtId="0" fontId="47" fillId="0" borderId="0" xfId="0" applyFont="1" applyNumberFormat="1">
      <alignment vertical="center" wrapText="1"/>
    </xf>
    <xf numFmtId="49" fontId="54" fillId="0" borderId="0" xfId="0" applyFont="1" applyNumberFormat="1">
      <alignment vertical="top"/>
    </xf>
    <xf numFmtId="49" fontId="126" fillId="0" borderId="0" xfId="0" applyFont="1" applyNumberFormat="1">
      <alignment horizontal="center" vertical="center" wrapText="1"/>
    </xf>
    <xf numFmtId="0" fontId="0" fillId="42" borderId="14" xfId="0" applyFont="1" applyFill="1" applyBorder="1" applyNumberFormat="1">
      <alignment horizontal="left" vertical="center" wrapText="1" indent="1"/>
      <protection locked="0"/>
    </xf>
    <xf numFmtId="49" fontId="34" fillId="42" borderId="14" xfId="0" applyFont="1" applyFill="1" applyBorder="1" applyNumberFormat="1">
      <alignment horizontal="left" vertical="center" wrapText="1"/>
      <protection locked="0"/>
    </xf>
    <xf numFmtId="0" fontId="0" fillId="0" borderId="14" xfId="0" applyFont="1" applyBorder="1" applyNumberFormat="1">
      <alignment horizontal="left" vertical="center" wrapText="1" indent="1"/>
    </xf>
    <xf numFmtId="0" fontId="0" fillId="42" borderId="14" xfId="0" applyFont="1" applyFill="1" applyBorder="1" applyNumberFormat="1">
      <alignment horizontal="left" vertical="center" wrapText="1"/>
      <protection locked="0"/>
    </xf>
    <xf numFmtId="0" fontId="0" fillId="0" borderId="14" xfId="0" applyFont="1" applyBorder="1" applyNumberFormat="1">
      <alignment horizontal="left" vertical="center" wrapText="1" indent="2"/>
    </xf>
    <xf numFmtId="49" fontId="23" fillId="43" borderId="14" xfId="0" applyFont="1" applyFill="1" applyBorder="1" applyNumberFormat="1">
      <alignment horizontal="left" vertical="center" wrapText="1"/>
    </xf>
    <xf numFmtId="0" fontId="0" fillId="0" borderId="14" xfId="0" applyFont="1" applyBorder="1" applyNumberFormat="1">
      <alignment horizontal="left" vertical="center" wrapText="1"/>
    </xf>
    <xf numFmtId="167" fontId="0" fillId="42" borderId="14" xfId="0" applyFont="1" applyFill="1" applyBorder="1" applyNumberFormat="1">
      <alignment horizontal="left" vertical="center" wrapText="1"/>
      <protection locked="0"/>
    </xf>
    <xf numFmtId="0" fontId="23" fillId="0" borderId="14" xfId="0" applyFont="1" applyBorder="1" applyNumberFormat="1">
      <alignment horizontal="left" vertical="top" wrapText="1"/>
    </xf>
    <xf numFmtId="0" fontId="0" fillId="0" borderId="14" xfId="0" applyFont="1" applyBorder="1" applyNumberFormat="1">
      <alignment horizontal="left" vertical="center" wrapText="1"/>
    </xf>
    <xf numFmtId="0" fontId="23" fillId="0" borderId="14" xfId="0" applyFont="1" applyBorder="1" applyNumberFormat="1">
      <alignment horizontal="left" vertical="center" wrapText="1"/>
    </xf>
    <xf numFmtId="0" fontId="0" fillId="0" borderId="14" xfId="0" applyFont="1" applyBorder="1" applyNumberFormat="1">
      <alignment horizontal="left" vertical="center" wrapText="1"/>
    </xf>
    <xf numFmtId="0" fontId="23" fillId="0" borderId="14" xfId="0" applyFont="1" applyBorder="1" applyNumberFormat="1">
      <alignment vertical="top" wrapText="1"/>
    </xf>
    <xf numFmtId="49" fontId="48" fillId="40" borderId="17" xfId="0" applyFont="1" applyFill="1" applyBorder="1" applyNumberFormat="1">
      <alignment horizontal="left" vertical="center" indent="2"/>
    </xf>
    <xf numFmtId="49" fontId="48" fillId="40" borderId="17" xfId="0" applyFont="1" applyFill="1" applyBorder="1" applyNumberFormat="1">
      <alignment horizontal="left" vertical="center" indent="3"/>
    </xf>
    <xf numFmtId="49" fontId="23" fillId="43" borderId="14" xfId="0" applyFont="1" applyFill="1" applyBorder="1" applyNumberFormat="1">
      <alignment horizontal="left" vertical="center" wrapText="1"/>
    </xf>
    <xf numFmtId="49" fontId="23" fillId="0" borderId="0" xfId="0" applyFont="1" applyNumberFormat="1">
      <alignment vertical="top"/>
    </xf>
    <xf numFmtId="49" fontId="55" fillId="0" borderId="0" xfId="0" applyFont="1" applyNumberFormat="1">
      <alignment vertical="top"/>
    </xf>
    <xf numFmtId="0" fontId="23" fillId="0" borderId="0" xfId="0" applyFont="1" applyNumberFormat="1">
      <alignment horizontal="right" vertical="top" wrapText="1"/>
    </xf>
    <xf numFmtId="49" fontId="23" fillId="0" borderId="0" xfId="0" applyFont="1" applyNumberFormat="1">
      <alignment vertical="top" wrapText="1"/>
    </xf>
    <xf numFmtId="49" fontId="23" fillId="0" borderId="0" xfId="0" applyFont="1" applyNumberFormat="1">
      <alignment vertical="top"/>
    </xf>
    <xf numFmtId="0" fontId="0" fillId="0" borderId="15" xfId="0" applyFont="1" applyBorder="1" applyNumberFormat="1">
      <alignment horizontal="center" vertical="center" wrapText="1"/>
    </xf>
    <xf numFmtId="167" fontId="0" fillId="42" borderId="15" xfId="0" applyFont="1" applyFill="1" applyBorder="1" applyNumberFormat="1">
      <alignment horizontal="left" vertical="center" wrapText="1"/>
      <protection locked="0"/>
    </xf>
    <xf numFmtId="167" fontId="0" fillId="42" borderId="16" xfId="0" applyFont="1" applyFill="1" applyBorder="1" applyNumberFormat="1">
      <alignment horizontal="left" vertical="center" wrapText="1"/>
      <protection locked="0"/>
    </xf>
    <xf numFmtId="0" fontId="23" fillId="43" borderId="14" xfId="0" applyFont="1" applyFill="1" applyBorder="1" applyNumberFormat="1">
      <alignment horizontal="left" vertical="center" wrapText="1"/>
    </xf>
    <xf numFmtId="0" fontId="0" fillId="0" borderId="38" xfId="0" applyFont="1" applyBorder="1" applyNumberFormat="1">
      <alignment horizontal="center" vertical="center" wrapText="1"/>
    </xf>
    <xf numFmtId="49" fontId="52" fillId="40" borderId="15" xfId="0" applyFont="1" applyFill="1" applyBorder="1" applyNumberFormat="1">
      <alignment horizontal="center" vertical="top"/>
    </xf>
    <xf numFmtId="0" fontId="0" fillId="0" borderId="15" xfId="0" applyFont="1" applyBorder="1" applyNumberFormat="1">
      <alignment horizontal="center" vertical="center" wrapText="1"/>
    </xf>
    <xf numFmtId="0" fontId="23" fillId="0" borderId="0" xfId="0" applyFont="1" applyNumberFormat="1">
      <alignment horizontal="left" vertical="center" wrapText="1" indent="1"/>
    </xf>
    <xf numFmtId="0" fontId="0" fillId="0" borderId="14" xfId="0" applyFont="1" applyBorder="1" applyNumberFormat="1">
      <alignment horizontal="center" vertical="center" wrapText="1"/>
    </xf>
    <xf numFmtId="0" fontId="23" fillId="0" borderId="17" xfId="0" applyFont="1" applyBorder="1" applyNumberFormat="1">
      <alignment horizontal="left" vertical="top" wrapText="1" indent="1"/>
    </xf>
    <xf numFmtId="0" fontId="22" fillId="0" borderId="0" xfId="0" applyFont="1" applyNumberFormat="1">
      <alignment vertical="center" wrapText="1"/>
    </xf>
    <xf numFmtId="0" fontId="0" fillId="37" borderId="16" xfId="0" applyFont="1" applyFill="1" applyBorder="1" applyNumberFormat="1">
      <alignment horizontal="right" vertical="center" wrapText="1" indent="1"/>
    </xf>
    <xf numFmtId="0" fontId="76" fillId="0" borderId="0" xfId="0" applyFont="1" applyNumberFormat="1">
      <alignment vertical="center" wrapText="1"/>
    </xf>
    <xf numFmtId="49" fontId="44" fillId="37" borderId="0" xfId="0" applyFont="1" applyFill="1" applyNumberFormat="1">
      <alignment horizontal="center" vertical="center" wrapText="1"/>
    </xf>
    <xf numFmtId="49" fontId="44" fillId="37" borderId="21" xfId="0" applyFont="1" applyFill="1" applyBorder="1" applyNumberFormat="1">
      <alignment horizontal="center" vertical="center" wrapText="1"/>
    </xf>
    <xf numFmtId="49" fontId="0" fillId="37" borderId="19" xfId="0" applyFont="1" applyFill="1" applyBorder="1" applyNumberFormat="1">
      <alignment horizontal="center" vertical="center" wrapText="1"/>
    </xf>
    <xf numFmtId="0" fontId="0" fillId="0" borderId="19" xfId="0" applyFont="1" applyBorder="1" applyNumberFormat="1">
      <alignment horizontal="left" vertical="center" wrapText="1"/>
    </xf>
    <xf numFmtId="0" fontId="0" fillId="0" borderId="19" xfId="0" applyFont="1" applyBorder="1" applyNumberFormat="1">
      <alignment horizontal="left" vertical="center" wrapText="1"/>
    </xf>
    <xf numFmtId="0" fontId="23" fillId="0" borderId="14" xfId="0" applyFont="1" applyBorder="1" applyNumberFormat="1">
      <alignment horizontal="left" vertical="center" wrapText="1"/>
    </xf>
    <xf numFmtId="0" fontId="47" fillId="37" borderId="0" xfId="0" applyFont="1" applyFill="1" applyNumberFormat="1">
      <alignment horizontal="center" vertical="top" wrapText="1"/>
    </xf>
    <xf numFmtId="0" fontId="0" fillId="38" borderId="16" xfId="0" applyFont="1" applyFill="1" applyBorder="1" applyNumberFormat="1">
      <alignment horizontal="left" vertical="center" wrapText="1" indent="1"/>
    </xf>
    <xf numFmtId="0" fontId="0" fillId="0" borderId="15" xfId="0" applyFont="1" applyBorder="1" applyNumberFormat="1">
      <alignment horizontal="center" vertical="center" wrapText="1"/>
    </xf>
    <xf numFmtId="0" fontId="0" fillId="0" borderId="15" xfId="0" applyFont="1" applyBorder="1" applyNumberFormat="1">
      <alignment horizontal="center" vertical="center" wrapText="1"/>
    </xf>
    <xf numFmtId="49" fontId="48" fillId="40" borderId="29" xfId="0" applyFont="1" applyFill="1" applyBorder="1" applyNumberFormat="1">
      <alignment horizontal="left" vertical="center" indent="2"/>
    </xf>
    <xf numFmtId="49" fontId="48" fillId="40" borderId="17" xfId="0" applyFont="1" applyFill="1" applyBorder="1" applyNumberFormat="1">
      <alignment horizontal="left" vertical="center"/>
    </xf>
    <xf numFmtId="0" fontId="47" fillId="37" borderId="26" xfId="0" applyFont="1" applyFill="1" applyBorder="1" applyNumberFormat="1">
      <alignment horizontal="center" vertical="top" wrapText="1"/>
    </xf>
    <xf numFmtId="49" fontId="0" fillId="37" borderId="25" xfId="0" applyFont="1" applyFill="1" applyBorder="1" applyNumberFormat="1">
      <alignment horizontal="center" vertical="center" wrapText="1"/>
    </xf>
    <xf numFmtId="0" fontId="0" fillId="38" borderId="25" xfId="0" applyFont="1" applyFill="1" applyBorder="1" applyNumberFormat="1">
      <alignment horizontal="left" vertical="center" wrapText="1" indent="1"/>
    </xf>
    <xf numFmtId="0" fontId="23" fillId="0" borderId="14" xfId="0" applyFont="1" applyBorder="1" applyNumberFormat="1">
      <alignment vertical="top" wrapText="1"/>
    </xf>
    <xf numFmtId="49" fontId="0" fillId="37" borderId="16" xfId="0" applyFont="1" applyFill="1" applyBorder="1" applyNumberFormat="1">
      <alignment horizontal="center" vertical="center" wrapText="1"/>
    </xf>
    <xf numFmtId="0" fontId="23" fillId="0" borderId="38" xfId="0" applyFont="1" applyBorder="1" applyNumberFormat="1">
      <alignment horizontal="left" vertical="top" wrapText="1"/>
    </xf>
    <xf numFmtId="49" fontId="23" fillId="0" borderId="0" xfId="0" applyFont="1" applyNumberFormat="1">
      <alignment vertical="top"/>
    </xf>
    <xf numFmtId="49" fontId="23" fillId="0" borderId="21" xfId="0" applyFont="1" applyBorder="1" applyNumberFormat="1">
      <alignment vertical="top"/>
    </xf>
    <xf numFmtId="0" fontId="22" fillId="0" borderId="0" xfId="0" applyFont="1" applyNumberFormat="1">
      <alignment horizontal="right" vertical="top" wrapText="1"/>
    </xf>
    <xf numFmtId="0" fontId="23" fillId="0" borderId="0" xfId="0" applyFont="1" applyNumberFormat="1">
      <alignment vertical="center" wrapText="1"/>
    </xf>
    <xf numFmtId="49" fontId="23" fillId="0" borderId="0" xfId="0" applyFont="1" applyNumberFormat="1">
      <alignment vertical="top"/>
    </xf>
    <xf numFmtId="49" fontId="0" fillId="42" borderId="14" xfId="0" applyFont="1" applyFill="1" applyBorder="1" applyNumberFormat="1">
      <alignment horizontal="left" vertical="center" wrapText="1" indent="1"/>
      <protection locked="0"/>
    </xf>
    <xf numFmtId="0" fontId="69" fillId="0" borderId="0" xfId="0" applyFont="1" applyNumberFormat="1">
      <alignment vertical="center" wrapText="1"/>
    </xf>
    <xf numFmtId="0" fontId="23" fillId="37" borderId="14" xfId="0" applyFont="1" applyFill="1" applyBorder="1" applyNumberFormat="1">
      <alignment horizontal="center" vertical="center" wrapText="1"/>
    </xf>
    <xf numFmtId="0" fontId="0" fillId="0" borderId="14" xfId="0" applyFont="1" applyBorder="1" applyNumberFormat="1">
      <alignment horizontal="left" vertical="top" wrapText="1"/>
    </xf>
    <xf numFmtId="0" fontId="45" fillId="37" borderId="0" xfId="0" applyFont="1" applyFill="1" applyNumberFormat="1">
      <alignment horizontal="center" vertical="center" wrapText="1"/>
    </xf>
    <xf numFmtId="0" fontId="0" fillId="0" borderId="14" xfId="0" applyFont="1" applyBorder="1" applyNumberFormat="1">
      <alignment horizontal="left" vertical="center" wrapText="1"/>
    </xf>
    <xf numFmtId="0" fontId="23" fillId="0" borderId="21" xfId="0" applyFont="1" applyBorder="1" applyNumberFormat="1">
      <alignment vertical="center" wrapText="1"/>
    </xf>
    <xf numFmtId="49" fontId="48" fillId="0" borderId="21" xfId="0" applyFont="1" applyBorder="1" applyNumberFormat="1">
      <alignment horizontal="left" vertical="center"/>
    </xf>
    <xf numFmtId="49" fontId="48" fillId="0" borderId="21" xfId="0" applyFont="1" applyBorder="1" applyNumberFormat="1">
      <alignment horizontal="left" vertical="center" indent="2"/>
    </xf>
    <xf numFmtId="49" fontId="52" fillId="0" borderId="21" xfId="0" applyFont="1" applyBorder="1" applyNumberFormat="1">
      <alignment horizontal="center" vertical="top"/>
    </xf>
    <xf numFmtId="0" fontId="23" fillId="0" borderId="21" xfId="0" applyFont="1" applyBorder="1" applyNumberFormat="1">
      <alignment horizontal="left" vertical="top" wrapText="1"/>
    </xf>
    <xf numFmtId="49" fontId="23" fillId="0" borderId="0" xfId="0" applyFont="1" applyNumberFormat="1">
      <alignment vertical="center" wrapText="1"/>
    </xf>
    <xf numFmtId="0" fontId="88" fillId="0" borderId="0" xfId="0" applyFont="1" applyNumberFormat="1">
      <alignment vertical="center" wrapText="1"/>
    </xf>
    <xf numFmtId="0" fontId="23" fillId="0" borderId="14" xfId="0" applyFont="1" applyBorder="1" applyNumberFormat="1">
      <alignment horizontal="center" vertical="center" wrapText="1"/>
    </xf>
    <xf numFmtId="0" fontId="23" fillId="0" borderId="14" xfId="0" applyFont="1" applyBorder="1" applyNumberFormat="1">
      <alignment horizontal="left" vertical="center" wrapText="1"/>
    </xf>
    <xf numFmtId="3" fontId="23" fillId="0" borderId="16" xfId="0" applyFont="1" applyBorder="1" applyNumberFormat="1">
      <alignment vertical="center" wrapText="1"/>
    </xf>
    <xf numFmtId="0" fontId="23" fillId="0" borderId="14" xfId="0" applyFont="1" applyBorder="1" applyNumberFormat="1">
      <alignment horizontal="center" vertical="center" wrapText="1"/>
    </xf>
    <xf numFmtId="0" fontId="23" fillId="0" borderId="19" xfId="0" applyFont="1" applyBorder="1" applyNumberFormat="1">
      <alignment horizontal="center" vertical="center" wrapText="1"/>
    </xf>
    <xf numFmtId="0" fontId="23" fillId="0" borderId="19" xfId="0" applyFont="1" applyBorder="1" applyNumberFormat="1">
      <alignment horizontal="center" vertical="center" wrapText="1"/>
    </xf>
    <xf numFmtId="0" fontId="23" fillId="0" borderId="14" xfId="0" applyFont="1" applyBorder="1" applyNumberFormat="1">
      <alignment horizontal="left" vertical="center" wrapText="1" indent="1"/>
    </xf>
    <xf numFmtId="49" fontId="23" fillId="0" borderId="14" xfId="0" applyFont="1" applyBorder="1" applyNumberFormat="1">
      <alignment horizontal="center" vertical="center" wrapText="1"/>
    </xf>
    <xf numFmtId="4" fontId="23" fillId="0" borderId="16" xfId="0" applyFont="1" applyBorder="1" applyNumberFormat="1">
      <alignment horizontal="right" vertical="center" wrapText="1"/>
    </xf>
    <xf numFmtId="4" fontId="23" fillId="0" borderId="32" xfId="0" applyFont="1" applyBorder="1" applyNumberFormat="1">
      <alignment horizontal="right" vertical="center" wrapText="1"/>
    </xf>
    <xf numFmtId="0" fontId="34" fillId="0" borderId="0" xfId="0" applyFont="1" applyNumberFormat="1">
      <alignment vertical="center" wrapText="1"/>
    </xf>
    <xf numFmtId="49" fontId="23" fillId="0" borderId="0" xfId="0" applyFont="1" applyNumberFormat="1">
      <alignment horizontal="center" vertical="top"/>
    </xf>
    <xf numFmtId="49" fontId="40" fillId="49" borderId="0" xfId="0" applyFont="1" applyFill="1" applyNumberFormat="1">
      <alignment horizontal="center" vertical="center"/>
    </xf>
    <xf numFmtId="49" fontId="23" fillId="0" borderId="14" xfId="0" applyFont="1" applyBorder="1" applyNumberFormat="1">
      <alignment horizontal="center" vertical="top"/>
    </xf>
    <xf numFmtId="49" fontId="54" fillId="49" borderId="0" xfId="0" applyFont="1" applyFill="1" applyNumberFormat="1">
      <alignment horizontal="center" vertical="center" wrapText="1"/>
    </xf>
    <xf numFmtId="0" fontId="0" fillId="51" borderId="14" xfId="0" applyFont="1" applyFill="1" applyBorder="1" applyNumberFormat="1">
      <alignment horizontal="center" vertical="center"/>
    </xf>
    <xf numFmtId="49" fontId="0" fillId="0" borderId="0" xfId="0" applyFont="1" applyNumberFormat="1">
      <alignment vertical="center"/>
    </xf>
    <xf numFmtId="49" fontId="54" fillId="49" borderId="14" xfId="0" applyFont="1" applyFill="1" applyBorder="1" applyNumberFormat="1">
      <alignment horizontal="center" vertical="center"/>
    </xf>
    <xf numFmtId="49" fontId="54" fillId="52" borderId="14" xfId="0" applyFont="1" applyFill="1" applyBorder="1" applyNumberFormat="1">
      <alignment horizontal="center" vertical="center"/>
    </xf>
    <xf numFmtId="49" fontId="0" fillId="53" borderId="14" xfId="0" applyFont="1" applyFill="1" applyBorder="1" applyNumberFormat="1">
      <alignment horizontal="center" vertical="center"/>
    </xf>
    <xf numFmtId="49" fontId="23" fillId="0" borderId="0" xfId="0" applyFont="1" applyNumberFormat="1">
      <alignment horizontal="center" vertical="top"/>
    </xf>
    <xf numFmtId="49" fontId="23" fillId="0" borderId="0" xfId="0" applyFont="1" applyNumberFormat="1">
      <alignment vertical="top"/>
    </xf>
    <xf numFmtId="0" fontId="23" fillId="0" borderId="14" xfId="0" applyFont="1" applyBorder="1" applyNumberFormat="1">
      <alignment vertical="center"/>
    </xf>
    <xf numFmtId="0" fontId="0" fillId="0" borderId="14" xfId="0" applyFont="1" applyBorder="1" applyNumberFormat="1">
      <alignment vertical="center"/>
    </xf>
    <xf numFmtId="0" fontId="0" fillId="0" borderId="14" xfId="0" applyFont="1" applyBorder="1" applyNumberFormat="1">
      <alignment vertical="center"/>
    </xf>
    <xf numFmtId="0" fontId="0" fillId="0" borderId="16" xfId="0" applyFont="1" applyBorder="1" applyNumberFormat="1">
      <alignment vertical="center"/>
    </xf>
    <xf numFmtId="0" fontId="0" fillId="0" borderId="16" xfId="0" applyFont="1" applyBorder="1" applyNumberFormat="1">
      <alignment vertical="center"/>
    </xf>
    <xf numFmtId="0" fontId="23" fillId="0" borderId="16" xfId="0" applyFont="1" applyBorder="1" applyNumberFormat="1">
      <alignment horizontal="left" vertical="center"/>
    </xf>
    <xf numFmtId="49" fontId="23" fillId="0" borderId="46" xfId="0" applyFont="1" applyBorder="1" applyNumberFormat="1">
      <alignment vertical="center"/>
    </xf>
    <xf numFmtId="49" fontId="23" fillId="0" borderId="47" xfId="0" applyFont="1" applyBorder="1" applyNumberFormat="1">
      <alignment vertical="top"/>
    </xf>
    <xf numFmtId="49" fontId="23" fillId="0" borderId="18" xfId="0" applyFont="1" applyBorder="1" applyNumberFormat="1">
      <alignment vertical="top"/>
    </xf>
    <xf numFmtId="0" fontId="0" fillId="0" borderId="15" xfId="0" applyFont="1" applyBorder="1" applyNumberFormat="1">
      <alignment vertical="center"/>
    </xf>
    <xf numFmtId="0" fontId="0" fillId="0" borderId="14" xfId="0" applyFont="1" applyBorder="1" applyNumberFormat="1">
      <alignment horizontal="right" vertical="top"/>
    </xf>
    <xf numFmtId="0" fontId="0" fillId="0" borderId="14" xfId="0" applyFont="1" applyBorder="1" applyNumberFormat="1">
      <alignment vertical="top"/>
    </xf>
    <xf numFmtId="0" fontId="23" fillId="0" borderId="15" xfId="0" applyFont="1" applyBorder="1" applyNumberFormat="1">
      <alignment vertical="center"/>
    </xf>
    <xf numFmtId="49" fontId="23" fillId="0" borderId="14" xfId="0" applyFont="1" applyBorder="1" applyNumberFormat="1">
      <alignment vertical="center"/>
    </xf>
    <xf numFmtId="0" fontId="0" fillId="0" borderId="0" xfId="0" applyFont="1" applyNumberFormat="1">
      <alignment vertical="top"/>
    </xf>
    <xf numFmtId="0" fontId="23" fillId="0" borderId="14" xfId="0" applyFont="1" applyBorder="1" applyNumberFormat="1">
      <alignment vertical="top"/>
    </xf>
    <xf numFmtId="0" fontId="0" fillId="50" borderId="0" xfId="0" applyFont="1" applyFill="1" applyNumberFormat="1">
      <alignment horizontal="right" vertical="center"/>
    </xf>
    <xf numFmtId="49" fontId="40" fillId="0" borderId="0" xfId="0" applyFont="1" applyNumberFormat="1">
      <alignment horizontal="center" vertical="center"/>
    </xf>
    <xf numFmtId="49" fontId="0" fillId="0" borderId="0" xfId="0" applyFont="1" applyNumberFormat="1">
      <alignment vertical="top"/>
    </xf>
    <xf numFmtId="49" fontId="40" fillId="49" borderId="0" xfId="0" applyFont="1" applyFill="1" applyNumberFormat="1">
      <alignment horizontal="center" vertical="center"/>
    </xf>
    <xf numFmtId="0" fontId="23" fillId="0" borderId="0" xfId="0" applyFont="1" applyNumberFormat="1">
      <alignment vertical="center"/>
    </xf>
    <xf numFmtId="0" fontId="0" fillId="50" borderId="0" xfId="0" applyFont="1" applyFill="1" applyNumberFormat="1">
      <alignment horizontal="left" vertical="center"/>
    </xf>
    <xf numFmtId="0" fontId="0" fillId="0" borderId="0" xfId="0" applyFont="1" applyNumberFormat="1">
      <alignment horizontal="right" vertical="top"/>
    </xf>
    <xf numFmtId="0" fontId="0" fillId="0" borderId="0" xfId="0" applyFont="1" applyNumberFormat="1">
      <alignment vertical="top"/>
    </xf>
    <xf numFmtId="0" fontId="0" fillId="0" borderId="0" xfId="0" applyFont="1" applyNumberFormat="1">
      <alignment vertical="top"/>
    </xf>
    <xf numFmtId="0" fontId="0" fillId="0" borderId="0" xfId="0" applyFont="1" applyNumberFormat="1">
      <alignment horizontal="right" vertical="top"/>
    </xf>
    <xf numFmtId="0" fontId="0" fillId="0" borderId="0" xfId="0" applyFont="1" applyNumberFormat="1">
      <alignment vertical="top"/>
    </xf>
    <xf numFmtId="49" fontId="23" fillId="0" borderId="16" xfId="0" applyFont="1" applyBorder="1" applyNumberFormat="1">
      <alignment vertical="top"/>
    </xf>
    <xf numFmtId="0" fontId="0" fillId="50" borderId="0" xfId="0" applyFont="1" applyFill="1" applyNumberFormat="1">
      <alignment horizontal="right" vertical="center"/>
    </xf>
    <xf numFmtId="0" fontId="0" fillId="0" borderId="0" xfId="0" applyFont="1" applyNumberFormat="1">
      <alignment horizontal="left" vertical="center"/>
    </xf>
    <xf numFmtId="0" fontId="0" fillId="50" borderId="0" xfId="0" applyFont="1" applyFill="1" applyNumberFormat="1">
      <alignment horizontal="right" vertical="center"/>
    </xf>
    <xf numFmtId="0" fontId="0" fillId="50" borderId="0" xfId="0" applyFont="1" applyFill="1" applyNumberFormat="1">
      <alignment horizontal="left" vertical="center"/>
    </xf>
    <xf numFmtId="0" fontId="59" fillId="50" borderId="0" xfId="0" applyFont="1" applyFill="1" applyNumberFormat="1">
      <alignment horizontal="left" vertical="center"/>
    </xf>
    <xf numFmtId="0" fontId="0" fillId="0" borderId="0" xfId="0" applyFont="1" applyNumberFormat="1">
      <alignment vertical="center"/>
    </xf>
    <xf numFmtId="0" fontId="23" fillId="0" borderId="0" xfId="0" applyFont="1" applyNumberFormat="1">
      <alignment vertical="top"/>
    </xf>
    <xf numFmtId="0" fontId="59" fillId="0" borderId="0" xfId="0" applyFont="1" applyNumberFormat="1">
      <alignment horizontal="left" vertical="center"/>
    </xf>
    <xf numFmtId="49" fontId="0" fillId="0" borderId="16" xfId="0" applyFont="1" applyBorder="1" applyNumberFormat="1">
      <alignment vertical="top"/>
    </xf>
    <xf numFmtId="49" fontId="23" fillId="0" borderId="14" xfId="0" applyFont="1" applyBorder="1" applyNumberFormat="1">
      <alignment horizontal="right" vertical="top"/>
    </xf>
    <xf numFmtId="0" fontId="0" fillId="0" borderId="16" xfId="0" applyFont="1" applyBorder="1" applyNumberFormat="1">
      <alignment horizontal="left" vertical="center"/>
    </xf>
    <xf numFmtId="0" fontId="59" fillId="50" borderId="0" xfId="0" applyFont="1" applyFill="1" applyNumberFormat="1">
      <alignment horizontal="left" vertical="center"/>
    </xf>
    <xf numFmtId="49" fontId="23" fillId="0" borderId="19" xfId="0" applyFont="1" applyBorder="1" applyNumberFormat="1">
      <alignment horizontal="right" vertical="top"/>
    </xf>
    <xf numFmtId="0" fontId="0" fillId="0" borderId="19" xfId="0" applyFont="1" applyBorder="1" applyNumberFormat="1">
      <alignment vertical="top"/>
    </xf>
    <xf numFmtId="0" fontId="23" fillId="0" borderId="19" xfId="0" applyFont="1" applyBorder="1" applyNumberFormat="1">
      <alignment vertical="center"/>
    </xf>
    <xf numFmtId="49" fontId="23" fillId="0" borderId="33" xfId="0" applyFont="1" applyBorder="1" applyNumberFormat="1">
      <alignment horizontal="center" vertical="center"/>
    </xf>
    <xf numFmtId="49" fontId="23" fillId="0" borderId="14" xfId="0" applyFont="1" applyBorder="1" applyNumberFormat="1">
      <alignment horizontal="right" vertical="center"/>
    </xf>
    <xf numFmtId="49" fontId="23" fillId="0" borderId="14" xfId="0" applyFont="1" applyBorder="1" applyNumberFormat="1">
      <alignment vertical="top"/>
    </xf>
    <xf numFmtId="49" fontId="0" fillId="0" borderId="0" xfId="0" applyFont="1" applyNumberFormat="1">
      <alignment vertical="center"/>
    </xf>
    <xf numFmtId="0" fontId="23" fillId="50" borderId="0" xfId="0" applyFont="1" applyFill="1" applyNumberFormat="1">
      <alignment horizontal="left" vertical="center"/>
    </xf>
    <xf numFmtId="0" fontId="0" fillId="50" borderId="12" xfId="0" applyFont="1" applyFill="1" applyBorder="1" applyNumberFormat="1">
      <alignment horizontal="center"/>
    </xf>
    <xf numFmtId="49" fontId="109" fillId="0" borderId="18" xfId="0" applyFont="1" applyBorder="1" applyNumberFormat="1">
      <alignment vertical="top"/>
    </xf>
    <xf numFmtId="49" fontId="0" fillId="0" borderId="0" xfId="0" applyFont="1" applyNumberFormat="1">
      <alignment vertical="center"/>
    </xf>
    <xf numFmtId="49" fontId="53" fillId="56" borderId="0" xfId="0" applyFont="1" applyFill="1" applyNumberFormat="1">
      <alignment vertical="center" wrapText="1"/>
    </xf>
    <xf numFmtId="0" fontId="0" fillId="0" borderId="12" xfId="0" applyFont="1" applyBorder="1" applyNumberFormat="1">
      <alignment horizontal="center"/>
    </xf>
    <xf numFmtId="49" fontId="23" fillId="50" borderId="0" xfId="0" applyFont="1" applyFill="1" applyNumberFormat="1">
      <alignment horizontal="center" vertical="center"/>
    </xf>
    <xf numFmtId="49" fontId="23" fillId="0" borderId="0" xfId="0" applyFont="1" applyNumberFormat="1">
      <alignment vertical="top"/>
    </xf>
    <xf numFmtId="49" fontId="0" fillId="39" borderId="33" xfId="0" applyFont="1" applyFill="1" applyBorder="1" applyNumberFormat="1">
      <alignment horizontal="left" vertical="center"/>
      <protection locked="0"/>
    </xf>
    <xf numFmtId="49" fontId="0" fillId="0" borderId="14" xfId="0" applyFont="1" applyBorder="1" applyNumberFormat="1">
      <alignment horizontal="center" vertical="center"/>
    </xf>
    <xf numFmtId="49" fontId="0" fillId="0" borderId="33" xfId="0" applyFont="1" applyBorder="1" applyNumberFormat="1">
      <alignment horizontal="right" vertical="center"/>
    </xf>
    <xf numFmtId="0" fontId="0" fillId="38" borderId="33" xfId="0" applyFont="1" applyFill="1" applyBorder="1" applyNumberFormat="1">
      <alignment horizontal="center" vertical="center"/>
    </xf>
    <xf numFmtId="49" fontId="0" fillId="0" borderId="33" xfId="0" applyFont="1" applyBorder="1" applyNumberFormat="1">
      <alignment horizontal="center" vertical="center"/>
    </xf>
    <xf numFmtId="49" fontId="0" fillId="0" borderId="0" xfId="0" applyFont="1" applyNumberFormat="1">
      <alignment horizontal="left" vertical="center"/>
    </xf>
    <xf numFmtId="0" fontId="0" fillId="0" borderId="0" xfId="0" applyFont="1" applyNumberFormat="1">
      <alignment horizontal="center" vertical="center"/>
    </xf>
    <xf numFmtId="0" fontId="107" fillId="0" borderId="48" xfId="0" applyFont="1" applyBorder="1" applyNumberFormat="1">
      <alignment horizontal="center" vertical="center"/>
    </xf>
    <xf numFmtId="0" fontId="0" fillId="0" borderId="48" xfId="0" applyFont="1" applyBorder="1" applyNumberFormat="1">
      <alignment horizontal="center" vertical="center"/>
    </xf>
    <xf numFmtId="49" fontId="40" fillId="49" borderId="14" xfId="0" applyFont="1" applyFill="1" applyBorder="1" applyNumberFormat="1">
      <alignment horizontal="right" vertical="center"/>
    </xf>
    <xf numFmtId="49" fontId="23" fillId="39" borderId="39" xfId="0" applyFont="1" applyFill="1" applyBorder="1" applyNumberFormat="1">
      <alignment vertical="top"/>
      <protection locked="0"/>
    </xf>
    <xf numFmtId="0" fontId="23" fillId="0" borderId="14" xfId="0" applyFont="1" applyBorder="1" applyNumberFormat="1">
      <alignment vertical="top"/>
    </xf>
    <xf numFmtId="0" fontId="0" fillId="34" borderId="14" xfId="0" applyFont="1" applyFill="1" applyBorder="1" applyNumberFormat="1">
      <alignment horizontal="right" vertical="center"/>
    </xf>
    <xf numFmtId="49" fontId="23" fillId="34" borderId="25" xfId="0" applyFont="1" applyFill="1" applyBorder="1" applyNumberFormat="1">
      <alignment vertical="top"/>
    </xf>
    <xf numFmtId="49" fontId="23" fillId="34" borderId="14" xfId="0" applyFont="1" applyFill="1" applyBorder="1" applyNumberFormat="1">
      <alignment vertical="top"/>
    </xf>
    <xf numFmtId="49" fontId="23" fillId="0" borderId="16" xfId="0" applyFont="1" applyBorder="1" applyNumberFormat="1">
      <alignment horizontal="center" vertical="top"/>
    </xf>
    <xf numFmtId="49" fontId="23" fillId="0" borderId="15" xfId="0" applyFont="1" applyBorder="1" applyNumberFormat="1">
      <alignment horizontal="center" vertical="top"/>
    </xf>
    <xf numFmtId="0" fontId="23" fillId="38" borderId="32" xfId="0" applyFont="1" applyFill="1" applyBorder="1" applyNumberFormat="1">
      <alignment horizontal="center" vertical="top"/>
    </xf>
    <xf numFmtId="0" fontId="23" fillId="38" borderId="32" xfId="0" applyFont="1" applyFill="1" applyBorder="1" applyNumberFormat="1">
      <alignment horizontal="left" vertical="top"/>
    </xf>
    <xf numFmtId="0" fontId="0" fillId="0" borderId="34" xfId="0" applyFont="1" applyBorder="1" applyNumberFormat="1">
      <alignment horizontal="center" vertical="center"/>
    </xf>
    <xf numFmtId="0" fontId="0" fillId="0" borderId="36" xfId="0" applyFont="1" applyBorder="1" applyNumberFormat="1">
      <alignment horizontal="center" vertical="center"/>
    </xf>
    <xf numFmtId="0" fontId="23" fillId="0" borderId="14" xfId="0" applyFont="1" applyBorder="1" applyNumberFormat="1">
      <alignment horizontal="left" vertical="top"/>
    </xf>
    <xf numFmtId="49" fontId="23" fillId="0" borderId="0" xfId="0" applyFont="1" applyNumberFormat="1">
      <alignment horizontal="left" vertical="top"/>
    </xf>
    <xf numFmtId="0" fontId="0" fillId="0" borderId="33" xfId="0" applyFont="1" applyBorder="1" applyNumberFormat="1">
      <alignment horizontal="center" vertical="center"/>
    </xf>
    <xf numFmtId="0" fontId="0" fillId="0" borderId="35" xfId="0" applyFont="1" applyBorder="1" applyNumberFormat="1">
      <alignment horizontal="center" vertical="center"/>
    </xf>
    <xf numFmtId="49" fontId="40" fillId="49" borderId="16" xfId="0" applyFont="1" applyFill="1" applyBorder="1" applyNumberFormat="1">
      <alignment horizontal="right" vertical="center"/>
    </xf>
    <xf numFmtId="49" fontId="23" fillId="0" borderId="14" xfId="0" applyFont="1" applyBorder="1" applyNumberFormat="1">
      <alignment vertical="top"/>
    </xf>
    <xf numFmtId="49" fontId="0" fillId="0" borderId="0" xfId="0" applyFont="1" applyNumberFormat="1">
      <alignment vertical="center"/>
    </xf>
    <xf numFmtId="49" fontId="0" fillId="0" borderId="0" xfId="0" applyFont="1" applyNumberFormat="1">
      <alignment vertical="top"/>
    </xf>
    <xf numFmtId="0" fontId="0" fillId="50" borderId="0" xfId="0" applyFont="1" applyFill="1" applyNumberFormat="1">
      <alignment horizontal="right" vertical="top" wrapText="1"/>
    </xf>
    <xf numFmtId="0" fontId="23" fillId="0" borderId="0" xfId="0" applyFont="1" applyNumberFormat="1">
      <alignment horizontal="left" vertical="top" wrapText="1"/>
    </xf>
    <xf numFmtId="49" fontId="23" fillId="0" borderId="0" xfId="0" applyFont="1" applyNumberFormat="1">
      <alignment vertical="center"/>
    </xf>
    <xf numFmtId="49" fontId="0" fillId="0" borderId="0" xfId="0" applyFont="1" applyNumberFormat="1">
      <alignment vertical="top"/>
    </xf>
    <xf numFmtId="49" fontId="23" fillId="0" borderId="0" xfId="0" applyFont="1" applyNumberFormat="1">
      <alignment vertical="top"/>
    </xf>
    <xf numFmtId="49" fontId="0" fillId="0" borderId="0" xfId="0" applyFont="1" applyNumberFormat="1">
      <alignment vertical="center" wrapText="1"/>
    </xf>
    <xf numFmtId="49" fontId="23" fillId="37" borderId="14" xfId="0" applyFont="1" applyFill="1" applyBorder="1" applyNumberFormat="1">
      <alignment horizontal="center" vertical="center"/>
    </xf>
    <xf numFmtId="49" fontId="23" fillId="42" borderId="14" xfId="0" applyFont="1" applyFill="1" applyBorder="1" applyNumberFormat="1">
      <alignment horizontal="left" vertical="center" wrapText="1"/>
      <protection locked="0"/>
    </xf>
    <xf numFmtId="0" fontId="23" fillId="42" borderId="14" xfId="0" applyFont="1" applyFill="1" applyBorder="1" applyNumberFormat="1">
      <alignment horizontal="center" vertical="center" wrapText="1"/>
      <protection locked="0"/>
    </xf>
    <xf numFmtId="0" fontId="54" fillId="37" borderId="0" xfId="0" applyFont="1" applyFill="1" applyNumberFormat="1"/>
    <xf numFmtId="49" fontId="23" fillId="37" borderId="14" xfId="0" applyFont="1" applyFill="1" applyBorder="1" applyNumberFormat="1">
      <alignment horizontal="center" vertical="center" wrapText="1"/>
    </xf>
    <xf numFmtId="0" fontId="0" fillId="37" borderId="14" xfId="0" applyFont="1" applyFill="1" applyBorder="1" applyNumberFormat="1">
      <alignment horizontal="center" vertical="center" wrapText="1"/>
    </xf>
    <xf numFmtId="0" fontId="23" fillId="38" borderId="14" xfId="0" applyFont="1" applyFill="1" applyBorder="1" applyNumberFormat="1">
      <alignment horizontal="left" vertical="center" wrapText="1"/>
    </xf>
    <xf numFmtId="0" fontId="73" fillId="37" borderId="0" xfId="0" applyFont="1" applyFill="1" applyNumberFormat="1"/>
    <xf numFmtId="0" fontId="23" fillId="37" borderId="14" xfId="0" applyFont="1" applyFill="1" applyBorder="1" applyNumberFormat="1">
      <alignment horizontal="left" vertical="center" wrapText="1"/>
    </xf>
    <xf numFmtId="0" fontId="23" fillId="0" borderId="14" xfId="0" applyFont="1" applyBorder="1" applyNumberFormat="1">
      <alignment horizontal="center" vertical="center" wrapText="1"/>
    </xf>
    <xf numFmtId="49" fontId="23" fillId="0" borderId="14" xfId="0" applyFont="1" applyBorder="1" applyNumberFormat="1">
      <alignment horizontal="center" vertical="center"/>
    </xf>
    <xf numFmtId="49" fontId="23" fillId="39" borderId="14" xfId="0" applyFont="1" applyFill="1" applyBorder="1" applyNumberFormat="1">
      <alignment horizontal="left" vertical="center" wrapText="1"/>
      <protection locked="0"/>
    </xf>
    <xf numFmtId="0" fontId="55" fillId="37" borderId="0" xfId="0" applyFont="1" applyFill="1" applyNumberFormat="1">
      <alignment horizontal="center" vertical="center" wrapText="1"/>
    </xf>
    <xf numFmtId="0" fontId="23" fillId="37" borderId="26" xfId="0" applyFont="1" applyFill="1" applyBorder="1" applyNumberFormat="1">
      <alignment horizontal="center" vertical="center" wrapText="1"/>
    </xf>
    <xf numFmtId="0" fontId="0" fillId="37" borderId="19" xfId="0" applyFont="1" applyFill="1" applyBorder="1" applyNumberFormat="1">
      <alignment horizontal="left" vertical="top" wrapText="1"/>
    </xf>
    <xf numFmtId="0" fontId="72" fillId="37" borderId="0" xfId="0" applyFont="1" applyFill="1" applyNumberFormat="1"/>
    <xf numFmtId="0" fontId="77" fillId="37" borderId="0" xfId="0" applyFont="1" applyFill="1" applyNumberFormat="1">
      <alignment vertical="center" wrapText="1"/>
    </xf>
    <xf numFmtId="0" fontId="55" fillId="37" borderId="14" xfId="0" applyFont="1" applyFill="1" applyBorder="1" applyNumberFormat="1">
      <alignment horizontal="center" vertical="center"/>
    </xf>
    <xf numFmtId="0" fontId="0" fillId="37" borderId="38" xfId="0" applyFont="1" applyFill="1" applyBorder="1" applyNumberFormat="1">
      <alignment horizontal="left" vertical="top" wrapText="1"/>
    </xf>
    <xf numFmtId="0" fontId="0" fillId="37" borderId="25" xfId="0" applyFont="1" applyFill="1" applyBorder="1" applyNumberFormat="1">
      <alignment horizontal="left" vertical="top" wrapText="1"/>
    </xf>
    <xf numFmtId="0" fontId="89" fillId="37" borderId="0" xfId="0" applyFont="1" applyFill="1" applyNumberFormat="1"/>
    <xf numFmtId="0" fontId="23" fillId="37" borderId="14" xfId="0" applyFont="1" applyFill="1" applyBorder="1" applyNumberFormat="1">
      <alignment horizontal="left" vertical="top" wrapText="1"/>
    </xf>
    <xf numFmtId="49" fontId="34" fillId="39" borderId="25" xfId="0" applyFont="1" applyFill="1" applyBorder="1" applyNumberFormat="1">
      <alignment horizontal="left" vertical="center" wrapText="1"/>
      <protection locked="0"/>
    </xf>
    <xf numFmtId="0" fontId="23" fillId="37" borderId="14" xfId="0" applyFont="1" applyFill="1" applyBorder="1" applyNumberFormat="1">
      <alignment vertical="top" wrapText="1"/>
    </xf>
    <xf numFmtId="0" fontId="44" fillId="0" borderId="0" xfId="0" applyFont="1" applyNumberFormat="1">
      <alignment horizontal="center" vertical="center" wrapText="1"/>
    </xf>
    <xf numFmtId="0" fontId="23" fillId="0" borderId="14" xfId="0" applyFont="1" applyBorder="1" applyNumberFormat="1">
      <alignment horizontal="center" vertical="center" wrapText="1"/>
    </xf>
    <xf numFmtId="49" fontId="23" fillId="43" borderId="14" xfId="0" applyFont="1" applyFill="1" applyBorder="1" applyNumberFormat="1">
      <alignment horizontal="left" vertical="center" wrapText="1"/>
    </xf>
    <xf numFmtId="14" fontId="23" fillId="42" borderId="14" xfId="0" applyFont="1" applyFill="1" applyBorder="1" applyNumberFormat="1">
      <alignment horizontal="left" vertical="center" wrapText="1" indent="1"/>
      <protection locked="0"/>
    </xf>
    <xf numFmtId="0" fontId="117" fillId="0" borderId="0" xfId="0" applyFont="1" applyNumberFormat="1">
      <alignment vertical="center"/>
    </xf>
    <xf numFmtId="0" fontId="45" fillId="0" borderId="0" xfId="0" applyFont="1" applyNumberFormat="1">
      <alignment horizontal="center" vertical="center" wrapText="1"/>
    </xf>
    <xf numFmtId="4" fontId="23" fillId="0" borderId="19" xfId="0" applyFont="1" applyBorder="1" applyNumberFormat="1">
      <alignment horizontal="center" vertical="center" wrapText="1"/>
    </xf>
    <xf numFmtId="165" fontId="23" fillId="0" borderId="39" xfId="0" applyFont="1" applyBorder="1" applyNumberFormat="1">
      <alignment horizontal="center" vertical="center" wrapText="1"/>
    </xf>
    <xf numFmtId="165" fontId="23" fillId="0" borderId="19" xfId="0" applyFont="1" applyBorder="1" applyNumberFormat="1">
      <alignment horizontal="center" vertical="center" wrapText="1"/>
    </xf>
    <xf numFmtId="4" fontId="23" fillId="0" borderId="25" xfId="0" applyFont="1" applyBorder="1" applyNumberFormat="1">
      <alignment horizontal="center" vertical="center" wrapText="1"/>
    </xf>
    <xf numFmtId="14" fontId="23" fillId="43" borderId="14" xfId="0" applyFont="1" applyFill="1" applyBorder="1" applyNumberFormat="1">
      <alignment horizontal="left" vertical="center" wrapText="1"/>
    </xf>
    <xf numFmtId="49" fontId="36" fillId="40" borderId="32" xfId="0" applyFont="1" applyFill="1" applyBorder="1" applyNumberFormat="1">
      <alignment horizontal="right" vertical="center" wrapText="1"/>
    </xf>
    <xf numFmtId="49" fontId="0" fillId="40" borderId="29" xfId="0" applyFont="1" applyFill="1" applyBorder="1" applyNumberFormat="1">
      <alignment horizontal="right" vertical="center" wrapText="1"/>
    </xf>
    <xf numFmtId="49" fontId="0" fillId="40" borderId="31" xfId="0" applyFont="1" applyFill="1" applyBorder="1" applyNumberFormat="1">
      <alignment horizontal="right" vertical="center" wrapText="1"/>
    </xf>
    <xf numFmtId="0" fontId="117" fillId="0" borderId="0" xfId="0" applyFont="1" applyNumberFormat="1">
      <alignment vertical="center" wrapText="1"/>
    </xf>
    <xf numFmtId="49" fontId="0" fillId="0" borderId="0" xfId="0" applyFont="1" applyNumberFormat="1">
      <alignment vertical="top"/>
    </xf>
    <xf numFmtId="0" fontId="44" fillId="0" borderId="0" xfId="0" applyFont="1" applyNumberFormat="1">
      <alignment horizontal="center" vertical="center" wrapText="1"/>
    </xf>
    <xf numFmtId="0" fontId="23" fillId="0" borderId="16" xfId="0" applyFont="1" applyBorder="1" applyNumberFormat="1">
      <alignment horizontal="center" vertical="center" wrapText="1"/>
    </xf>
    <xf numFmtId="0" fontId="23" fillId="38" borderId="14" xfId="0" applyFont="1" applyFill="1" applyBorder="1" applyNumberFormat="1">
      <alignment horizontal="left" vertical="center" wrapText="1" indent="1"/>
    </xf>
    <xf numFmtId="167" fontId="0" fillId="42" borderId="17" xfId="0" applyFont="1" applyFill="1" applyBorder="1" applyNumberFormat="1">
      <alignment horizontal="left" vertical="center" wrapText="1" indent="1"/>
      <protection locked="0"/>
    </xf>
    <xf numFmtId="168" fontId="23" fillId="42" borderId="14" xfId="0" applyFont="1" applyFill="1" applyBorder="1" applyNumberFormat="1">
      <alignment horizontal="left" vertical="center" wrapText="1" indent="1"/>
      <protection locked="0"/>
    </xf>
    <xf numFmtId="167" fontId="55" fillId="0" borderId="0" xfId="0" applyFont="1" applyNumberFormat="1">
      <alignment horizontal="center" vertical="center" wrapText="1"/>
    </xf>
    <xf numFmtId="165" fontId="23" fillId="0" borderId="19" xfId="0" applyFont="1" applyBorder="1" applyNumberFormat="1">
      <alignment horizontal="center" vertical="center" wrapText="1"/>
    </xf>
    <xf numFmtId="165" fontId="23" fillId="0" borderId="16" xfId="0" applyFont="1" applyBorder="1" applyNumberFormat="1">
      <alignment horizontal="center" vertical="center" wrapText="1"/>
    </xf>
    <xf numFmtId="165" fontId="23" fillId="0" borderId="17" xfId="0" applyFont="1" applyBorder="1" applyNumberFormat="1">
      <alignment horizontal="center" vertical="center" wrapText="1"/>
    </xf>
    <xf numFmtId="165" fontId="23" fillId="0" borderId="15" xfId="0" applyFont="1" applyBorder="1" applyNumberFormat="1">
      <alignment horizontal="center" vertical="center" wrapText="1"/>
    </xf>
    <xf numFmtId="4" fontId="23" fillId="0" borderId="38" xfId="0" applyFont="1" applyBorder="1" applyNumberFormat="1">
      <alignment horizontal="center" vertical="center" wrapText="1"/>
    </xf>
    <xf numFmtId="165" fontId="23" fillId="0" borderId="25" xfId="0" applyFont="1" applyBorder="1" applyNumberFormat="1">
      <alignment horizontal="center" vertical="center" wrapText="1"/>
    </xf>
    <xf numFmtId="165" fontId="23" fillId="0" borderId="25" xfId="0" applyFont="1" applyBorder="1" applyNumberFormat="1">
      <alignment horizontal="center" vertical="center" wrapText="1"/>
    </xf>
    <xf numFmtId="0" fontId="23" fillId="0" borderId="25" xfId="0" applyFont="1" applyBorder="1" applyNumberFormat="1">
      <alignment horizontal="center" vertical="center" wrapText="1"/>
    </xf>
    <xf numFmtId="0" fontId="23" fillId="38" borderId="25" xfId="0" applyFont="1" applyFill="1" applyBorder="1" applyNumberFormat="1">
      <alignment horizontal="left" vertical="center" wrapText="1" indent="1"/>
    </xf>
    <xf numFmtId="14" fontId="23" fillId="42" borderId="25" xfId="0" applyFont="1" applyFill="1" applyBorder="1" applyNumberFormat="1">
      <alignment horizontal="left" vertical="center" wrapText="1" indent="1"/>
      <protection locked="0"/>
    </xf>
    <xf numFmtId="0" fontId="23" fillId="0" borderId="31" xfId="0" applyFont="1" applyBorder="1" applyNumberFormat="1">
      <alignment horizontal="left" vertical="top" wrapText="1"/>
    </xf>
    <xf numFmtId="0" fontId="44" fillId="0" borderId="0" xfId="0" applyFont="1" applyNumberFormat="1">
      <alignment horizontal="center" vertical="center" wrapText="1"/>
    </xf>
    <xf numFmtId="0" fontId="23" fillId="0" borderId="14" xfId="0" applyFont="1" applyBorder="1" applyNumberFormat="1">
      <alignment horizontal="center" vertical="center" wrapText="1"/>
    </xf>
    <xf numFmtId="0" fontId="23" fillId="38" borderId="14" xfId="0" applyFont="1" applyFill="1" applyBorder="1" applyNumberFormat="1">
      <alignment horizontal="left" vertical="center" wrapText="1" indent="1"/>
    </xf>
    <xf numFmtId="0" fontId="55" fillId="0" borderId="0" xfId="0" applyFont="1" applyNumberFormat="1">
      <alignment horizontal="center" vertical="center" wrapText="1"/>
    </xf>
    <xf numFmtId="0" fontId="23" fillId="0" borderId="0" xfId="0" applyFont="1" applyNumberFormat="1">
      <alignment horizontal="right" vertical="center" wrapText="1"/>
    </xf>
    <xf numFmtId="0" fontId="23" fillId="0" borderId="0" xfId="0" applyFont="1" applyNumberFormat="1">
      <alignment horizontal="left" vertical="center" wrapText="1" indent="1"/>
    </xf>
    <xf numFmtId="165" fontId="23" fillId="0" borderId="25" xfId="0" applyFont="1" applyBorder="1" applyNumberFormat="1">
      <alignment horizontal="center" vertical="center" wrapText="1"/>
    </xf>
    <xf numFmtId="0" fontId="23" fillId="0" borderId="25" xfId="0" applyFont="1" applyBorder="1" applyNumberFormat="1">
      <alignment horizontal="left" vertical="center" wrapText="1" indent="1"/>
    </xf>
    <xf numFmtId="14" fontId="23" fillId="0" borderId="25" xfId="0" applyFont="1" applyBorder="1" applyNumberFormat="1">
      <alignment horizontal="left" vertical="center" wrapText="1" indent="1"/>
    </xf>
    <xf numFmtId="0" fontId="23" fillId="38" borderId="14" xfId="0" applyFont="1" applyFill="1" applyBorder="1" applyNumberFormat="1">
      <alignment horizontal="left" vertical="center" wrapText="1"/>
    </xf>
    <xf numFmtId="14" fontId="23" fillId="43" borderId="14" xfId="0" applyFont="1" applyFill="1" applyBorder="1" applyNumberFormat="1">
      <alignment horizontal="left" vertical="center" wrapText="1"/>
    </xf>
    <xf numFmtId="49" fontId="23" fillId="43" borderId="16" xfId="0" applyFont="1" applyFill="1" applyBorder="1" applyNumberFormat="1">
      <alignment horizontal="left" vertical="center" wrapText="1"/>
    </xf>
    <xf numFmtId="0" fontId="23" fillId="0" borderId="16" xfId="0" applyFont="1" applyBorder="1" applyNumberFormat="1">
      <alignment horizontal="center" vertical="center" wrapText="1"/>
    </xf>
    <xf numFmtId="49" fontId="23" fillId="42" borderId="14" xfId="0" applyFont="1" applyFill="1" applyBorder="1" applyNumberFormat="1">
      <alignment horizontal="left" vertical="center" wrapText="1"/>
      <protection locked="0"/>
    </xf>
    <xf numFmtId="49" fontId="23" fillId="43" borderId="14" xfId="0" applyFont="1" applyFill="1" applyBorder="1" applyNumberFormat="1">
      <alignment horizontal="left" vertical="center" wrapText="1"/>
    </xf>
    <xf numFmtId="49" fontId="34" fillId="40" borderId="29" xfId="0" applyFont="1" applyFill="1" applyBorder="1" applyNumberFormat="1">
      <alignment horizontal="left" vertical="center" wrapText="1"/>
    </xf>
    <xf numFmtId="49" fontId="34" fillId="40" borderId="31" xfId="0" applyFont="1" applyFill="1" applyBorder="1" applyNumberFormat="1">
      <alignment horizontal="left" vertical="center" wrapText="1"/>
    </xf>
    <xf numFmtId="0" fontId="23" fillId="37" borderId="38" xfId="0" applyFont="1" applyFill="1" applyBorder="1" applyNumberFormat="1">
      <alignment vertical="center" wrapText="1"/>
    </xf>
    <xf numFmtId="0" fontId="55" fillId="0" borderId="0" xfId="0" applyFont="1" applyNumberFormat="1">
      <alignment horizontal="center" vertical="center" wrapText="1"/>
    </xf>
    <xf numFmtId="0" fontId="55" fillId="0" borderId="29" xfId="0" applyFont="1" applyBorder="1" applyNumberFormat="1">
      <alignment horizontal="center" vertical="center" wrapText="1"/>
    </xf>
    <xf numFmtId="0" fontId="55" fillId="0" borderId="0" xfId="0" applyFont="1" applyNumberFormat="1">
      <alignment horizontal="center" vertical="center" wrapText="1"/>
    </xf>
    <xf numFmtId="0" fontId="55" fillId="0" borderId="0" xfId="0" applyFont="1" applyNumberFormat="1">
      <alignment horizontal="center" vertical="center" wrapText="1"/>
    </xf>
    <xf numFmtId="0" fontId="23" fillId="37" borderId="24" xfId="0" applyFont="1" applyFill="1" applyBorder="1" applyNumberFormat="1">
      <alignment vertical="center" wrapText="1"/>
    </xf>
    <xf numFmtId="0" fontId="44" fillId="0" borderId="14" xfId="0" applyFont="1" applyBorder="1" applyNumberFormat="1">
      <alignment horizontal="center" vertical="center" wrapText="1"/>
    </xf>
    <xf numFmtId="0" fontId="23" fillId="0" borderId="17" xfId="0" applyFont="1" applyBorder="1" applyNumberFormat="1">
      <alignment horizontal="center" vertical="center" wrapText="1"/>
    </xf>
    <xf numFmtId="0" fontId="23" fillId="0" borderId="17" xfId="0" applyFont="1" applyBorder="1" applyNumberFormat="1">
      <alignment horizontal="left" vertical="center" wrapText="1"/>
    </xf>
    <xf numFmtId="0" fontId="50" fillId="0" borderId="0" xfId="0" applyFont="1" applyNumberFormat="1">
      <alignment horizontal="center" vertical="center" wrapText="1"/>
    </xf>
    <xf numFmtId="0" fontId="23" fillId="0" borderId="0" xfId="0" applyFont="1" applyNumberFormat="1">
      <alignment horizontal="center" vertical="center" wrapText="1"/>
    </xf>
    <xf numFmtId="165" fontId="53" fillId="0" borderId="21" xfId="0" applyFont="1" applyBorder="1" applyNumberFormat="1">
      <alignment horizontal="center" vertical="center" wrapText="1"/>
    </xf>
    <xf numFmtId="165" fontId="53" fillId="0" borderId="21" xfId="0" applyFont="1" applyBorder="1" applyNumberFormat="1">
      <alignment horizontal="center" vertical="center" wrapText="1"/>
    </xf>
    <xf numFmtId="165" fontId="53" fillId="0" borderId="22" xfId="0" applyFont="1" applyBorder="1" applyNumberFormat="1">
      <alignment horizontal="center" vertical="center" wrapText="1"/>
    </xf>
    <xf numFmtId="0" fontId="55" fillId="0" borderId="0" xfId="0" applyFont="1" applyNumberFormat="1">
      <alignment horizontal="center" vertical="center"/>
    </xf>
    <xf numFmtId="165" fontId="23" fillId="0" borderId="14" xfId="0" applyFont="1" applyBorder="1" applyNumberFormat="1">
      <alignment horizontal="center" vertical="center" wrapText="1"/>
    </xf>
    <xf numFmtId="165" fontId="23" fillId="0" borderId="38" xfId="0" applyFont="1" applyBorder="1" applyNumberFormat="1">
      <alignment horizontal="center" vertical="center" wrapText="1"/>
    </xf>
    <xf numFmtId="165" fontId="23" fillId="0" borderId="14" xfId="0" applyFont="1" applyBorder="1" applyNumberFormat="1">
      <alignment horizontal="center" vertical="center" wrapText="1"/>
    </xf>
    <xf numFmtId="0" fontId="23" fillId="38" borderId="31" xfId="0" applyFont="1" applyFill="1" applyBorder="1" applyNumberFormat="1">
      <alignment horizontal="left" vertical="center" wrapText="1"/>
    </xf>
    <xf numFmtId="14" fontId="23" fillId="43" borderId="25" xfId="0" applyFont="1" applyFill="1" applyBorder="1" applyNumberFormat="1">
      <alignment horizontal="left" vertical="center" wrapText="1"/>
    </xf>
    <xf numFmtId="49" fontId="23" fillId="43" borderId="32" xfId="0" applyFont="1" applyFill="1" applyBorder="1" applyNumberFormat="1">
      <alignment horizontal="left" vertical="center" wrapText="1"/>
    </xf>
    <xf numFmtId="0" fontId="23" fillId="0" borderId="25" xfId="0" applyFont="1" applyBorder="1" applyNumberFormat="1">
      <alignment horizontal="center" vertical="center" wrapText="1"/>
    </xf>
    <xf numFmtId="49" fontId="23" fillId="42" borderId="29" xfId="0" applyFont="1" applyFill="1" applyBorder="1" applyNumberFormat="1">
      <alignment horizontal="left" vertical="center" wrapText="1"/>
      <protection locked="0"/>
    </xf>
    <xf numFmtId="49" fontId="23" fillId="42" borderId="32" xfId="0" applyFont="1" applyFill="1" applyBorder="1" applyNumberFormat="1">
      <alignment horizontal="left" vertical="center" wrapText="1"/>
      <protection locked="0"/>
    </xf>
    <xf numFmtId="49" fontId="23" fillId="0" borderId="14" xfId="0" applyFont="1" applyBorder="1" applyNumberFormat="1">
      <alignment horizontal="left" vertical="top" wrapText="1"/>
    </xf>
    <xf numFmtId="49" fontId="23" fillId="43" borderId="25" xfId="0" applyFont="1" applyFill="1" applyBorder="1" applyNumberFormat="1">
      <alignment horizontal="left" vertical="center" wrapText="1"/>
    </xf>
    <xf numFmtId="49" fontId="129" fillId="0" borderId="14" xfId="0" applyFont="1" applyBorder="1" applyNumberFormat="1">
      <alignment horizontal="left" vertical="top" wrapText="1"/>
    </xf>
    <xf numFmtId="0" fontId="40" fillId="0" borderId="0" xfId="0" applyFont="1" applyNumberFormat="1">
      <alignment vertical="center" wrapText="1"/>
    </xf>
    <xf numFmtId="0" fontId="45" fillId="37" borderId="0" xfId="0" applyFont="1" applyFill="1" applyNumberFormat="1">
      <alignment horizontal="center" vertical="center" wrapText="1"/>
    </xf>
    <xf numFmtId="0" fontId="23" fillId="37" borderId="0" xfId="0" applyFont="1" applyFill="1" applyNumberFormat="1"/>
    <xf numFmtId="49" fontId="40" fillId="0" borderId="0" xfId="0" applyFont="1" applyNumberFormat="1">
      <alignment vertical="top"/>
    </xf>
    <xf numFmtId="49" fontId="23" fillId="0" borderId="0" xfId="0" applyFont="1" applyNumberFormat="1">
      <alignment vertical="top"/>
    </xf>
    <xf numFmtId="49" fontId="45" fillId="0" borderId="0" xfId="0" applyFont="1" applyNumberFormat="1">
      <alignment horizontal="center" vertical="center"/>
    </xf>
    <xf numFmtId="0" fontId="51" fillId="37" borderId="0" xfId="0" applyFont="1" applyFill="1" applyNumberFormat="1">
      <alignment horizontal="center" vertical="center" wrapText="1"/>
    </xf>
    <xf numFmtId="0" fontId="40" fillId="37" borderId="0" xfId="0" applyFont="1" applyFill="1" applyNumberFormat="1"/>
    <xf numFmtId="0" fontId="23" fillId="37" borderId="14" xfId="0" applyFont="1" applyFill="1" applyBorder="1" applyNumberFormat="1">
      <alignment horizontal="center" vertical="center" wrapText="1"/>
    </xf>
    <xf numFmtId="49" fontId="23" fillId="0" borderId="0" xfId="0" applyFont="1" applyNumberFormat="1">
      <alignment vertical="top"/>
    </xf>
    <xf numFmtId="49" fontId="54" fillId="0" borderId="0" xfId="0" applyFont="1" applyNumberFormat="1">
      <alignment vertical="top"/>
    </xf>
    <xf numFmtId="49" fontId="23" fillId="0" borderId="0" xfId="0" applyFont="1" applyNumberFormat="1">
      <alignment vertical="top"/>
    </xf>
    <xf numFmtId="49" fontId="45" fillId="0" borderId="0" xfId="0" applyFont="1" applyNumberFormat="1">
      <alignment horizontal="center" vertical="center" wrapText="1"/>
    </xf>
    <xf numFmtId="49" fontId="23" fillId="0" borderId="14" xfId="0" applyFont="1" applyBorder="1" applyNumberFormat="1">
      <alignment horizontal="center" vertical="center" wrapText="1"/>
    </xf>
    <xf numFmtId="49" fontId="23" fillId="42" borderId="14" xfId="0" applyFont="1" applyFill="1" applyBorder="1" applyNumberFormat="1">
      <alignment horizontal="left" vertical="center" wrapText="1"/>
      <protection locked="0"/>
    </xf>
    <xf numFmtId="0" fontId="55" fillId="0" borderId="0" xfId="0" applyFont="1" applyNumberFormat="1">
      <alignment vertical="top"/>
    </xf>
    <xf numFmtId="49" fontId="55" fillId="0" borderId="0" xfId="0" applyFont="1" applyNumberFormat="1">
      <alignment vertical="top"/>
    </xf>
    <xf numFmtId="49" fontId="23" fillId="0" borderId="0" xfId="0" applyFont="1" applyNumberFormat="1">
      <alignment vertical="top"/>
    </xf>
    <xf numFmtId="49" fontId="48" fillId="40" borderId="17" xfId="0" applyFont="1" applyFill="1" applyBorder="1" applyNumberFormat="1">
      <alignment horizontal="left" vertical="center"/>
    </xf>
    <xf numFmtId="49" fontId="52" fillId="40" borderId="17" xfId="0" applyFont="1" applyFill="1" applyBorder="1" applyNumberFormat="1">
      <alignment horizontal="center" vertical="top"/>
    </xf>
    <xf numFmtId="49" fontId="23" fillId="0" borderId="0" xfId="0" applyFont="1" applyNumberFormat="1">
      <alignment horizontal="left" vertical="top" wrapText="1"/>
    </xf>
    <xf numFmtId="0" fontId="45" fillId="37" borderId="0" xfId="0" applyFont="1" applyFill="1" applyNumberFormat="1">
      <alignment horizontal="center" vertical="center"/>
    </xf>
    <xf numFmtId="0" fontId="23" fillId="37" borderId="0" xfId="0" applyFont="1" applyFill="1" applyNumberFormat="1"/>
    <xf numFmtId="0" fontId="23" fillId="0" borderId="15" xfId="0" applyFont="1" applyBorder="1" applyNumberFormat="1">
      <alignment horizontal="left" vertical="center" wrapText="1" indent="1"/>
    </xf>
    <xf numFmtId="0" fontId="23" fillId="0" borderId="16" xfId="0" applyFont="1" applyBorder="1" applyNumberFormat="1">
      <alignment horizontal="left" vertical="center" wrapText="1" indent="1"/>
    </xf>
    <xf numFmtId="0" fontId="69" fillId="0" borderId="0" xfId="0" applyFont="1" applyNumberFormat="1"/>
    <xf numFmtId="0" fontId="23" fillId="0" borderId="14" xfId="0" applyFont="1" applyBorder="1" applyNumberFormat="1">
      <alignment horizontal="center" vertical="center" wrapText="1"/>
    </xf>
    <xf numFmtId="0" fontId="23" fillId="37" borderId="19" xfId="0" applyFont="1" applyFill="1" applyBorder="1" applyNumberFormat="1">
      <alignment horizontal="center" vertical="center"/>
    </xf>
    <xf numFmtId="49" fontId="23" fillId="0" borderId="19" xfId="0" applyFont="1" applyBorder="1" applyNumberFormat="1">
      <alignment horizontal="left" vertical="center" wrapText="1"/>
    </xf>
    <xf numFmtId="0" fontId="45" fillId="37" borderId="0" xfId="0" applyFont="1" applyFill="1" applyNumberFormat="1">
      <alignment horizontal="center" vertical="center" wrapText="1"/>
    </xf>
    <xf numFmtId="0" fontId="23" fillId="37" borderId="14" xfId="0" applyFont="1" applyFill="1" applyBorder="1" applyNumberFormat="1">
      <alignment horizontal="center" vertical="center"/>
    </xf>
    <xf numFmtId="49" fontId="23" fillId="42" borderId="14" xfId="0" applyFont="1" applyFill="1" applyBorder="1" applyNumberFormat="1">
      <alignment horizontal="left" vertical="center" wrapText="1"/>
      <protection locked="0"/>
    </xf>
    <xf numFmtId="49" fontId="36" fillId="40" borderId="16" xfId="0" applyFont="1" applyFill="1" applyBorder="1" applyNumberFormat="1">
      <alignment horizontal="center" vertical="center"/>
    </xf>
    <xf numFmtId="49" fontId="48" fillId="40" borderId="15" xfId="0" applyFont="1" applyFill="1" applyBorder="1" applyNumberFormat="1">
      <alignment horizontal="left" vertical="center"/>
    </xf>
    <xf numFmtId="49" fontId="53" fillId="0" borderId="0" xfId="0" applyFont="1" applyNumberFormat="1">
      <alignment horizontal="right" vertical="top"/>
    </xf>
    <xf numFmtId="49" fontId="23" fillId="0" borderId="0" xfId="0" applyFont="1" applyNumberFormat="1">
      <alignment horizontal="left" vertical="top" wrapText="1"/>
    </xf>
    <xf numFmtId="49" fontId="53" fillId="0" borderId="0" xfId="0" applyFont="1" applyNumberFormat="1">
      <alignment vertical="top"/>
    </xf>
    <xf numFmtId="0" fontId="23" fillId="0" borderId="0" xfId="0" applyFont="1" applyNumberFormat="1"/>
    <xf numFmtId="0" fontId="45" fillId="0" borderId="0" xfId="0" applyFont="1" applyNumberFormat="1">
      <alignment horizontal="center" vertical="center"/>
    </xf>
    <xf numFmtId="0" fontId="23" fillId="0" borderId="0" xfId="0" applyFont="1" applyNumberFormat="1"/>
    <xf numFmtId="49" fontId="23" fillId="0" borderId="14" xfId="0" applyFont="1" applyBorder="1" applyNumberFormat="1">
      <alignment horizontal="left" vertical="center" wrapText="1"/>
    </xf>
    <xf numFmtId="49" fontId="48" fillId="40" borderId="15" xfId="0" applyFont="1" applyFill="1" applyBorder="1" applyNumberFormat="1">
      <alignment horizontal="left" vertical="center"/>
    </xf>
    <xf numFmtId="49" fontId="0" fillId="0" borderId="17" xfId="0" applyFont="1" applyBorder="1" applyNumberFormat="1">
      <alignment horizontal="left" vertical="center" indent="1"/>
    </xf>
    <xf numFmtId="49" fontId="70" fillId="0" borderId="0" xfId="0" applyFont="1" applyNumberFormat="1">
      <alignment vertical="top"/>
    </xf>
    <xf numFmtId="49" fontId="0" fillId="0" borderId="27" xfId="0" applyFont="1" applyBorder="1" applyNumberFormat="1">
      <alignment horizontal="center" vertical="center"/>
    </xf>
    <xf numFmtId="49" fontId="0" fillId="0" borderId="0" xfId="0" applyFont="1" applyNumberFormat="1">
      <alignment vertical="top"/>
    </xf>
    <xf numFmtId="49" fontId="0" fillId="41" borderId="0" xfId="0" applyFont="1" applyFill="1" applyNumberFormat="1">
      <alignment vertical="top"/>
    </xf>
    <xf numFmtId="0" fontId="45" fillId="37" borderId="0" xfId="0" applyFont="1" applyFill="1" applyNumberFormat="1">
      <alignment horizontal="center" vertical="center" wrapText="1"/>
    </xf>
    <xf numFmtId="0" fontId="45" fillId="37" borderId="0" xfId="0" applyFont="1" applyFill="1" applyNumberFormat="1">
      <alignment horizontal="center"/>
    </xf>
    <xf numFmtId="49" fontId="23" fillId="39" borderId="14" xfId="0" applyFont="1" applyFill="1" applyBorder="1" applyNumberFormat="1">
      <alignment horizontal="left" vertical="center" wrapText="1"/>
      <protection locked="0"/>
    </xf>
    <xf numFmtId="0" fontId="50" fillId="0" borderId="0" xfId="0" applyFont="1" applyNumberFormat="1">
      <alignment vertical="center" wrapText="1"/>
    </xf>
    <xf numFmtId="0" fontId="45" fillId="0" borderId="0" xfId="0" applyFont="1" applyNumberFormat="1">
      <alignment horizontal="center" vertical="center" wrapText="1"/>
    </xf>
    <xf numFmtId="0" fontId="23" fillId="0" borderId="14" xfId="0" applyFont="1" applyBorder="1" applyNumberFormat="1">
      <alignment horizontal="center" vertical="center" wrapText="1"/>
    </xf>
    <xf numFmtId="0" fontId="55" fillId="0" borderId="14" xfId="0" applyFont="1" applyBorder="1" applyNumberFormat="1">
      <alignment horizontal="center" vertical="center"/>
    </xf>
    <xf numFmtId="0" fontId="23" fillId="0" borderId="25" xfId="0" applyFont="1" applyBorder="1" applyNumberFormat="1">
      <alignment horizontal="center" vertical="center" wrapText="1"/>
    </xf>
    <xf numFmtId="0" fontId="54" fillId="0" borderId="25" xfId="0" applyFont="1" applyBorder="1" applyNumberFormat="1">
      <alignment horizontal="center" vertical="center" wrapText="1"/>
    </xf>
    <xf numFmtId="0" fontId="54" fillId="0" borderId="0" xfId="0" applyFont="1" applyNumberFormat="1">
      <alignment horizontal="center" vertical="center" wrapText="1"/>
    </xf>
    <xf numFmtId="0" fontId="54" fillId="0" borderId="14" xfId="0" applyFont="1" applyBorder="1" applyNumberFormat="1">
      <alignment horizontal="center" vertical="center" wrapText="1"/>
    </xf>
    <xf numFmtId="14" fontId="23" fillId="43" borderId="14" xfId="0" applyFont="1" applyFill="1" applyBorder="1" applyNumberFormat="1">
      <alignment horizontal="left" vertical="center" wrapText="1" indent="1"/>
    </xf>
    <xf numFmtId="49" fontId="23" fillId="38" borderId="14" xfId="0" applyFont="1" applyFill="1" applyBorder="1" applyNumberFormat="1">
      <alignment horizontal="center" vertical="center" wrapText="1"/>
    </xf>
    <xf numFmtId="49" fontId="58" fillId="41" borderId="0" xfId="0" applyFont="1" applyFill="1" applyNumberFormat="1">
      <alignment vertical="top"/>
    </xf>
    <xf numFmtId="49" fontId="58" fillId="0" borderId="0" xfId="0" applyFont="1" applyNumberFormat="1">
      <alignment vertical="top"/>
    </xf>
    <xf numFmtId="0" fontId="0" fillId="0" borderId="0" xfId="0" applyFont="1" applyNumberFormat="1">
      <alignment vertical="center"/>
    </xf>
    <xf numFmtId="0" fontId="44" fillId="0" borderId="26" xfId="0" applyFont="1" applyBorder="1" applyNumberFormat="1">
      <alignment horizontal="center" vertical="center" wrapText="1"/>
    </xf>
    <xf numFmtId="14" fontId="86" fillId="0" borderId="19" xfId="0" applyFont="1" applyBorder="1" applyNumberFormat="1">
      <alignment horizontal="center" vertical="center" wrapText="1"/>
    </xf>
    <xf numFmtId="0" fontId="80" fillId="0" borderId="14" xfId="0" applyFont="1" applyBorder="1" applyNumberFormat="1">
      <alignment horizontal="left" vertical="center" wrapText="1" indent="1"/>
    </xf>
    <xf numFmtId="0" fontId="86" fillId="0" borderId="19" xfId="0" applyFont="1" applyBorder="1" applyNumberFormat="1">
      <alignment horizontal="center" vertical="center" wrapText="1"/>
    </xf>
    <xf numFmtId="49" fontId="23" fillId="0" borderId="14" xfId="0" applyFont="1" applyBorder="1" applyNumberFormat="1">
      <alignment horizontal="center" vertical="center" wrapText="1"/>
    </xf>
    <xf numFmtId="0" fontId="79" fillId="0" borderId="0" xfId="0" applyFont="1" applyNumberFormat="1">
      <alignment vertical="center"/>
    </xf>
    <xf numFmtId="14" fontId="86" fillId="0" borderId="38" xfId="0" applyFont="1" applyBorder="1" applyNumberFormat="1">
      <alignment horizontal="center" vertical="center" wrapText="1"/>
    </xf>
    <xf numFmtId="0" fontId="80" fillId="0" borderId="14" xfId="0" applyFont="1" applyBorder="1" applyNumberFormat="1">
      <alignment horizontal="left" vertical="top" indent="1"/>
    </xf>
    <xf numFmtId="49" fontId="0" fillId="0" borderId="14" xfId="0" applyFont="1" applyBorder="1" applyNumberFormat="1">
      <alignment vertical="top"/>
    </xf>
    <xf numFmtId="0" fontId="44" fillId="0" borderId="14" xfId="0" applyFont="1" applyBorder="1" applyNumberFormat="1">
      <alignment horizontal="center" vertical="center" wrapText="1"/>
    </xf>
    <xf numFmtId="0" fontId="23" fillId="43" borderId="14" xfId="0" applyFont="1" applyFill="1" applyBorder="1" applyNumberFormat="1">
      <alignment horizontal="left" vertical="center" wrapText="1" indent="1"/>
    </xf>
    <xf numFmtId="0" fontId="44" fillId="0" borderId="14" xfId="0" applyFont="1" applyBorder="1" applyNumberFormat="1">
      <alignment horizontal="center" vertical="center" wrapText="1"/>
    </xf>
    <xf numFmtId="49" fontId="23" fillId="0" borderId="15" xfId="0" applyFont="1" applyBorder="1" applyNumberFormat="1">
      <alignment horizontal="center" vertical="center" wrapText="1"/>
    </xf>
    <xf numFmtId="49" fontId="80" fillId="42" borderId="14" xfId="0" applyFont="1" applyFill="1" applyBorder="1" applyNumberFormat="1">
      <alignment horizontal="left" vertical="center" wrapText="1" indent="1"/>
      <protection locked="0"/>
    </xf>
    <xf numFmtId="49" fontId="23" fillId="37" borderId="0" xfId="0" applyFont="1" applyFill="1" applyNumberFormat="1">
      <alignment horizontal="center" vertical="center" wrapText="1"/>
    </xf>
    <xf numFmtId="0" fontId="23" fillId="37" borderId="0" xfId="0" applyFont="1" applyFill="1" applyNumberFormat="1">
      <alignment horizontal="center" vertical="top" wrapText="1"/>
    </xf>
    <xf numFmtId="49" fontId="23" fillId="43" borderId="16" xfId="0" applyFont="1" applyFill="1" applyBorder="1" applyNumberFormat="1">
      <alignment horizontal="left" vertical="center" wrapText="1"/>
    </xf>
    <xf numFmtId="49" fontId="0" fillId="0" borderId="14" xfId="0" applyFont="1" applyBorder="1" applyNumberFormat="1">
      <alignment vertical="top"/>
    </xf>
    <xf numFmtId="0" fontId="0" fillId="0" borderId="14" xfId="0" applyFont="1" applyBorder="1" applyNumberFormat="1">
      <alignment horizontal="center" vertical="center" wrapText="1"/>
    </xf>
    <xf numFmtId="49" fontId="0" fillId="42" borderId="14" xfId="0" applyFont="1" applyFill="1" applyBorder="1" applyNumberFormat="1">
      <alignment horizontal="left" vertical="center" wrapText="1"/>
      <protection locked="0"/>
    </xf>
    <xf numFmtId="49" fontId="23" fillId="0" borderId="0" xfId="0" applyFont="1" applyNumberFormat="1">
      <alignment vertical="top"/>
    </xf>
    <xf numFmtId="0" fontId="45" fillId="37" borderId="0" xfId="0" applyFont="1" applyFill="1" applyNumberFormat="1">
      <alignment vertical="top" wrapText="1"/>
    </xf>
    <xf numFmtId="0" fontId="23" fillId="37" borderId="16" xfId="0" applyFont="1" applyFill="1" applyBorder="1" applyNumberFormat="1">
      <alignment horizontal="center" vertical="center" wrapText="1"/>
    </xf>
    <xf numFmtId="0" fontId="55" fillId="37" borderId="14" xfId="0" applyFont="1" applyFill="1" applyBorder="1" applyNumberFormat="1">
      <alignment horizontal="center" vertical="center" wrapText="1"/>
    </xf>
    <xf numFmtId="14" fontId="23" fillId="43" borderId="31" xfId="0" applyFont="1" applyFill="1" applyBorder="1" applyNumberFormat="1">
      <alignment horizontal="left" vertical="center" wrapText="1"/>
    </xf>
    <xf numFmtId="49" fontId="127" fillId="42" borderId="14" xfId="0" applyFont="1" applyFill="1" applyBorder="1" applyNumberFormat="1">
      <alignment horizontal="left" vertical="center" wrapText="1"/>
      <protection locked="0"/>
    </xf>
    <xf numFmtId="49" fontId="0" fillId="0" borderId="14" xfId="0" applyFont="1" applyBorder="1" applyNumberFormat="1">
      <alignment horizontal="center" vertical="center" wrapText="1"/>
    </xf>
    <xf numFmtId="0" fontId="23" fillId="43" borderId="16" xfId="0" applyFont="1" applyFill="1" applyBorder="1" applyNumberFormat="1">
      <alignment horizontal="left" vertical="center" wrapText="1"/>
    </xf>
    <xf numFmtId="0" fontId="0" fillId="0" borderId="25" xfId="0" applyFont="1" applyBorder="1" applyNumberFormat="1">
      <alignment horizontal="center" vertical="center" wrapText="1"/>
    </xf>
    <xf numFmtId="49" fontId="45" fillId="0" borderId="0" xfId="0" applyFont="1" applyNumberFormat="1">
      <alignment horizontal="center" vertical="center" wrapText="1"/>
    </xf>
    <xf numFmtId="167" fontId="0" fillId="42" borderId="14" xfId="0" applyFont="1" applyFill="1" applyBorder="1" applyNumberFormat="1">
      <alignment horizontal="center" vertical="center" wrapText="1"/>
      <protection locked="0"/>
    </xf>
    <xf numFmtId="49" fontId="0" fillId="42" borderId="14" xfId="0" applyFont="1" applyFill="1" applyBorder="1" applyNumberFormat="1">
      <alignment horizontal="center" vertical="center" wrapText="1"/>
      <protection locked="0"/>
    </xf>
    <xf numFmtId="49" fontId="0" fillId="37" borderId="14" xfId="0" applyFont="1" applyFill="1" applyBorder="1" applyNumberFormat="1">
      <alignment horizontal="center" vertical="center" wrapText="1"/>
    </xf>
    <xf numFmtId="0" fontId="0" fillId="42" borderId="16" xfId="0" applyFont="1" applyFill="1" applyBorder="1" applyNumberFormat="1">
      <alignment horizontal="left" vertical="center" wrapText="1" indent="2"/>
      <protection locked="0"/>
    </xf>
    <xf numFmtId="0" fontId="45" fillId="0" borderId="26" xfId="0" applyFont="1" applyBorder="1" applyNumberFormat="1">
      <alignment horizontal="center" vertical="center" wrapText="1"/>
    </xf>
    <xf numFmtId="49" fontId="23" fillId="0" borderId="14" xfId="0" applyFont="1" applyBorder="1" applyNumberFormat="1">
      <alignment horizontal="center" vertical="top" wrapText="1"/>
    </xf>
    <xf numFmtId="0" fontId="0" fillId="38" borderId="14" xfId="0" applyFont="1" applyFill="1" applyBorder="1" applyNumberFormat="1">
      <alignment horizontal="left" vertical="top" wrapText="1" indent="1"/>
    </xf>
    <xf numFmtId="49" fontId="23" fillId="43" borderId="19" xfId="0" applyFont="1" applyFill="1" applyBorder="1" applyNumberFormat="1">
      <alignment horizontal="center" vertical="top" wrapText="1"/>
    </xf>
    <xf numFmtId="167" fontId="0" fillId="42" borderId="14" xfId="0" applyFont="1" applyFill="1" applyBorder="1" applyNumberFormat="1">
      <alignment horizontal="center" vertical="top" wrapText="1"/>
      <protection locked="0"/>
    </xf>
    <xf numFmtId="167" fontId="0" fillId="39" borderId="14" xfId="0" applyFont="1" applyFill="1" applyBorder="1" applyNumberFormat="1">
      <alignment horizontal="center" vertical="top" wrapText="1"/>
      <protection locked="0"/>
    </xf>
    <xf numFmtId="49" fontId="23" fillId="43" borderId="14" xfId="0" applyFont="1" applyFill="1" applyBorder="1" applyNumberFormat="1">
      <alignment horizontal="left" vertical="top" wrapText="1"/>
    </xf>
    <xf numFmtId="49" fontId="23" fillId="42" borderId="14" xfId="0" applyFont="1" applyFill="1" applyBorder="1" applyNumberFormat="1">
      <alignment horizontal="left" vertical="top" wrapText="1"/>
      <protection locked="0"/>
    </xf>
    <xf numFmtId="49" fontId="0" fillId="38" borderId="14" xfId="0" applyFont="1" applyFill="1" applyBorder="1" applyNumberFormat="1">
      <alignment horizontal="center" vertical="top" wrapText="1"/>
    </xf>
    <xf numFmtId="0" fontId="23" fillId="38" borderId="14" xfId="0" applyFont="1" applyFill="1" applyBorder="1" applyNumberFormat="1">
      <alignment horizontal="center" vertical="top" wrapText="1"/>
    </xf>
    <xf numFmtId="0" fontId="23" fillId="39" borderId="14" xfId="0" applyFont="1" applyFill="1" applyBorder="1" applyNumberFormat="1">
      <alignment horizontal="left" vertical="top" wrapText="1"/>
      <protection locked="0"/>
    </xf>
    <xf numFmtId="49" fontId="23" fillId="43" borderId="14" xfId="0" applyFont="1" applyFill="1" applyBorder="1" applyNumberFormat="1">
      <alignment horizontal="center" vertical="top" wrapText="1"/>
    </xf>
    <xf numFmtId="0" fontId="23" fillId="0" borderId="38" xfId="0" applyFont="1" applyBorder="1" applyNumberFormat="1">
      <alignment horizontal="center" vertical="center" wrapText="1"/>
    </xf>
    <xf numFmtId="0" fontId="23" fillId="0" borderId="14" xfId="0" applyFont="1" applyBorder="1" applyNumberFormat="1">
      <alignment horizontal="center" vertical="center" wrapText="1"/>
    </xf>
    <xf numFmtId="49" fontId="23" fillId="42" borderId="19" xfId="0" applyFont="1" applyFill="1" applyBorder="1" applyNumberFormat="1">
      <alignment horizontal="left" vertical="center" wrapText="1" indent="1"/>
      <protection locked="0"/>
    </xf>
    <xf numFmtId="0" fontId="23" fillId="0" borderId="26" xfId="0" applyFont="1" applyBorder="1" applyNumberFormat="1">
      <alignment vertical="top" wrapText="1"/>
    </xf>
    <xf numFmtId="49" fontId="23" fillId="43" borderId="25" xfId="0" applyFont="1" applyFill="1" applyBorder="1" applyNumberFormat="1">
      <alignment horizontal="center" vertical="top" wrapText="1"/>
    </xf>
    <xf numFmtId="49" fontId="0" fillId="42" borderId="14" xfId="0" applyFont="1" applyFill="1" applyBorder="1" applyNumberFormat="1">
      <alignment horizontal="center" vertical="top" wrapText="1"/>
      <protection locked="0"/>
    </xf>
    <xf numFmtId="49" fontId="0" fillId="39" borderId="14" xfId="0" applyFont="1" applyFill="1" applyBorder="1" applyNumberFormat="1">
      <alignment horizontal="center" vertical="top" wrapText="1"/>
      <protection locked="0"/>
    </xf>
    <xf numFmtId="49" fontId="23" fillId="43" borderId="16" xfId="0" applyFont="1" applyFill="1" applyBorder="1" applyNumberFormat="1">
      <alignment horizontal="center" vertical="top" wrapText="1"/>
    </xf>
    <xf numFmtId="49" fontId="23" fillId="0" borderId="38" xfId="0" applyFont="1" applyBorder="1" applyNumberFormat="1">
      <alignment horizontal="center" vertical="top" wrapText="1"/>
    </xf>
    <xf numFmtId="0" fontId="0" fillId="38" borderId="38" xfId="0" applyFont="1" applyFill="1" applyBorder="1" applyNumberFormat="1">
      <alignment horizontal="left" vertical="top" wrapText="1" indent="1"/>
    </xf>
    <xf numFmtId="49" fontId="23" fillId="43" borderId="38" xfId="0" applyFont="1" applyFill="1" applyBorder="1" applyNumberFormat="1">
      <alignment horizontal="center" vertical="top" wrapText="1"/>
    </xf>
    <xf numFmtId="49" fontId="0" fillId="42" borderId="38" xfId="0" applyFont="1" applyFill="1" applyBorder="1" applyNumberFormat="1">
      <alignment horizontal="center" vertical="top" wrapText="1"/>
      <protection locked="0"/>
    </xf>
    <xf numFmtId="49" fontId="0" fillId="39" borderId="38" xfId="0" applyFont="1" applyFill="1" applyBorder="1" applyNumberFormat="1">
      <alignment horizontal="center" vertical="top" wrapText="1"/>
      <protection locked="0"/>
    </xf>
    <xf numFmtId="49" fontId="23" fillId="43" borderId="38" xfId="0" applyFont="1" applyFill="1" applyBorder="1" applyNumberFormat="1">
      <alignment horizontal="left" vertical="top" wrapText="1"/>
    </xf>
    <xf numFmtId="49" fontId="23" fillId="42" borderId="38" xfId="0" applyFont="1" applyFill="1" applyBorder="1" applyNumberFormat="1">
      <alignment horizontal="left" vertical="top" wrapText="1"/>
      <protection locked="0"/>
    </xf>
    <xf numFmtId="49" fontId="0" fillId="38" borderId="38" xfId="0" applyFont="1" applyFill="1" applyBorder="1" applyNumberFormat="1">
      <alignment horizontal="center" vertical="top" wrapText="1"/>
    </xf>
    <xf numFmtId="0" fontId="23" fillId="38" borderId="38" xfId="0" applyFont="1" applyFill="1" applyBorder="1" applyNumberFormat="1">
      <alignment horizontal="center" vertical="top" wrapText="1"/>
    </xf>
    <xf numFmtId="0" fontId="23" fillId="39" borderId="38" xfId="0" applyFont="1" applyFill="1" applyBorder="1" applyNumberFormat="1">
      <alignment horizontal="left" vertical="top" wrapText="1"/>
      <protection locked="0"/>
    </xf>
    <xf numFmtId="0" fontId="108" fillId="0" borderId="50" xfId="0" applyFont="1" applyBorder="1" applyNumberFormat="1">
      <alignment horizontal="left" vertical="center" indent="1"/>
    </xf>
    <xf numFmtId="0" fontId="108" fillId="0" borderId="51" xfId="0" applyFont="1" applyBorder="1" applyNumberFormat="1">
      <alignment horizontal="left" vertical="center" indent="1"/>
    </xf>
    <xf numFmtId="0" fontId="0" fillId="0" borderId="51" xfId="0" applyFont="1" applyBorder="1" applyNumberFormat="1">
      <alignment horizontal="left" vertical="center" wrapText="1"/>
    </xf>
    <xf numFmtId="0" fontId="23" fillId="0" borderId="51" xfId="0" applyFont="1" applyBorder="1" applyNumberFormat="1">
      <alignment vertical="center" wrapText="1"/>
    </xf>
    <xf numFmtId="0" fontId="23" fillId="0" borderId="56" xfId="0" applyFont="1" applyBorder="1" applyNumberFormat="1">
      <alignment vertical="center" wrapText="1"/>
    </xf>
    <xf numFmtId="0" fontId="23" fillId="0" borderId="57" xfId="0" applyFont="1" applyBorder="1" applyNumberFormat="1">
      <alignment vertical="center" wrapText="1"/>
    </xf>
    <xf numFmtId="0" fontId="23" fillId="0" borderId="40" xfId="0" applyFont="1" applyBorder="1" applyNumberFormat="1">
      <alignment vertical="center" wrapText="1"/>
    </xf>
    <xf numFmtId="49" fontId="23" fillId="38" borderId="14" xfId="0" applyFont="1" applyFill="1" applyBorder="1" applyNumberFormat="1">
      <alignment horizontal="center" vertical="center" wrapText="1"/>
    </xf>
    <xf numFmtId="49" fontId="23" fillId="0" borderId="15" xfId="0" applyFont="1" applyBorder="1" applyNumberFormat="1">
      <alignment horizontal="center" vertical="center" wrapText="1"/>
    </xf>
    <xf numFmtId="49" fontId="23" fillId="43" borderId="15" xfId="0" applyFont="1" applyFill="1" applyBorder="1" applyNumberFormat="1">
      <alignment horizontal="left" vertical="center" wrapText="1"/>
    </xf>
    <xf numFmtId="49" fontId="23" fillId="42" borderId="14" xfId="0" applyFont="1" applyFill="1" applyBorder="1" applyNumberFormat="1">
      <alignment horizontal="left" vertical="center" wrapText="1"/>
      <protection locked="0"/>
    </xf>
    <xf numFmtId="49" fontId="23" fillId="43" borderId="16" xfId="0" applyFont="1" applyFill="1" applyBorder="1" applyNumberFormat="1">
      <alignment horizontal="center" vertical="center" wrapText="1"/>
    </xf>
    <xf numFmtId="49" fontId="110" fillId="40" borderId="45" xfId="0" applyFont="1" applyFill="1" applyBorder="1" applyNumberFormat="1">
      <alignment horizontal="left" vertical="center" indent="1"/>
    </xf>
    <xf numFmtId="49" fontId="99" fillId="40" borderId="45" xfId="0" applyFont="1" applyFill="1" applyBorder="1" applyNumberFormat="1">
      <alignment horizontal="center" vertical="center"/>
    </xf>
    <xf numFmtId="3" fontId="23" fillId="42" borderId="14" xfId="0" applyFont="1" applyFill="1" applyBorder="1" applyNumberFormat="1">
      <alignment horizontal="center" vertical="center" wrapText="1"/>
      <protection locked="0"/>
    </xf>
    <xf numFmtId="49" fontId="128" fillId="0" borderId="15" xfId="0" applyFont="1" applyBorder="1" applyNumberFormat="1">
      <alignment horizontal="center" vertical="center" wrapText="1"/>
    </xf>
    <xf numFmtId="0" fontId="53" fillId="0" borderId="14" xfId="0" applyFont="1" applyBorder="1" applyNumberFormat="1">
      <alignment horizontal="center" vertical="center"/>
    </xf>
    <xf numFmtId="49" fontId="23" fillId="43" borderId="19" xfId="0" applyFont="1" applyFill="1" applyBorder="1" applyNumberFormat="1">
      <alignment horizontal="left" vertical="center" wrapText="1" indent="1"/>
    </xf>
    <xf numFmtId="49" fontId="23" fillId="0" borderId="14" xfId="0" applyFont="1" applyBorder="1" applyNumberFormat="1">
      <alignment horizontal="left" vertical="center" wrapText="1"/>
    </xf>
    <xf numFmtId="49" fontId="110" fillId="40" borderId="16" xfId="0" applyFont="1" applyFill="1" applyBorder="1" applyNumberFormat="1">
      <alignment horizontal="left" vertical="center" indent="1"/>
    </xf>
    <xf numFmtId="49" fontId="110" fillId="40" borderId="17" xfId="0" applyFont="1" applyFill="1" applyBorder="1" applyNumberFormat="1">
      <alignment horizontal="left" vertical="center" indent="1"/>
    </xf>
    <xf numFmtId="49" fontId="53" fillId="40" borderId="17" xfId="0" applyFont="1" applyFill="1" applyBorder="1" applyNumberFormat="1">
      <alignment vertical="top" wrapText="1"/>
    </xf>
    <xf numFmtId="49" fontId="53" fillId="40" borderId="15" xfId="0" applyFont="1" applyFill="1" applyBorder="1" applyNumberFormat="1">
      <alignment vertical="top" wrapText="1"/>
    </xf>
    <xf numFmtId="49" fontId="23" fillId="43" borderId="38" xfId="0" applyFont="1" applyFill="1" applyBorder="1" applyNumberFormat="1">
      <alignment horizontal="left" vertical="center" wrapText="1" indent="1"/>
    </xf>
    <xf numFmtId="49" fontId="23" fillId="38" borderId="14" xfId="0" applyFont="1" applyFill="1" applyBorder="1" applyNumberFormat="1">
      <alignment horizontal="left" vertical="center" wrapText="1"/>
    </xf>
    <xf numFmtId="49" fontId="128" fillId="0" borderId="0" xfId="0" applyFont="1" applyNumberFormat="1">
      <alignment horizontal="center" vertical="top" wrapText="1"/>
    </xf>
    <xf numFmtId="0" fontId="53" fillId="0" borderId="14" xfId="0" applyFont="1" applyBorder="1" applyNumberFormat="1">
      <alignment horizontal="center" vertical="center"/>
    </xf>
    <xf numFmtId="0" fontId="53" fillId="43" borderId="14" xfId="0" applyFont="1" applyFill="1" applyBorder="1" applyNumberFormat="1">
      <alignment horizontal="left" vertical="center" wrapText="1" indent="1"/>
    </xf>
    <xf numFmtId="4" fontId="23" fillId="42" borderId="33" xfId="0" applyFont="1" applyFill="1" applyBorder="1" applyNumberFormat="1">
      <alignment horizontal="right" vertical="center" wrapText="1"/>
      <protection locked="0"/>
    </xf>
    <xf numFmtId="49" fontId="23" fillId="43" borderId="25" xfId="0" applyFont="1" applyFill="1" applyBorder="1" applyNumberFormat="1">
      <alignment horizontal="left" vertical="center" wrapText="1" indent="1"/>
    </xf>
    <xf numFmtId="49" fontId="48" fillId="40" borderId="17" xfId="0" applyFont="1" applyFill="1" applyBorder="1" applyNumberFormat="1">
      <alignment horizontal="left" vertical="center" indent="1"/>
    </xf>
    <xf numFmtId="49" fontId="53" fillId="40" borderId="54" xfId="0" applyFont="1" applyFill="1" applyBorder="1" applyNumberFormat="1">
      <alignment vertical="top" wrapText="1"/>
    </xf>
    <xf numFmtId="49" fontId="110" fillId="40" borderId="54" xfId="0" applyFont="1" applyFill="1" applyBorder="1" applyNumberFormat="1">
      <alignment horizontal="left" vertical="center" indent="1"/>
    </xf>
    <xf numFmtId="49" fontId="23" fillId="38" borderId="77" xfId="0" applyFont="1" applyFill="1" applyBorder="1" applyNumberFormat="1">
      <alignment horizontal="center" vertical="center" wrapText="1"/>
    </xf>
    <xf numFmtId="0" fontId="0" fillId="40" borderId="52" xfId="0" applyFont="1" applyFill="1" applyBorder="1" applyNumberFormat="1">
      <alignment horizontal="left" vertical="center"/>
    </xf>
    <xf numFmtId="49" fontId="48" fillId="40" borderId="53" xfId="0" applyFont="1" applyFill="1" applyBorder="1" applyNumberFormat="1">
      <alignment horizontal="left" vertical="center" indent="1"/>
    </xf>
    <xf numFmtId="0" fontId="23" fillId="40" borderId="52" xfId="0" applyFont="1" applyFill="1" applyBorder="1" applyNumberFormat="1">
      <alignment vertical="center" wrapText="1"/>
    </xf>
    <xf numFmtId="0" fontId="23" fillId="40" borderId="53" xfId="0" applyFont="1" applyFill="1" applyBorder="1" applyNumberFormat="1">
      <alignment vertical="center" wrapText="1"/>
    </xf>
    <xf numFmtId="0" fontId="23" fillId="40" borderId="55" xfId="0" applyFont="1" applyFill="1" applyBorder="1" applyNumberFormat="1">
      <alignment vertical="center" wrapText="1"/>
    </xf>
    <xf numFmtId="49" fontId="0" fillId="38" borderId="38" xfId="0" applyFont="1" applyFill="1" applyBorder="1" applyNumberFormat="1">
      <alignment vertical="top"/>
    </xf>
    <xf numFmtId="49" fontId="0" fillId="0" borderId="38" xfId="0" applyFont="1" applyBorder="1" applyNumberFormat="1">
      <alignment vertical="top"/>
    </xf>
    <xf numFmtId="49" fontId="23" fillId="43" borderId="19" xfId="0" applyFont="1" applyFill="1" applyBorder="1" applyNumberFormat="1">
      <alignment vertical="center" wrapText="1"/>
    </xf>
    <xf numFmtId="49" fontId="0" fillId="42" borderId="38" xfId="0" applyFont="1" applyFill="1" applyBorder="1" applyNumberFormat="1">
      <alignment vertical="top"/>
      <protection locked="0"/>
    </xf>
    <xf numFmtId="49" fontId="128" fillId="0" borderId="14" xfId="0" applyFont="1" applyBorder="1" applyNumberFormat="1">
      <alignment horizontal="center" vertical="center" wrapText="1"/>
    </xf>
    <xf numFmtId="49" fontId="0" fillId="42" borderId="19" xfId="0" applyFont="1" applyFill="1" applyBorder="1" applyNumberFormat="1">
      <alignment vertical="top"/>
      <protection locked="0"/>
    </xf>
    <xf numFmtId="14" fontId="23" fillId="43" borderId="38" xfId="0" applyFont="1" applyFill="1" applyBorder="1" applyNumberFormat="1">
      <alignment horizontal="left" vertical="center" wrapText="1" indent="1"/>
    </xf>
    <xf numFmtId="49" fontId="23" fillId="43" borderId="38" xfId="0" applyFont="1" applyFill="1" applyBorder="1" applyNumberFormat="1">
      <alignment vertical="center" wrapText="1"/>
    </xf>
    <xf numFmtId="49" fontId="23" fillId="43" borderId="25" xfId="0" applyFont="1" applyFill="1" applyBorder="1" applyNumberFormat="1">
      <alignment vertical="center" wrapText="1"/>
    </xf>
    <xf numFmtId="49" fontId="0" fillId="42" borderId="25" xfId="0" applyFont="1" applyFill="1" applyBorder="1" applyNumberFormat="1">
      <alignment vertical="top"/>
      <protection locked="0"/>
    </xf>
    <xf numFmtId="49" fontId="128" fillId="0" borderId="38" xfId="0" applyFont="1" applyBorder="1" applyNumberFormat="1">
      <alignment horizontal="center" vertical="top" wrapText="1"/>
    </xf>
    <xf numFmtId="0" fontId="53" fillId="0" borderId="15" xfId="0" applyFont="1" applyBorder="1" applyNumberFormat="1">
      <alignment horizontal="center" vertical="center"/>
    </xf>
    <xf numFmtId="0" fontId="108" fillId="0" borderId="49" xfId="0" applyFont="1" applyBorder="1" applyNumberFormat="1">
      <alignment horizontal="left" vertical="center" indent="1"/>
    </xf>
    <xf numFmtId="49" fontId="23" fillId="0" borderId="58" xfId="0" applyFont="1" applyBorder="1" applyNumberFormat="1">
      <alignment horizontal="center" vertical="center"/>
    </xf>
    <xf numFmtId="0" fontId="23" fillId="0" borderId="58" xfId="0" applyFont="1" applyBorder="1" applyNumberFormat="1">
      <alignment horizontal="right" vertical="center"/>
    </xf>
    <xf numFmtId="0" fontId="23" fillId="0" borderId="58" xfId="0" applyFont="1" applyBorder="1" applyNumberFormat="1">
      <alignment horizontal="center" vertical="center"/>
    </xf>
    <xf numFmtId="0" fontId="23" fillId="0" borderId="17" xfId="0" applyFont="1" applyBorder="1" applyNumberFormat="1">
      <alignment horizontal="right" vertical="center"/>
    </xf>
    <xf numFmtId="0" fontId="23" fillId="0" borderId="15" xfId="0" applyFont="1" applyBorder="1" applyNumberFormat="1">
      <alignment horizontal="right" vertical="center"/>
    </xf>
    <xf numFmtId="49" fontId="0" fillId="0" borderId="0" xfId="0" applyFont="1" applyNumberFormat="1">
      <alignment vertical="top"/>
    </xf>
    <xf numFmtId="0" fontId="23" fillId="37" borderId="14" xfId="0" applyFont="1" applyFill="1" applyBorder="1" applyNumberFormat="1">
      <alignment horizontal="center" vertical="center"/>
    </xf>
    <xf numFmtId="0" fontId="23" fillId="43" borderId="14" xfId="0" applyFont="1" applyFill="1" applyBorder="1" applyNumberFormat="1">
      <alignment horizontal="left" vertical="center" wrapText="1" indent="1"/>
    </xf>
    <xf numFmtId="0" fontId="23" fillId="42" borderId="14" xfId="0" applyFont="1" applyFill="1" applyBorder="1" applyNumberFormat="1">
      <alignment horizontal="left" vertical="center" wrapText="1" indent="1"/>
      <protection locked="0"/>
    </xf>
    <xf numFmtId="49" fontId="23" fillId="39" borderId="14" xfId="0" applyFont="1" applyFill="1" applyBorder="1" applyNumberFormat="1">
      <alignment horizontal="left" vertical="center" indent="1"/>
      <protection locked="0"/>
    </xf>
    <xf numFmtId="0" fontId="23" fillId="34" borderId="14" xfId="0" applyFont="1" applyFill="1" applyBorder="1" applyNumberFormat="1">
      <alignment horizontal="right" vertical="center"/>
    </xf>
    <xf numFmtId="4" fontId="23" fillId="39" borderId="14" xfId="0" applyFont="1" applyFill="1" applyBorder="1" applyNumberFormat="1">
      <alignment horizontal="right" vertical="center"/>
      <protection locked="0"/>
    </xf>
    <xf numFmtId="49" fontId="48" fillId="40" borderId="59" xfId="0" applyFont="1" applyFill="1" applyBorder="1" applyNumberFormat="1">
      <alignment horizontal="left" vertical="center" indent="1"/>
    </xf>
    <xf numFmtId="49" fontId="48" fillId="40" borderId="53" xfId="0" applyFont="1" applyFill="1" applyBorder="1" applyNumberFormat="1">
      <alignment horizontal="left" vertical="center" indent="1"/>
    </xf>
    <xf numFmtId="49" fontId="48" fillId="40" borderId="53" xfId="0" applyFont="1" applyFill="1" applyBorder="1" applyNumberFormat="1">
      <alignment horizontal="left" vertical="center" indent="1"/>
    </xf>
    <xf numFmtId="49" fontId="48" fillId="54" borderId="15" xfId="0" applyFont="1" applyFill="1" applyBorder="1" applyNumberFormat="1">
      <alignment horizontal="left" vertical="center" indent="1"/>
    </xf>
    <xf numFmtId="49" fontId="23" fillId="0" borderId="0" xfId="0" applyFont="1" applyNumberFormat="1">
      <alignment vertical="top"/>
    </xf>
    <xf numFmtId="49" fontId="23" fillId="0" borderId="19" xfId="0" applyFont="1" applyBorder="1" applyNumberFormat="1">
      <alignment horizontal="center" vertical="center" wrapText="1"/>
    </xf>
    <xf numFmtId="49" fontId="23" fillId="0" borderId="38" xfId="0" applyFont="1" applyBorder="1" applyNumberFormat="1">
      <alignment horizontal="center" vertical="center" wrapText="1"/>
    </xf>
    <xf numFmtId="0" fontId="54" fillId="0" borderId="0" xfId="0" applyFont="1" applyNumberFormat="1">
      <alignment horizontal="center" vertical="center" wrapText="1"/>
    </xf>
    <xf numFmtId="0" fontId="23" fillId="0" borderId="14" xfId="0" applyFont="1" applyBorder="1" applyNumberFormat="1">
      <alignment horizontal="left" vertical="center" wrapText="1"/>
    </xf>
    <xf numFmtId="0" fontId="55" fillId="0" borderId="0" xfId="0" applyFont="1" applyNumberFormat="1">
      <alignment horizontal="center" vertical="center" wrapText="1"/>
    </xf>
    <xf numFmtId="0" fontId="48" fillId="0" borderId="14" xfId="0" applyFont="1" applyBorder="1" applyNumberFormat="1">
      <alignment horizontal="left" vertical="center" indent="1"/>
    </xf>
    <xf numFmtId="0" fontId="54" fillId="0" borderId="0" xfId="0" applyFont="1" applyNumberFormat="1">
      <alignment horizontal="center" vertical="top"/>
    </xf>
    <xf numFmtId="49" fontId="23" fillId="0" borderId="25" xfId="0" applyFont="1" applyBorder="1" applyNumberFormat="1">
      <alignment horizontal="center" vertical="center" wrapText="1"/>
    </xf>
    <xf numFmtId="0" fontId="55" fillId="0" borderId="25" xfId="0" applyFont="1" applyBorder="1" applyNumberFormat="1">
      <alignment vertical="center" wrapText="1"/>
    </xf>
    <xf numFmtId="4" fontId="55" fillId="0" borderId="14" xfId="0" applyFont="1" applyBorder="1" applyNumberFormat="1">
      <alignment horizontal="right" vertical="center" wrapText="1"/>
    </xf>
    <xf numFmtId="2" fontId="55" fillId="0" borderId="25" xfId="0" applyFont="1" applyBorder="1" applyNumberFormat="1">
      <alignment horizontal="center" vertical="center" wrapText="1"/>
    </xf>
    <xf numFmtId="0" fontId="55" fillId="0" borderId="0" xfId="0" applyFont="1" applyNumberFormat="1">
      <alignment horizontal="center" vertical="top"/>
    </xf>
    <xf numFmtId="49" fontId="55" fillId="0" borderId="0" xfId="0" applyFont="1" applyNumberFormat="1">
      <alignment vertical="top"/>
    </xf>
    <xf numFmtId="49" fontId="55" fillId="0" borderId="16" xfId="0" applyFont="1" applyBorder="1" applyNumberFormat="1">
      <alignment horizontal="left" vertical="center"/>
    </xf>
    <xf numFmtId="49" fontId="55" fillId="0" borderId="17" xfId="0" applyFont="1" applyBorder="1" applyNumberFormat="1">
      <alignment horizontal="left" vertical="center" indent="1"/>
    </xf>
    <xf numFmtId="49" fontId="55" fillId="0" borderId="17" xfId="0" applyFont="1" applyBorder="1" applyNumberFormat="1">
      <alignment horizontal="left" vertical="center"/>
    </xf>
    <xf numFmtId="49" fontId="55" fillId="0" borderId="15" xfId="0" applyFont="1" applyBorder="1" applyNumberFormat="1">
      <alignment horizontal="left" vertical="center" indent="1"/>
    </xf>
    <xf numFmtId="0" fontId="55" fillId="0" borderId="14" xfId="0" applyFont="1" applyBorder="1" applyNumberFormat="1">
      <alignment horizontal="left" vertical="center" indent="1"/>
    </xf>
    <xf numFmtId="49" fontId="0" fillId="0" borderId="21" xfId="0" applyFont="1" applyBorder="1" applyNumberFormat="1">
      <alignment vertical="top"/>
    </xf>
    <xf numFmtId="49" fontId="45" fillId="0" borderId="19" xfId="0" applyFont="1" applyBorder="1" applyNumberFormat="1">
      <alignment horizontal="center" vertical="top" wrapText="1"/>
    </xf>
    <xf numFmtId="49" fontId="23" fillId="42" borderId="16" xfId="0" applyFont="1" applyFill="1" applyBorder="1" applyNumberFormat="1">
      <alignment horizontal="left" vertical="center" wrapText="1" indent="1"/>
      <protection locked="0"/>
    </xf>
    <xf numFmtId="49" fontId="0" fillId="0" borderId="15" xfId="0" applyFont="1" applyBorder="1" applyNumberFormat="1">
      <alignment horizontal="center" vertical="center" wrapText="1"/>
    </xf>
    <xf numFmtId="0" fontId="0" fillId="0" borderId="14" xfId="0" applyFont="1" applyBorder="1" applyNumberFormat="1">
      <alignment horizontal="left" vertical="center" wrapText="1"/>
    </xf>
    <xf numFmtId="49" fontId="0" fillId="0" borderId="14" xfId="0" applyFont="1" applyBorder="1" applyNumberFormat="1">
      <alignment horizontal="center" vertical="center"/>
    </xf>
    <xf numFmtId="0" fontId="0" fillId="0" borderId="14" xfId="0" applyFont="1" applyBorder="1" applyNumberFormat="1">
      <alignment horizontal="center" vertical="center" wrapText="1"/>
    </xf>
    <xf numFmtId="4" fontId="0" fillId="38" borderId="14" xfId="0" applyFont="1" applyFill="1" applyBorder="1" applyNumberFormat="1">
      <alignment horizontal="right" vertical="center" wrapText="1"/>
    </xf>
    <xf numFmtId="49" fontId="23" fillId="0" borderId="38" xfId="0" applyFont="1" applyBorder="1" applyNumberFormat="1">
      <alignment horizontal="center" vertical="top" wrapText="1"/>
    </xf>
    <xf numFmtId="0" fontId="0" fillId="42" borderId="14" xfId="0" applyFont="1" applyFill="1" applyBorder="1" applyNumberFormat="1">
      <alignment horizontal="left" vertical="center" wrapText="1"/>
      <protection locked="0"/>
    </xf>
    <xf numFmtId="49" fontId="0" fillId="42" borderId="16" xfId="0" applyFont="1" applyFill="1" applyBorder="1" applyNumberFormat="1">
      <alignment horizontal="left" vertical="center" wrapText="1"/>
      <protection locked="0"/>
    </xf>
    <xf numFmtId="0" fontId="0" fillId="0" borderId="14" xfId="0" applyFont="1" applyBorder="1" applyNumberFormat="1">
      <alignment vertical="center" wrapText="1"/>
    </xf>
    <xf numFmtId="49" fontId="0" fillId="0" borderId="31" xfId="0" applyFont="1" applyBorder="1" applyNumberFormat="1">
      <alignment horizontal="center" vertical="center" wrapText="1"/>
    </xf>
    <xf numFmtId="49" fontId="0" fillId="42" borderId="14" xfId="0" applyFont="1" applyFill="1" applyBorder="1" applyNumberFormat="1">
      <alignment horizontal="left" vertical="center" wrapText="1"/>
      <protection locked="0"/>
    </xf>
    <xf numFmtId="4" fontId="0" fillId="42" borderId="14" xfId="0" applyFont="1" applyFill="1" applyBorder="1" applyNumberFormat="1">
      <alignment horizontal="right" vertical="center" wrapText="1"/>
      <protection locked="0"/>
    </xf>
    <xf numFmtId="49" fontId="0" fillId="42" borderId="14" xfId="0" applyFont="1" applyFill="1" applyBorder="1" applyNumberFormat="1">
      <alignment horizontal="center" vertical="center" wrapText="1"/>
      <protection locked="0"/>
    </xf>
    <xf numFmtId="4" fontId="54" fillId="0" borderId="14" xfId="0" applyFont="1" applyBorder="1" applyNumberFormat="1">
      <alignment horizontal="right" vertical="center" wrapText="1"/>
    </xf>
    <xf numFmtId="49" fontId="0" fillId="42" borderId="14" xfId="0" applyFont="1" applyFill="1" applyBorder="1" applyNumberFormat="1">
      <alignment horizontal="left" vertical="center" wrapText="1"/>
      <protection locked="0"/>
    </xf>
    <xf numFmtId="49" fontId="0" fillId="40" borderId="32" xfId="0" applyFont="1" applyFill="1" applyBorder="1" applyNumberFormat="1">
      <alignment horizontal="center" vertical="center"/>
    </xf>
    <xf numFmtId="49" fontId="0" fillId="40" borderId="17" xfId="0" applyFont="1" applyFill="1" applyBorder="1" applyNumberFormat="1">
      <alignment horizontal="center" vertical="center"/>
    </xf>
    <xf numFmtId="49" fontId="48" fillId="40" borderId="17" xfId="0" applyFont="1" applyFill="1" applyBorder="1" applyNumberFormat="1">
      <alignment horizontal="left" vertical="center"/>
    </xf>
    <xf numFmtId="49" fontId="48" fillId="40" borderId="15" xfId="0" applyFont="1" applyFill="1" applyBorder="1" applyNumberFormat="1">
      <alignment horizontal="left" vertical="center" indent="1"/>
    </xf>
    <xf numFmtId="49" fontId="23" fillId="0" borderId="25" xfId="0" applyFont="1" applyBorder="1" applyNumberFormat="1">
      <alignment horizontal="center" vertical="top" wrapText="1"/>
    </xf>
    <xf numFmtId="49" fontId="23" fillId="42" borderId="14" xfId="0" applyFont="1" applyFill="1" applyBorder="1" applyNumberFormat="1">
      <alignment horizontal="left" vertical="center" wrapText="1" indent="1"/>
      <protection locked="0"/>
    </xf>
    <xf numFmtId="49" fontId="0" fillId="0" borderId="24" xfId="0" applyFont="1" applyBorder="1" applyNumberFormat="1">
      <alignment vertical="top"/>
    </xf>
    <xf numFmtId="49" fontId="0" fillId="0" borderId="26" xfId="0" applyFont="1" applyBorder="1" applyNumberFormat="1">
      <alignment vertical="top"/>
    </xf>
    <xf numFmtId="49" fontId="0" fillId="0" borderId="0" xfId="0" applyFont="1" applyNumberFormat="1">
      <alignment horizontal="left" vertical="top"/>
    </xf>
    <xf numFmtId="0" fontId="0" fillId="0" borderId="0" xfId="0" applyFont="1" applyNumberFormat="1">
      <alignment vertical="center"/>
    </xf>
    <xf numFmtId="49" fontId="0" fillId="0" borderId="0" xfId="0" applyFont="1" applyNumberFormat="1">
      <alignment vertical="center"/>
    </xf>
    <xf numFmtId="0" fontId="45" fillId="0" borderId="0" xfId="0" applyFont="1" applyNumberFormat="1">
      <alignment horizontal="center" vertical="center" wrapText="1"/>
    </xf>
    <xf numFmtId="0" fontId="0" fillId="0" borderId="14" xfId="0" applyFont="1" applyBorder="1" applyNumberFormat="1">
      <alignment horizontal="center" vertical="center"/>
    </xf>
    <xf numFmtId="0" fontId="23" fillId="43" borderId="14" xfId="0" applyFont="1" applyFill="1" applyBorder="1" applyNumberFormat="1">
      <alignment horizontal="left" vertical="top" wrapText="1"/>
    </xf>
    <xf numFmtId="49" fontId="23" fillId="39" borderId="14" xfId="0" applyFont="1" applyFill="1" applyBorder="1" applyNumberFormat="1">
      <alignment horizontal="left" vertical="center" wrapText="1"/>
      <protection locked="0"/>
    </xf>
    <xf numFmtId="0" fontId="0" fillId="43" borderId="14" xfId="0" applyFont="1" applyFill="1" applyBorder="1" applyNumberFormat="1">
      <alignment horizontal="left" vertical="center" wrapText="1"/>
      <protection locked="0"/>
    </xf>
    <xf numFmtId="49" fontId="0" fillId="42" borderId="14" xfId="0" applyFont="1" applyFill="1" applyBorder="1" applyNumberFormat="1">
      <alignment horizontal="left" vertical="center" wrapText="1"/>
      <protection locked="0"/>
    </xf>
    <xf numFmtId="49" fontId="23" fillId="0" borderId="14" xfId="0" applyFont="1" applyBorder="1" applyNumberFormat="1">
      <alignment horizontal="center" vertical="center" wrapText="1"/>
    </xf>
    <xf numFmtId="49" fontId="0" fillId="42" borderId="14" xfId="0" applyFont="1" applyFill="1" applyBorder="1" applyNumberFormat="1">
      <alignment horizontal="left" vertical="center" wrapText="1"/>
      <protection locked="0"/>
    </xf>
    <xf numFmtId="49" fontId="23" fillId="39" borderId="14" xfId="0" applyFont="1" applyFill="1" applyBorder="1" applyNumberFormat="1">
      <alignment horizontal="left" vertical="center" wrapText="1"/>
      <protection locked="0"/>
    </xf>
    <xf numFmtId="0" fontId="0" fillId="0" borderId="0" xfId="0" applyFont="1" applyNumberFormat="1">
      <alignment horizontal="left" vertical="center" indent="1"/>
    </xf>
    <xf numFmtId="0" fontId="0" fillId="0" borderId="0" xfId="0" applyFont="1" applyNumberFormat="1">
      <alignment vertical="center"/>
    </xf>
    <xf numFmtId="0" fontId="48" fillId="40" borderId="16" xfId="0" applyFont="1" applyFill="1" applyBorder="1" applyNumberFormat="1">
      <alignment horizontal="left" vertical="center"/>
    </xf>
    <xf numFmtId="0" fontId="48" fillId="40" borderId="17" xfId="0" applyFont="1" applyFill="1" applyBorder="1" applyNumberFormat="1">
      <alignment horizontal="left" vertical="center"/>
    </xf>
    <xf numFmtId="0" fontId="48" fillId="40" borderId="15" xfId="0" applyFont="1" applyFill="1" applyBorder="1" applyNumberFormat="1">
      <alignment horizontal="left" vertical="center"/>
    </xf>
    <xf numFmtId="49" fontId="0" fillId="0" borderId="14" xfId="0" applyFont="1" applyBorder="1" applyNumberFormat="1">
      <alignment vertical="top"/>
    </xf>
    <xf numFmtId="49" fontId="0" fillId="0" borderId="14" xfId="0" applyFont="1" applyBorder="1" applyNumberFormat="1">
      <alignment horizontal="left" vertical="top"/>
    </xf>
    <xf numFmtId="49" fontId="0" fillId="43" borderId="14" xfId="0" applyFont="1" applyFill="1" applyBorder="1" applyNumberFormat="1">
      <alignment horizontal="left" vertical="top"/>
    </xf>
    <xf numFmtId="49" fontId="0" fillId="39" borderId="14" xfId="0" applyFont="1" applyFill="1" applyBorder="1" applyNumberFormat="1">
      <alignment horizontal="left" vertical="top"/>
      <protection locked="0"/>
    </xf>
    <xf numFmtId="49" fontId="0" fillId="43" borderId="14" xfId="0" applyFont="1" applyFill="1" applyBorder="1" applyNumberFormat="1">
      <alignment horizontal="left" vertical="center" wrapText="1"/>
      <protection locked="0"/>
    </xf>
    <xf numFmtId="0" fontId="0" fillId="40" borderId="17" xfId="0" applyFont="1" applyFill="1" applyBorder="1" applyNumberFormat="1">
      <alignment vertical="center"/>
    </xf>
    <xf numFmtId="49" fontId="0" fillId="0" borderId="38" xfId="0" applyFont="1" applyBorder="1" applyNumberFormat="1">
      <alignment horizontal="left" vertical="top"/>
    </xf>
    <xf numFmtId="0" fontId="23" fillId="43" borderId="38" xfId="0" applyFont="1" applyFill="1" applyBorder="1" applyNumberFormat="1">
      <alignment horizontal="center" vertical="top" wrapText="1"/>
    </xf>
    <xf numFmtId="49" fontId="0" fillId="43" borderId="38" xfId="0" applyFont="1" applyFill="1" applyBorder="1" applyNumberFormat="1">
      <alignment horizontal="left" vertical="top"/>
    </xf>
    <xf numFmtId="49" fontId="0" fillId="39" borderId="38" xfId="0" applyFont="1" applyFill="1" applyBorder="1" applyNumberFormat="1">
      <alignment horizontal="left" vertical="top"/>
      <protection locked="0"/>
    </xf>
    <xf numFmtId="49" fontId="23" fillId="43" borderId="0" xfId="0" applyFont="1" applyFill="1" applyNumberFormat="1">
      <alignment horizontal="center" vertical="center" wrapText="1"/>
    </xf>
    <xf numFmtId="0" fontId="48" fillId="0" borderId="38" xfId="0" applyFont="1" applyBorder="1" applyNumberFormat="1">
      <alignment horizontal="left" vertical="center"/>
    </xf>
    <xf numFmtId="49" fontId="0" fillId="43" borderId="38" xfId="0" applyFont="1" applyFill="1" applyBorder="1" applyNumberFormat="1">
      <alignment horizontal="left" vertical="center" wrapText="1"/>
      <protection locked="0"/>
    </xf>
    <xf numFmtId="49" fontId="23" fillId="43" borderId="38" xfId="0" applyFont="1" applyFill="1" applyBorder="1" applyNumberFormat="1">
      <alignment horizontal="center" vertical="center" wrapText="1"/>
    </xf>
    <xf numFmtId="0" fontId="48" fillId="39" borderId="38" xfId="0" applyFont="1" applyFill="1" applyBorder="1" applyNumberFormat="1">
      <alignment horizontal="left" vertical="center"/>
      <protection locked="0"/>
    </xf>
    <xf numFmtId="0" fontId="48" fillId="42" borderId="38" xfId="0" applyFont="1" applyFill="1" applyBorder="1" applyNumberFormat="1">
      <alignment horizontal="left" vertical="center"/>
      <protection locked="0"/>
    </xf>
    <xf numFmtId="49" fontId="55" fillId="0" borderId="14" xfId="0" applyFont="1" applyBorder="1" applyNumberFormat="1">
      <alignment horizontal="center" vertical="center" wrapText="1"/>
    </xf>
    <xf numFmtId="49" fontId="55" fillId="0" borderId="16" xfId="0" applyFont="1" applyBorder="1" applyNumberFormat="1">
      <alignment horizontal="left" vertical="center" wrapText="1"/>
    </xf>
    <xf numFmtId="0" fontId="55" fillId="0" borderId="16" xfId="0" applyFont="1" applyBorder="1" applyNumberFormat="1">
      <alignment horizontal="left" vertical="center"/>
    </xf>
    <xf numFmtId="0" fontId="55" fillId="0" borderId="17" xfId="0" applyFont="1" applyBorder="1" applyNumberFormat="1">
      <alignment horizontal="left" vertical="center"/>
    </xf>
    <xf numFmtId="0" fontId="48" fillId="40" borderId="31" xfId="0" applyFont="1" applyFill="1" applyBorder="1" applyNumberFormat="1">
      <alignment horizontal="left" vertical="center"/>
    </xf>
    <xf numFmtId="49" fontId="0" fillId="0" borderId="0" xfId="0" applyFont="1" applyNumberFormat="1">
      <alignment vertical="top"/>
    </xf>
    <xf numFmtId="49" fontId="0" fillId="39" borderId="38" xfId="0" applyFont="1" applyFill="1" applyBorder="1" applyNumberFormat="1">
      <alignment vertical="top"/>
      <protection locked="0"/>
    </xf>
    <xf numFmtId="0" fontId="0" fillId="0" borderId="14" xfId="0" applyFont="1" applyBorder="1" applyNumberFormat="1">
      <alignment horizontal="center" vertical="center"/>
    </xf>
    <xf numFmtId="0" fontId="0" fillId="0" borderId="39" xfId="0" applyFont="1" applyBorder="1" applyNumberFormat="1">
      <alignment horizontal="center" vertical="center"/>
    </xf>
    <xf numFmtId="0" fontId="0" fillId="0" borderId="21" xfId="0" applyFont="1" applyBorder="1" applyNumberFormat="1">
      <alignment horizontal="center" vertical="center"/>
    </xf>
    <xf numFmtId="0" fontId="0" fillId="0" borderId="21" xfId="0" applyFont="1" applyBorder="1" applyNumberFormat="1">
      <alignment horizontal="left" vertical="center" wrapText="1"/>
    </xf>
    <xf numFmtId="49" fontId="0" fillId="0" borderId="21" xfId="0" applyFont="1" applyBorder="1" applyNumberFormat="1">
      <alignment horizontal="left" vertical="center" wrapText="1"/>
    </xf>
    <xf numFmtId="49" fontId="23" fillId="0" borderId="21" xfId="0" applyFont="1" applyBorder="1" applyNumberFormat="1">
      <alignment horizontal="center" vertical="center" wrapText="1"/>
    </xf>
    <xf numFmtId="49" fontId="0" fillId="0" borderId="21" xfId="0" applyFont="1" applyBorder="1" applyNumberFormat="1">
      <alignment horizontal="left" vertical="center" wrapText="1"/>
    </xf>
    <xf numFmtId="0" fontId="0" fillId="0" borderId="24" xfId="0" applyFont="1" applyBorder="1" applyNumberFormat="1">
      <alignment horizontal="center" vertical="center"/>
    </xf>
    <xf numFmtId="0" fontId="0" fillId="0" borderId="0" xfId="0" applyFont="1" applyNumberFormat="1">
      <alignment horizontal="center" vertical="center"/>
    </xf>
    <xf numFmtId="0" fontId="0" fillId="0" borderId="0" xfId="0" applyFont="1" applyNumberFormat="1">
      <alignment horizontal="left" vertical="center" wrapText="1"/>
    </xf>
    <xf numFmtId="49" fontId="0" fillId="0" borderId="0" xfId="0" applyFont="1" applyNumberFormat="1">
      <alignment horizontal="left" vertical="center" wrapText="1"/>
    </xf>
    <xf numFmtId="49" fontId="0" fillId="0" borderId="0" xfId="0" applyFont="1" applyNumberFormat="1">
      <alignment horizontal="left" vertical="top"/>
    </xf>
    <xf numFmtId="49" fontId="23" fillId="0" borderId="0" xfId="0" applyFont="1" applyNumberFormat="1">
      <alignment horizontal="center" vertical="center" wrapText="1"/>
    </xf>
    <xf numFmtId="0" fontId="0" fillId="0" borderId="0" xfId="0" applyFont="1" applyNumberFormat="1">
      <alignment vertical="center"/>
    </xf>
    <xf numFmtId="0" fontId="0" fillId="0" borderId="29" xfId="0" applyFont="1" applyBorder="1" applyNumberFormat="1">
      <alignment vertical="center"/>
    </xf>
    <xf numFmtId="49" fontId="23" fillId="0" borderId="38" xfId="0" applyFont="1" applyBorder="1" applyNumberFormat="1">
      <alignment horizontal="center" vertical="center"/>
    </xf>
    <xf numFmtId="49" fontId="23" fillId="0" borderId="38" xfId="0" applyFont="1" applyBorder="1" applyNumberFormat="1">
      <alignment vertical="center" wrapText="1"/>
    </xf>
    <xf numFmtId="0" fontId="23" fillId="0" borderId="26" xfId="0" applyFont="1" applyBorder="1" applyNumberFormat="1">
      <alignment horizontal="center" vertical="center"/>
    </xf>
    <xf numFmtId="49" fontId="23" fillId="0" borderId="19" xfId="0" applyFont="1" applyBorder="1" applyNumberFormat="1">
      <alignment horizontal="left" vertical="center" wrapText="1"/>
    </xf>
    <xf numFmtId="49" fontId="23" fillId="0" borderId="19" xfId="0" applyFont="1" applyBorder="1" applyNumberFormat="1">
      <alignment horizontal="left" vertical="center" wrapText="1"/>
    </xf>
    <xf numFmtId="49" fontId="45" fillId="0" borderId="38" xfId="0" applyFont="1" applyBorder="1" applyNumberFormat="1">
      <alignment vertical="center" wrapText="1"/>
    </xf>
    <xf numFmtId="0" fontId="23" fillId="43" borderId="19" xfId="0" applyFont="1" applyFill="1" applyBorder="1" applyNumberFormat="1">
      <alignment horizontal="left" vertical="center" wrapText="1"/>
    </xf>
    <xf numFmtId="49" fontId="23" fillId="0" borderId="19" xfId="0" applyFont="1" applyBorder="1" applyNumberFormat="1">
      <alignment horizontal="center" vertical="center" wrapText="1"/>
    </xf>
    <xf numFmtId="49" fontId="23" fillId="43" borderId="19" xfId="0" applyFont="1" applyFill="1" applyBorder="1" applyNumberFormat="1">
      <alignment horizontal="left" vertical="center" wrapText="1"/>
    </xf>
    <xf numFmtId="0" fontId="23" fillId="0" borderId="19" xfId="0" applyFont="1" applyBorder="1" applyNumberFormat="1">
      <alignment horizontal="left" vertical="center" wrapText="1"/>
    </xf>
    <xf numFmtId="49" fontId="23" fillId="0" borderId="19" xfId="0" applyFont="1" applyBorder="1" applyNumberFormat="1">
      <alignment horizontal="center" vertical="center" wrapText="1"/>
    </xf>
    <xf numFmtId="49" fontId="23" fillId="43" borderId="19" xfId="0" applyFont="1" applyFill="1" applyBorder="1" applyNumberFormat="1">
      <alignment vertical="center" wrapText="1"/>
    </xf>
    <xf numFmtId="0" fontId="23" fillId="0" borderId="38" xfId="0" applyFont="1" applyBorder="1" applyNumberFormat="1">
      <alignment horizontal="left" vertical="center" wrapText="1"/>
    </xf>
    <xf numFmtId="49" fontId="23" fillId="0" borderId="38" xfId="0" applyFont="1" applyBorder="1" applyNumberFormat="1">
      <alignment horizontal="left" vertical="center" wrapText="1"/>
    </xf>
    <xf numFmtId="0" fontId="23" fillId="43" borderId="38" xfId="0" applyFont="1" applyFill="1" applyBorder="1" applyNumberFormat="1">
      <alignment horizontal="left" vertical="center" wrapText="1"/>
    </xf>
    <xf numFmtId="49" fontId="23" fillId="0" borderId="38" xfId="0" applyFont="1" applyBorder="1" applyNumberFormat="1">
      <alignment horizontal="center" vertical="center" wrapText="1"/>
    </xf>
    <xf numFmtId="0" fontId="23" fillId="0" borderId="25" xfId="0" applyFont="1" applyBorder="1" applyNumberFormat="1">
      <alignment horizontal="left" vertical="center" wrapText="1"/>
    </xf>
    <xf numFmtId="0" fontId="48" fillId="0" borderId="25" xfId="0" applyFont="1" applyBorder="1" applyNumberFormat="1">
      <alignment horizontal="left" vertical="center"/>
    </xf>
    <xf numFmtId="0" fontId="48" fillId="40" borderId="16" xfId="0" applyFont="1" applyFill="1" applyBorder="1" applyNumberFormat="1">
      <alignment horizontal="left" vertical="center"/>
    </xf>
    <xf numFmtId="0" fontId="48" fillId="40" borderId="17" xfId="0" applyFont="1" applyFill="1" applyBorder="1" applyNumberFormat="1">
      <alignment horizontal="left" vertical="center"/>
    </xf>
    <xf numFmtId="0" fontId="48" fillId="40" borderId="15" xfId="0" applyFont="1" applyFill="1" applyBorder="1" applyNumberFormat="1">
      <alignment horizontal="left" vertical="center"/>
    </xf>
    <xf numFmtId="49" fontId="23" fillId="0" borderId="38" xfId="0" applyFont="1" applyBorder="1" applyNumberFormat="1">
      <alignment horizontal="center" vertical="center" wrapText="1"/>
    </xf>
    <xf numFmtId="0" fontId="48" fillId="40" borderId="39" xfId="0" applyFont="1" applyFill="1" applyBorder="1" applyNumberFormat="1">
      <alignment horizontal="left" vertical="center"/>
    </xf>
    <xf numFmtId="0" fontId="48" fillId="40" borderId="21" xfId="0" applyFont="1" applyFill="1" applyBorder="1" applyNumberFormat="1">
      <alignment horizontal="left" vertical="center"/>
    </xf>
    <xf numFmtId="0" fontId="48" fillId="40" borderId="22" xfId="0" applyFont="1" applyFill="1" applyBorder="1" applyNumberFormat="1">
      <alignment horizontal="left" vertical="center"/>
    </xf>
    <xf numFmtId="49" fontId="23" fillId="42" borderId="19" xfId="0" applyFont="1" applyFill="1" applyBorder="1" applyNumberFormat="1">
      <alignment horizontal="left" vertical="center" wrapText="1"/>
      <protection locked="0"/>
    </xf>
    <xf numFmtId="49" fontId="45" fillId="0" borderId="38" xfId="0" applyFont="1" applyBorder="1" applyNumberFormat="1">
      <alignment horizontal="center" vertical="center" wrapText="1"/>
    </xf>
    <xf numFmtId="0" fontId="48" fillId="40" borderId="39" xfId="0" applyFont="1" applyFill="1" applyBorder="1" applyNumberFormat="1">
      <alignment vertical="center"/>
    </xf>
    <xf numFmtId="0" fontId="48" fillId="0" borderId="38" xfId="0" applyFont="1" applyBorder="1" applyNumberFormat="1">
      <alignment horizontal="left" vertical="center"/>
    </xf>
    <xf numFmtId="49" fontId="23" fillId="39" borderId="19" xfId="0" applyFont="1" applyFill="1" applyBorder="1" applyNumberFormat="1">
      <alignment horizontal="left" vertical="center" wrapText="1"/>
      <protection locked="0"/>
    </xf>
    <xf numFmtId="49" fontId="72" fillId="40" borderId="16" xfId="0" applyFont="1" applyFill="1" applyBorder="1" applyNumberFormat="1">
      <alignment vertical="top"/>
    </xf>
    <xf numFmtId="49" fontId="72" fillId="40" borderId="17" xfId="0" applyFont="1" applyFill="1" applyBorder="1" applyNumberFormat="1">
      <alignment vertical="top"/>
    </xf>
    <xf numFmtId="49" fontId="23" fillId="0" borderId="21" xfId="0" applyFont="1" applyBorder="1" applyNumberFormat="1">
      <alignment horizontal="left" vertical="center" wrapText="1"/>
    </xf>
    <xf numFmtId="49" fontId="23" fillId="0" borderId="21" xfId="0" applyFont="1" applyBorder="1" applyNumberFormat="1">
      <alignment horizontal="left" vertical="center" wrapText="1"/>
    </xf>
    <xf numFmtId="49" fontId="45" fillId="0" borderId="21" xfId="0" applyFont="1" applyBorder="1" applyNumberFormat="1">
      <alignment vertical="center" wrapText="1"/>
    </xf>
    <xf numFmtId="49" fontId="23" fillId="0" borderId="0" xfId="0" applyFont="1" applyNumberFormat="1">
      <alignment horizontal="left" vertical="center" wrapText="1"/>
    </xf>
    <xf numFmtId="49" fontId="45" fillId="0" borderId="0" xfId="0" applyFont="1" applyNumberFormat="1">
      <alignment vertical="center" wrapText="1"/>
    </xf>
    <xf numFmtId="0" fontId="48" fillId="0" borderId="0" xfId="0" applyFont="1" applyNumberFormat="1">
      <alignment horizontal="left" vertical="center"/>
    </xf>
    <xf numFmtId="49" fontId="45" fillId="0" borderId="0" xfId="0" applyFont="1" applyNumberFormat="1">
      <alignment horizontal="center" vertical="center" wrapText="1"/>
    </xf>
    <xf numFmtId="49" fontId="100" fillId="0" borderId="14" xfId="0" applyFont="1" applyBorder="1" applyNumberFormat="1">
      <alignment vertical="top" wrapText="1"/>
    </xf>
    <xf numFmtId="49" fontId="96" fillId="0" borderId="14" xfId="0" applyFont="1" applyBorder="1" applyNumberFormat="1">
      <alignment horizontal="center" vertical="top" wrapText="1"/>
    </xf>
    <xf numFmtId="49" fontId="96" fillId="34" borderId="14" xfId="0" applyFont="1" applyFill="1" applyBorder="1" applyNumberFormat="1">
      <alignment horizontal="center" vertical="top"/>
    </xf>
    <xf numFmtId="49" fontId="96" fillId="0" borderId="14" xfId="0" applyFont="1" applyBorder="1" applyNumberFormat="1">
      <alignment vertical="top" wrapText="1"/>
    </xf>
    <xf numFmtId="0" fontId="96" fillId="0" borderId="14" xfId="0" applyFont="1" applyBorder="1" applyNumberFormat="1">
      <alignment vertical="top" wrapText="1"/>
    </xf>
    <xf numFmtId="49" fontId="96" fillId="0" borderId="14" xfId="0" applyFont="1" applyBorder="1" applyNumberFormat="1">
      <alignment vertical="top"/>
    </xf>
    <xf numFmtId="49" fontId="100" fillId="0" borderId="14" xfId="0" applyFont="1" applyBorder="1" applyNumberFormat="1">
      <alignment vertical="top"/>
    </xf>
    <xf numFmtId="0" fontId="100" fillId="0" borderId="14" xfId="0" applyFont="1" applyBorder="1" applyNumberFormat="1">
      <alignment vertical="top" wrapText="1"/>
    </xf>
    <xf numFmtId="49" fontId="100" fillId="0" borderId="0" xfId="0" applyFont="1" applyNumberFormat="1">
      <alignment vertical="top" wrapText="1"/>
    </xf>
    <xf numFmtId="49" fontId="100" fillId="0" borderId="0" xfId="0" applyFont="1" applyNumberFormat="1">
      <alignment vertical="top"/>
    </xf>
    <xf numFmtId="49" fontId="100" fillId="0" borderId="0" xfId="0" applyFont="1" applyNumberFormat="1">
      <alignment horizontal="center" vertical="top" wrapText="1"/>
    </xf>
    <xf numFmtId="49" fontId="100" fillId="0" borderId="14" xfId="0" applyFont="1" applyBorder="1" applyNumberFormat="1">
      <alignment horizontal="center" vertical="top" wrapText="1"/>
    </xf>
    <xf numFmtId="49" fontId="100" fillId="0" borderId="14" xfId="0" applyFont="1" applyBorder="1" applyNumberFormat="1">
      <alignment horizontal="center" vertical="top" wrapText="1"/>
    </xf>
    <xf numFmtId="49" fontId="100" fillId="34" borderId="14" xfId="0" applyFont="1" applyFill="1" applyBorder="1" applyNumberFormat="1">
      <alignment horizontal="center" vertical="top" wrapText="1"/>
    </xf>
    <xf numFmtId="49" fontId="96" fillId="34" borderId="14" xfId="0" applyFont="1" applyFill="1" applyBorder="1" applyNumberFormat="1">
      <alignment horizontal="center" vertical="top" wrapText="1"/>
    </xf>
    <xf numFmtId="49" fontId="100" fillId="0" borderId="14" xfId="0" applyFont="1" applyBorder="1" applyNumberFormat="1">
      <alignment horizontal="left" vertical="top" wrapText="1"/>
    </xf>
    <xf numFmtId="0" fontId="96" fillId="34" borderId="14" xfId="0" applyFont="1" applyFill="1" applyBorder="1" applyNumberFormat="1">
      <alignment horizontal="center" vertical="top" wrapText="1"/>
    </xf>
    <xf numFmtId="0" fontId="100" fillId="34" borderId="14" xfId="0" applyFont="1" applyFill="1" applyBorder="1" applyNumberFormat="1">
      <alignment horizontal="right" vertical="center" wrapText="1"/>
    </xf>
    <xf numFmtId="49" fontId="100" fillId="0" borderId="16" xfId="0" applyFont="1" applyBorder="1" applyNumberFormat="1">
      <alignment horizontal="center" vertical="top" wrapText="1"/>
    </xf>
    <xf numFmtId="49" fontId="100" fillId="0" borderId="17" xfId="0" applyFont="1" applyBorder="1" applyNumberFormat="1">
      <alignment horizontal="center" vertical="top" wrapText="1"/>
    </xf>
    <xf numFmtId="49" fontId="100" fillId="0" borderId="15" xfId="0" applyFont="1" applyBorder="1" applyNumberFormat="1">
      <alignment horizontal="center" vertical="top" wrapText="1"/>
    </xf>
    <xf numFmtId="0" fontId="100" fillId="0" borderId="14" xfId="0" applyFont="1" applyBorder="1" applyNumberFormat="1">
      <alignment horizontal="left" vertical="top" wrapText="1"/>
    </xf>
    <xf numFmtId="49" fontId="100" fillId="34" borderId="14" xfId="0" applyFont="1" applyFill="1" applyBorder="1" applyNumberFormat="1">
      <alignment horizontal="left" vertical="top" wrapText="1"/>
    </xf>
    <xf numFmtId="0" fontId="100" fillId="34" borderId="14" xfId="0" applyFont="1" applyFill="1" applyBorder="1" applyNumberFormat="1">
      <alignment horizontal="center" vertical="center" wrapText="1"/>
    </xf>
    <xf numFmtId="0" fontId="100" fillId="34" borderId="14" xfId="0" applyFont="1" applyFill="1" applyBorder="1" applyNumberFormat="1">
      <alignment horizontal="center" vertical="center" wrapText="1"/>
    </xf>
    <xf numFmtId="49" fontId="100" fillId="0" borderId="19" xfId="0" applyFont="1" applyBorder="1" applyNumberFormat="1">
      <alignment horizontal="center" vertical="top" wrapText="1"/>
    </xf>
    <xf numFmtId="49" fontId="100" fillId="0" borderId="38" xfId="0" applyFont="1" applyBorder="1" applyNumberFormat="1">
      <alignment horizontal="center" vertical="top" wrapText="1"/>
    </xf>
    <xf numFmtId="49" fontId="100" fillId="0" borderId="19" xfId="0" applyFont="1" applyBorder="1" applyNumberFormat="1">
      <alignment horizontal="center" vertical="top" wrapText="1"/>
    </xf>
    <xf numFmtId="0" fontId="100" fillId="0" borderId="19" xfId="0" applyFont="1" applyBorder="1" applyNumberFormat="1">
      <alignment horizontal="left" vertical="top" wrapText="1"/>
    </xf>
    <xf numFmtId="49" fontId="100" fillId="0" borderId="39" xfId="0" applyFont="1" applyBorder="1" applyNumberFormat="1">
      <alignment horizontal="center" vertical="top" wrapText="1"/>
    </xf>
    <xf numFmtId="49" fontId="100" fillId="0" borderId="39" xfId="0" applyFont="1" applyBorder="1" applyNumberFormat="1">
      <alignment horizontal="center" vertical="top" wrapText="1"/>
    </xf>
    <xf numFmtId="0" fontId="100" fillId="0" borderId="15" xfId="0" applyFont="1" applyBorder="1" applyNumberFormat="1">
      <alignment horizontal="left" vertical="top" wrapText="1"/>
    </xf>
    <xf numFmtId="49" fontId="100" fillId="0" borderId="25" xfId="0" applyFont="1" applyBorder="1" applyNumberFormat="1">
      <alignment horizontal="center" vertical="top" wrapText="1"/>
    </xf>
    <xf numFmtId="49" fontId="100" fillId="0" borderId="32" xfId="0" applyFont="1" applyBorder="1" applyNumberFormat="1">
      <alignment horizontal="center" vertical="top" wrapText="1"/>
    </xf>
    <xf numFmtId="49" fontId="100" fillId="0" borderId="24" xfId="0" applyFont="1" applyBorder="1" applyNumberFormat="1">
      <alignment horizontal="center" vertical="top" wrapText="1"/>
    </xf>
    <xf numFmtId="0" fontId="100" fillId="0" borderId="19" xfId="0" applyFont="1" applyBorder="1" applyNumberFormat="1">
      <alignment vertical="top" wrapText="1"/>
    </xf>
    <xf numFmtId="49" fontId="96" fillId="0" borderId="14" xfId="0" applyFont="1" applyBorder="1" applyNumberFormat="1">
      <alignment horizontal="left" vertical="top" wrapText="1"/>
    </xf>
    <xf numFmtId="0" fontId="96" fillId="0" borderId="16" xfId="0" applyFont="1" applyBorder="1" applyNumberFormat="1">
      <alignment horizontal="center" vertical="center" wrapText="1"/>
    </xf>
    <xf numFmtId="0" fontId="96" fillId="0" borderId="16" xfId="0" applyFont="1" applyBorder="1" applyNumberFormat="1">
      <alignment horizontal="center" vertical="center"/>
    </xf>
    <xf numFmtId="49" fontId="96" fillId="0" borderId="14" xfId="0" applyFont="1" applyBorder="1" applyNumberFormat="1">
      <alignment horizontal="center" vertical="center" wrapText="1"/>
    </xf>
    <xf numFmtId="0" fontId="96" fillId="0" borderId="14" xfId="0" applyFont="1" applyBorder="1" applyNumberFormat="1">
      <alignment vertical="center" wrapText="1"/>
    </xf>
    <xf numFmtId="49" fontId="100" fillId="0" borderId="16" xfId="0" applyFont="1" applyBorder="1" applyNumberFormat="1">
      <alignment horizontal="left" vertical="top" wrapText="1"/>
    </xf>
    <xf numFmtId="0" fontId="96" fillId="0" borderId="14" xfId="0" applyFont="1" applyBorder="1" applyNumberFormat="1">
      <alignment horizontal="center" vertical="center" wrapText="1"/>
    </xf>
    <xf numFmtId="0" fontId="96" fillId="0" borderId="19" xfId="0" applyFont="1" applyBorder="1" applyNumberFormat="1">
      <alignment vertical="center" wrapText="1"/>
    </xf>
    <xf numFmtId="0" fontId="96" fillId="0" borderId="25" xfId="0" applyFont="1" applyBorder="1" applyNumberFormat="1">
      <alignment vertical="center" wrapText="1"/>
    </xf>
    <xf numFmtId="49" fontId="100" fillId="0" borderId="32" xfId="0" applyFont="1" applyBorder="1" applyNumberFormat="1">
      <alignment horizontal="left" vertical="top" wrapText="1"/>
    </xf>
    <xf numFmtId="49" fontId="100" fillId="0" borderId="15" xfId="0" applyFont="1" applyBorder="1" applyNumberFormat="1">
      <alignment horizontal="left" vertical="top" wrapText="1"/>
    </xf>
    <xf numFmtId="49" fontId="96" fillId="0" borderId="19" xfId="0" applyFont="1" applyBorder="1" applyNumberFormat="1">
      <alignment horizontal="center" vertical="center" wrapText="1"/>
    </xf>
    <xf numFmtId="49" fontId="96" fillId="0" borderId="25" xfId="0" applyFont="1" applyBorder="1" applyNumberFormat="1">
      <alignment horizontal="center" vertical="center" wrapText="1"/>
    </xf>
    <xf numFmtId="0" fontId="96" fillId="0" borderId="19" xfId="0" applyFont="1" applyBorder="1" applyNumberFormat="1">
      <alignment horizontal="center" vertical="center" wrapText="1"/>
    </xf>
    <xf numFmtId="49" fontId="100" fillId="0" borderId="38" xfId="0" applyFont="1" applyBorder="1" applyNumberFormat="1">
      <alignment horizontal="left" vertical="top" wrapText="1"/>
    </xf>
    <xf numFmtId="0" fontId="100" fillId="0" borderId="38" xfId="0" applyFont="1" applyBorder="1" applyNumberFormat="1">
      <alignment horizontal="left" vertical="top" wrapText="1"/>
    </xf>
    <xf numFmtId="49" fontId="100" fillId="0" borderId="0" xfId="0" applyFont="1" applyNumberFormat="1">
      <alignment horizontal="left" vertical="top" wrapText="1"/>
    </xf>
    <xf numFmtId="49" fontId="100" fillId="34" borderId="0" xfId="0" applyFont="1" applyFill="1" applyNumberFormat="1">
      <alignment horizontal="left" vertical="top" wrapText="1"/>
    </xf>
    <xf numFmtId="0" fontId="100" fillId="0" borderId="0" xfId="0" applyFont="1" applyNumberFormat="1">
      <alignment vertical="top" wrapText="1"/>
    </xf>
    <xf numFmtId="0" fontId="22" fillId="0" borderId="21" xfId="0" applyFont="1" applyBorder="1" applyNumberFormat="1">
      <alignment horizontal="left" vertical="center" wrapText="1" indent="1"/>
    </xf>
    <xf numFmtId="0" fontId="22" fillId="0" borderId="29" xfId="0" applyFont="1" applyBorder="1" applyNumberFormat="1">
      <alignment horizontal="left" vertical="center" wrapText="1" indent="1"/>
    </xf>
    <xf numFmtId="0" fontId="0" fillId="0" borderId="0" xfId="0" applyFont="1" applyNumberFormat="1">
      <alignment horizontal="left" vertical="center"/>
    </xf>
    <xf numFmtId="0" fontId="0" fillId="37" borderId="14" xfId="0" applyFont="1" applyFill="1" applyBorder="1" applyNumberFormat="1">
      <alignment horizontal="right" vertical="center" wrapText="1" indent="1"/>
    </xf>
    <xf numFmtId="0" fontId="0" fillId="0" borderId="16" xfId="0" applyFont="1" applyBorder="1" applyNumberFormat="1">
      <alignment vertical="center"/>
    </xf>
    <xf numFmtId="0" fontId="23" fillId="0" borderId="0" xfId="0" applyFont="1" applyNumberFormat="1">
      <alignment horizontal="left" vertical="center" wrapText="1"/>
    </xf>
    <xf numFmtId="0" fontId="23" fillId="0" borderId="0" xfId="0" applyFont="1" applyNumberFormat="1">
      <alignment horizontal="right" vertical="center" wrapText="1"/>
    </xf>
    <xf numFmtId="0" fontId="23" fillId="0" borderId="0" xfId="0" applyFont="1" applyNumberFormat="1">
      <alignment horizontal="right" vertical="center" wrapText="1"/>
    </xf>
    <xf numFmtId="0" fontId="0" fillId="0" borderId="14" xfId="0" applyFont="1" applyBorder="1" applyNumberFormat="1">
      <alignment horizontal="center" vertical="center" wrapText="1"/>
    </xf>
    <xf numFmtId="0" fontId="85" fillId="37" borderId="21" xfId="0" applyFont="1" applyFill="1" applyBorder="1" applyNumberFormat="1">
      <alignment horizontal="center" vertical="center" wrapText="1"/>
    </xf>
    <xf numFmtId="0" fontId="23" fillId="37" borderId="14" xfId="0" applyFont="1" applyFill="1" applyBorder="1" applyNumberFormat="1">
      <alignment horizontal="left" vertical="center" wrapText="1"/>
    </xf>
    <xf numFmtId="4" fontId="23" fillId="38" borderId="14" xfId="0" applyFont="1" applyFill="1" applyBorder="1" applyNumberFormat="1">
      <alignment horizontal="left" vertical="center" wrapText="1"/>
    </xf>
    <xf numFmtId="0" fontId="23" fillId="0" borderId="0" xfId="0" applyFont="1" applyNumberFormat="1">
      <alignment horizontal="center" vertical="center" wrapText="1"/>
    </xf>
    <xf numFmtId="0" fontId="54" fillId="0" borderId="0" xfId="0" applyFont="1" applyNumberFormat="1">
      <alignment horizontal="center" vertical="center" wrapText="1"/>
    </xf>
    <xf numFmtId="0" fontId="55" fillId="0" borderId="0" xfId="0" applyFont="1" applyNumberFormat="1">
      <alignment horizontal="center" vertical="center" wrapText="1"/>
    </xf>
    <xf numFmtId="0" fontId="23" fillId="43" borderId="14" xfId="0" applyFont="1" applyFill="1" applyBorder="1" applyNumberFormat="1">
      <alignment horizontal="left" vertical="center" wrapText="1"/>
      <protection locked="0"/>
    </xf>
    <xf numFmtId="0" fontId="23" fillId="43" borderId="16" xfId="0" applyFont="1" applyFill="1" applyBorder="1" applyNumberFormat="1">
      <alignment horizontal="left" vertical="center" wrapText="1"/>
      <protection locked="0"/>
    </xf>
    <xf numFmtId="0" fontId="23" fillId="43" borderId="17" xfId="0" applyFont="1" applyFill="1" applyBorder="1" applyNumberFormat="1">
      <alignment horizontal="left" vertical="center" wrapText="1"/>
      <protection locked="0"/>
    </xf>
    <xf numFmtId="0" fontId="23" fillId="43" borderId="15" xfId="0" applyFont="1" applyFill="1" applyBorder="1" applyNumberFormat="1">
      <alignment horizontal="left" vertical="center" wrapText="1"/>
      <protection locked="0"/>
    </xf>
    <xf numFmtId="0" fontId="23" fillId="43" borderId="14" xfId="0" applyFont="1" applyFill="1" applyBorder="1" applyNumberFormat="1">
      <alignment horizontal="left" vertical="center" wrapText="1" indent="6"/>
      <protection locked="0"/>
    </xf>
    <xf numFmtId="167" fontId="0" fillId="42" borderId="14" xfId="0" applyFont="1" applyFill="1" applyBorder="1" applyNumberFormat="1">
      <alignment horizontal="center" vertical="center" wrapText="1"/>
      <protection locked="0"/>
    </xf>
    <xf numFmtId="49" fontId="23" fillId="0" borderId="14" xfId="0" applyFont="1" applyBorder="1" applyNumberFormat="1">
      <alignment horizontal="left" vertical="center" wrapText="1"/>
    </xf>
    <xf numFmtId="49" fontId="106" fillId="40" borderId="16" xfId="0" applyFont="1" applyFill="1" applyBorder="1" applyNumberFormat="1">
      <alignment horizontal="left" vertical="center"/>
    </xf>
    <xf numFmtId="49" fontId="114" fillId="40" borderId="17" xfId="0" applyFont="1" applyFill="1" applyBorder="1" applyNumberFormat="1">
      <alignment horizontal="left" vertical="center" indent="3"/>
    </xf>
    <xf numFmtId="49" fontId="77" fillId="40" borderId="17" xfId="0" applyFont="1" applyFill="1" applyBorder="1" applyNumberFormat="1">
      <alignment horizontal="center" vertical="center" wrapText="1"/>
    </xf>
    <xf numFmtId="49" fontId="72" fillId="40" borderId="17" xfId="0" applyFont="1" applyFill="1" applyBorder="1" applyNumberFormat="1">
      <alignment horizontal="center" vertical="center" wrapText="1"/>
    </xf>
    <xf numFmtId="49" fontId="72" fillId="40" borderId="15" xfId="0" applyFont="1" applyFill="1" applyBorder="1" applyNumberFormat="1">
      <alignment horizontal="center" vertical="center" wrapText="1"/>
    </xf>
    <xf numFmtId="49" fontId="54" fillId="0" borderId="0" xfId="0" applyFont="1" applyNumberFormat="1">
      <alignment horizontal="left" vertical="center"/>
    </xf>
    <xf numFmtId="49" fontId="40" fillId="0" borderId="0" xfId="0" applyFont="1" applyNumberFormat="1">
      <alignment vertical="top"/>
    </xf>
    <xf numFmtId="49" fontId="0" fillId="0" borderId="26" xfId="0" applyFont="1" applyBorder="1" applyNumberFormat="1">
      <alignment vertical="top"/>
    </xf>
    <xf numFmtId="49" fontId="114" fillId="40" borderId="17" xfId="0" applyFont="1" applyFill="1" applyBorder="1" applyNumberFormat="1">
      <alignment horizontal="left" vertical="center" indent="2"/>
    </xf>
    <xf numFmtId="49" fontId="114" fillId="40" borderId="17" xfId="0" applyFont="1" applyFill="1" applyBorder="1" applyNumberFormat="1">
      <alignment horizontal="left" vertical="center" indent="1"/>
    </xf>
    <xf numFmtId="49" fontId="54" fillId="0" borderId="0" xfId="0" applyFont="1" applyNumberFormat="1">
      <alignment horizontal="left" vertical="center"/>
    </xf>
    <xf numFmtId="49" fontId="54" fillId="0" borderId="0" xfId="0" applyFont="1" applyNumberFormat="1">
      <alignment horizontal="left" vertical="top"/>
    </xf>
    <xf numFmtId="49" fontId="72" fillId="40" borderId="16" xfId="0" applyFont="1" applyFill="1" applyBorder="1" applyNumberFormat="1">
      <alignment horizontal="left" vertical="top"/>
    </xf>
    <xf numFmtId="49" fontId="114" fillId="40" borderId="17" xfId="0" applyFont="1" applyFill="1" applyBorder="1" applyNumberFormat="1">
      <alignment horizontal="left" vertical="center"/>
    </xf>
    <xf numFmtId="49" fontId="55" fillId="0" borderId="0" xfId="0" applyFont="1" applyNumberFormat="1">
      <alignment vertical="top"/>
    </xf>
    <xf numFmtId="0" fontId="23" fillId="0" borderId="0" xfId="0" applyFont="1" applyNumberFormat="1">
      <alignment horizontal="left" vertical="top" wrapText="1"/>
    </xf>
    <xf numFmtId="49" fontId="23" fillId="0" borderId="0" xfId="0" applyFont="1" applyNumberFormat="1">
      <alignment vertical="center" wrapText="1"/>
    </xf>
    <xf numFmtId="49" fontId="0" fillId="0" borderId="0" xfId="0" applyFont="1" applyNumberFormat="1">
      <alignment vertical="top"/>
    </xf>
    <xf numFmtId="49" fontId="0" fillId="0" borderId="14" xfId="0" applyFont="1" applyBorder="1" applyNumberFormat="1">
      <alignment vertical="top"/>
    </xf>
    <xf numFmtId="49" fontId="0" fillId="0" borderId="16" xfId="0" applyFont="1" applyBorder="1" applyNumberFormat="1">
      <alignment vertical="top"/>
    </xf>
    <xf numFmtId="49" fontId="0" fillId="0" borderId="14" xfId="0" applyFont="1" applyBorder="1" applyNumberFormat="1">
      <alignment horizontal="center" vertical="top"/>
    </xf>
    <xf numFmtId="49" fontId="0" fillId="0" borderId="16" xfId="0" applyFont="1" applyBorder="1" applyNumberFormat="1">
      <alignment horizontal="center" vertical="top"/>
    </xf>
    <xf numFmtId="49" fontId="0" fillId="0" borderId="14" xfId="0" applyFont="1" applyBorder="1" applyNumberFormat="1">
      <alignment vertical="top"/>
    </xf>
    <xf numFmtId="49" fontId="0" fillId="45" borderId="19" xfId="0" applyFont="1" applyFill="1" applyBorder="1" applyNumberFormat="1">
      <alignment vertical="top"/>
    </xf>
    <xf numFmtId="49" fontId="0" fillId="0" borderId="16" xfId="0" applyFont="1" applyBorder="1" applyNumberFormat="1">
      <alignment horizontal="center" vertical="top"/>
    </xf>
    <xf numFmtId="49" fontId="0" fillId="46" borderId="14" xfId="0" applyFont="1" applyFill="1" applyBorder="1" applyNumberFormat="1">
      <alignment vertical="top"/>
    </xf>
    <xf numFmtId="49" fontId="0" fillId="0" borderId="17" xfId="0" applyFont="1" applyBorder="1" applyNumberFormat="1">
      <alignment horizontal="center" vertical="top"/>
    </xf>
    <xf numFmtId="49" fontId="0" fillId="3" borderId="14" xfId="0" applyFont="1" applyFill="1" applyBorder="1" applyNumberFormat="1">
      <alignment vertical="top"/>
    </xf>
    <xf numFmtId="49" fontId="0" fillId="47" borderId="14" xfId="0" applyFont="1" applyFill="1" applyBorder="1" applyNumberFormat="1">
      <alignment vertical="top"/>
    </xf>
    <xf numFmtId="49" fontId="0" fillId="16" borderId="19" xfId="0" applyFont="1" applyFill="1" applyBorder="1" applyNumberFormat="1">
      <alignment vertical="top"/>
    </xf>
    <xf numFmtId="49" fontId="0" fillId="5" borderId="16" xfId="0" applyFont="1" applyFill="1" applyBorder="1" applyNumberFormat="1">
      <alignment vertical="top"/>
    </xf>
    <xf numFmtId="49" fontId="0" fillId="5" borderId="14" xfId="0" applyFont="1" applyFill="1" applyBorder="1" applyNumberFormat="1">
      <alignment vertical="top"/>
    </xf>
    <xf numFmtId="49" fontId="0" fillId="16" borderId="14" xfId="0" applyFont="1" applyFill="1" applyBorder="1" applyNumberFormat="1">
      <alignment vertical="top"/>
    </xf>
    <xf numFmtId="49" fontId="0" fillId="0" borderId="0" xfId="0" applyFont="1" applyNumberFormat="1">
      <alignment vertical="top"/>
    </xf>
    <xf numFmtId="0" fontId="0" fillId="0" borderId="0" xfId="0" applyFont="1" applyNumberFormat="1">
      <alignment vertical="top"/>
    </xf>
    <xf numFmtId="0" fontId="0" fillId="0" borderId="0" xfId="0" applyFont="1" applyNumberFormat="1"/>
    <xf numFmtId="0" fontId="1" fillId="0" borderId="0" xfId="0" applyFont="1" applyNumberFormat="1"/>
    <xf numFmtId="0" fontId="38" fillId="0" borderId="0" xfId="0" applyFont="1" applyNumberFormat="1"/>
    <xf numFmtId="0" fontId="38" fillId="0" borderId="0" xfId="0" applyFont="1" applyNumberFormat="1"/>
    <xf numFmtId="49" fontId="23" fillId="38" borderId="12" xfId="0" applyFont="1" applyFill="1" applyBorder="1" applyNumberFormat="1">
      <alignment horizontal="center" vertical="top"/>
    </xf>
    <xf numFmtId="49" fontId="46" fillId="0" borderId="13" xfId="0" applyFont="1" applyBorder="1" applyNumberFormat="1">
      <alignment vertical="top" wrapText="1"/>
    </xf>
    <xf numFmtId="0" fontId="0" fillId="0" borderId="13" xfId="0" applyFont="1" applyBorder="1" applyNumberFormat="1">
      <alignment vertical="top" wrapText="1"/>
    </xf>
    <xf numFmtId="0" fontId="22" fillId="0" borderId="20" xfId="0" applyFont="1" applyBorder="1" applyNumberFormat="1">
      <alignment vertical="top" wrapText="1"/>
    </xf>
    <xf numFmtId="0" fontId="0" fillId="0" borderId="0" xfId="0" applyFont="1" applyNumberFormat="1">
      <alignment vertical="top"/>
    </xf>
    <xf numFmtId="0" fontId="0" fillId="0" borderId="14" xfId="0" applyFont="1" applyBorder="1" applyNumberFormat="1">
      <alignment vertical="top" wrapText="1"/>
    </xf>
    <xf numFmtId="49" fontId="0" fillId="0" borderId="14" xfId="0" applyFont="1" applyBorder="1" applyNumberFormat="1">
      <alignment vertical="top" wrapText="1"/>
    </xf>
    <xf numFmtId="49" fontId="0" fillId="0" borderId="19" xfId="0" applyFont="1" applyBorder="1" applyNumberFormat="1">
      <alignment vertical="top"/>
    </xf>
    <xf numFmtId="49" fontId="0" fillId="0" borderId="0" xfId="0" applyFont="1" applyNumberFormat="1">
      <alignment vertical="top"/>
    </xf>
    <xf numFmtId="0" fontId="36" fillId="0" borderId="13" xfId="0" applyFont="1" applyBorder="1" applyNumberFormat="1">
      <alignment vertical="center" wrapText="1"/>
    </xf>
    <xf numFmtId="0" fontId="22" fillId="0" borderId="0" xfId="0" applyFont="1" applyNumberFormat="1">
      <alignment vertical="top" wrapText="1"/>
    </xf>
    <xf numFmtId="0" fontId="23" fillId="0" borderId="13" xfId="0" applyFont="1" applyBorder="1" applyNumberFormat="1">
      <alignment vertical="center" wrapText="1"/>
    </xf>
    <xf numFmtId="0" fontId="120" fillId="0" borderId="0" xfId="0" applyFont="1" applyNumberFormat="1">
      <alignment wrapText="1"/>
    </xf>
    <xf numFmtId="49" fontId="71" fillId="0" borderId="0" xfId="0" applyFont="1" applyNumberFormat="1">
      <alignment wrapText="1"/>
    </xf>
    <xf numFmtId="49" fontId="71" fillId="0" borderId="0" xfId="0" applyFont="1" applyNumberFormat="1">
      <alignment vertical="center" wrapText="1"/>
    </xf>
    <xf numFmtId="49" fontId="121" fillId="0" borderId="0" xfId="0" applyFont="1" applyNumberFormat="1">
      <alignment wrapText="1"/>
    </xf>
    <xf numFmtId="0" fontId="107" fillId="0" borderId="0" xfId="0" applyFont="1" applyNumberFormat="1">
      <alignment vertical="center" wrapText="1"/>
    </xf>
    <xf numFmtId="0" fontId="107" fillId="0" borderId="0" xfId="0" applyFont="1" applyNumberFormat="1">
      <alignment horizontal="left" vertical="center" wrapText="1"/>
    </xf>
    <xf numFmtId="49" fontId="122" fillId="0" borderId="0" xfId="0" applyFont="1" applyNumberFormat="1">
      <alignment wrapText="1"/>
    </xf>
    <xf numFmtId="0" fontId="107" fillId="0" borderId="0" xfId="0" applyFont="1" applyNumberFormat="1">
      <alignment vertical="center"/>
    </xf>
    <xf numFmtId="0" fontId="22" fillId="0" borderId="0" xfId="0" applyFont="1" applyNumberFormat="1">
      <alignment horizontal="left" vertical="top" wrapText="1"/>
    </xf>
    <xf numFmtId="49" fontId="23" fillId="0" borderId="0" xfId="0" applyFont="1" applyNumberFormat="1">
      <alignment vertical="top" wrapText="1"/>
    </xf>
    <xf numFmtId="0" fontId="22" fillId="57" borderId="68" xfId="0" applyFont="1" applyFill="1" applyBorder="1" applyNumberFormat="1">
      <alignment horizontal="center" vertical="center" wrapText="1"/>
    </xf>
    <xf numFmtId="0" fontId="22" fillId="57" borderId="69" xfId="0" applyFont="1" applyFill="1" applyBorder="1" applyNumberFormat="1">
      <alignment horizontal="center" vertical="center" wrapText="1"/>
    </xf>
    <xf numFmtId="0" fontId="22" fillId="57" borderId="70" xfId="0" applyFont="1" applyFill="1" applyBorder="1" applyNumberFormat="1">
      <alignment horizontal="center" vertical="center" wrapText="1"/>
    </xf>
    <xf numFmtId="0" fontId="71" fillId="0" borderId="0" xfId="0" applyFont="1" applyNumberFormat="1">
      <alignment wrapText="1"/>
    </xf>
    <xf numFmtId="0" fontId="22" fillId="48" borderId="40" xfId="0" applyFont="1" applyFill="1" applyBorder="1" applyNumberFormat="1">
      <alignment horizontal="right" vertical="center" wrapText="1" indent="1"/>
    </xf>
    <xf numFmtId="0" fontId="22" fillId="48" borderId="67" xfId="0" applyFont="1" applyFill="1" applyBorder="1" applyNumberFormat="1">
      <alignment horizontal="right" vertical="center" wrapText="1" indent="1"/>
    </xf>
    <xf numFmtId="0" fontId="123" fillId="0" borderId="0" xfId="0" applyFont="1" applyNumberFormat="1">
      <alignment horizontal="left" vertical="center" wrapText="1"/>
    </xf>
    <xf numFmtId="0" fontId="124" fillId="0" borderId="0" xfId="0" applyFont="1" applyNumberFormat="1">
      <alignment vertical="center" wrapText="1"/>
    </xf>
    <xf numFmtId="0" fontId="71" fillId="0" borderId="40" xfId="0" applyFont="1" applyBorder="1" applyNumberFormat="1">
      <alignment wrapText="1"/>
    </xf>
    <xf numFmtId="0" fontId="71" fillId="0" borderId="0" xfId="0" applyFont="1" applyNumberFormat="1"/>
    <xf numFmtId="0" fontId="123" fillId="0" borderId="0" xfId="0" applyFont="1" applyNumberFormat="1"/>
    <xf numFmtId="0" fontId="125" fillId="0" borderId="0" xfId="0" applyFont="1" applyNumberFormat="1">
      <alignment wrapText="1"/>
    </xf>
    <xf numFmtId="0" fontId="0" fillId="39" borderId="63" xfId="0" applyFont="1" applyFill="1" applyBorder="1" applyNumberFormat="1">
      <alignment horizontal="center" vertical="center" wrapText="1"/>
    </xf>
    <xf numFmtId="0" fontId="125" fillId="0" borderId="40" xfId="0" applyFont="1" applyBorder="1" applyNumberFormat="1">
      <alignment vertical="center" wrapText="1"/>
    </xf>
    <xf numFmtId="0" fontId="125" fillId="0" borderId="0" xfId="0" applyFont="1" applyNumberFormat="1">
      <alignment vertical="center" wrapText="1"/>
    </xf>
    <xf numFmtId="0" fontId="0" fillId="55" borderId="63" xfId="0" applyFont="1" applyFill="1" applyBorder="1" applyNumberFormat="1">
      <alignment horizontal="center" vertical="center" wrapText="1"/>
    </xf>
    <xf numFmtId="0" fontId="125" fillId="0" borderId="40" xfId="0" applyFont="1" applyBorder="1" applyNumberFormat="1">
      <alignment horizontal="left" vertical="center" wrapText="1"/>
    </xf>
    <xf numFmtId="0" fontId="125" fillId="0" borderId="0" xfId="0" applyFont="1" applyNumberFormat="1">
      <alignment horizontal="left" vertical="center" wrapText="1"/>
    </xf>
    <xf numFmtId="0" fontId="0" fillId="38" borderId="63" xfId="0" applyFont="1" applyFill="1" applyBorder="1" applyNumberFormat="1">
      <alignment horizontal="center" vertical="center" wrapText="1"/>
    </xf>
    <xf numFmtId="0" fontId="0" fillId="42" borderId="63" xfId="0" applyFont="1" applyFill="1" applyBorder="1" applyNumberFormat="1">
      <alignment horizontal="center" vertical="center" wrapText="1"/>
    </xf>
    <xf numFmtId="0" fontId="22" fillId="48" borderId="0" xfId="0" applyFont="1" applyFill="1" applyNumberFormat="1">
      <alignment horizontal="right" vertical="center" wrapText="1" indent="1"/>
    </xf>
    <xf numFmtId="0" fontId="123" fillId="0" borderId="40" xfId="0" applyFont="1" applyBorder="1" applyNumberFormat="1">
      <alignment horizontal="left" vertical="center" wrapText="1"/>
    </xf>
    <xf numFmtId="0" fontId="123" fillId="0" borderId="64" xfId="0" applyFont="1" applyBorder="1" applyNumberFormat="1">
      <alignment horizontal="left" vertical="center" wrapText="1"/>
    </xf>
    <xf numFmtId="0" fontId="22" fillId="48" borderId="63" xfId="0" applyFont="1" applyFill="1" applyBorder="1" applyNumberFormat="1">
      <alignment horizontal="right" vertical="center" wrapText="1" indent="1"/>
    </xf>
    <xf numFmtId="0" fontId="22" fillId="48" borderId="66" xfId="0" applyFont="1" applyFill="1" applyBorder="1" applyNumberFormat="1">
      <alignment horizontal="right" vertical="center" wrapText="1" indent="1"/>
    </xf>
    <xf numFmtId="0" fontId="125" fillId="0" borderId="0" xfId="0" applyFont="1" applyNumberFormat="1"/>
    <xf numFmtId="0" fontId="125" fillId="0" borderId="40" xfId="0" applyFont="1" applyBorder="1" applyNumberFormat="1">
      <alignment wrapText="1"/>
    </xf>
    <xf numFmtId="0" fontId="125" fillId="0" borderId="0" xfId="0" applyFont="1" applyNumberFormat="1">
      <alignment vertical="top" wrapText="1"/>
    </xf>
    <xf numFmtId="0" fontId="22" fillId="48" borderId="65" xfId="0" applyFont="1" applyFill="1" applyBorder="1" applyNumberFormat="1">
      <alignment horizontal="right" vertical="center" wrapText="1" indent="1"/>
    </xf>
    <xf numFmtId="0" fontId="22" fillId="48" borderId="41" xfId="0" applyFont="1" applyFill="1" applyBorder="1" applyNumberFormat="1">
      <alignment horizontal="right" vertical="center" wrapText="1" indent="1"/>
    </xf>
    <xf numFmtId="0" fontId="71" fillId="0" borderId="65" xfId="0" applyFont="1" applyBorder="1" applyNumberFormat="1">
      <alignment wrapText="1"/>
    </xf>
    <xf numFmtId="0" fontId="71" fillId="0" borderId="41" xfId="0" applyFont="1" applyBorder="1" applyNumberFormat="1">
      <alignment wrapText="1"/>
    </xf>
    <xf numFmtId="0" fontId="71" fillId="0" borderId="41" xfId="0" applyFont="1" applyBorder="1" applyNumberFormat="1">
      <alignment vertical="center" wrapText="1"/>
    </xf>
    <xf numFmtId="0" fontId="121" fillId="0" borderId="0" xfId="0" applyFont="1" applyNumberFormat="1"/>
    <xf numFmtId="49" fontId="71" fillId="0" borderId="0" xfId="0" applyFont="1" applyNumberFormat="1">
      <alignment vertical="top" wrapText="1"/>
    </xf>
    <xf numFmtId="0" fontId="38" fillId="0" borderId="0" xfId="0" applyFont="1" applyNumberFormat="1"/>
    <xf numFmtId="0" fontId="68" fillId="0" borderId="0" xfId="0" applyFont="1" applyNumberFormat="1">
      <alignment vertical="center" wrapText="1"/>
    </xf>
    <xf numFmtId="0" fontId="96" fillId="0" borderId="0" xfId="0" applyFont="1" applyNumberFormat="1">
      <alignment horizontal="left" vertical="center" wrapText="1"/>
    </xf>
    <xf numFmtId="0" fontId="68" fillId="0" borderId="0" xfId="0" applyFont="1" applyNumberFormat="1">
      <alignment horizontal="left" vertical="center" wrapText="1"/>
    </xf>
    <xf numFmtId="0" fontId="68" fillId="0" borderId="0" xfId="0" applyFont="1" applyNumberFormat="1">
      <alignment vertical="center" wrapText="1"/>
    </xf>
    <xf numFmtId="0" fontId="40" fillId="0" borderId="0" xfId="0" applyFont="1" applyNumberFormat="1">
      <alignment horizontal="center" vertical="center" wrapText="1"/>
    </xf>
    <xf numFmtId="0" fontId="40" fillId="0" borderId="0" xfId="0" applyFont="1" applyNumberFormat="1">
      <alignment vertical="center" wrapText="1"/>
    </xf>
    <xf numFmtId="0" fontId="55" fillId="0" borderId="0" xfId="0" applyFont="1" applyNumberFormat="1">
      <alignment vertical="center" wrapText="1"/>
    </xf>
    <xf numFmtId="0" fontId="40" fillId="0" borderId="0" xfId="0" applyFont="1" applyNumberFormat="1">
      <alignment vertical="center" wrapText="1"/>
    </xf>
    <xf numFmtId="0" fontId="40" fillId="0" borderId="0" xfId="0" applyFont="1" applyNumberFormat="1">
      <alignment horizontal="left" vertical="center" wrapText="1"/>
    </xf>
    <xf numFmtId="0" fontId="23" fillId="0" borderId="0" xfId="0" applyFont="1" applyNumberFormat="1">
      <alignment horizontal="left" vertical="top" indent="1"/>
    </xf>
    <xf numFmtId="49" fontId="71" fillId="0" borderId="0" xfId="0" applyFont="1" applyNumberFormat="1">
      <alignment vertical="top"/>
    </xf>
    <xf numFmtId="49" fontId="23" fillId="0" borderId="0" xfId="0" applyFont="1" applyNumberFormat="1">
      <alignment vertical="center" wrapText="1"/>
    </xf>
    <xf numFmtId="49" fontId="54" fillId="0" borderId="0" xfId="0" applyFont="1" applyNumberFormat="1">
      <alignment vertical="center" wrapText="1"/>
    </xf>
    <xf numFmtId="0" fontId="0" fillId="0" borderId="0" xfId="0" applyFont="1" applyNumberFormat="1">
      <alignment horizontal="left" vertical="center" indent="1"/>
    </xf>
    <xf numFmtId="49" fontId="0" fillId="0" borderId="0" xfId="0" applyFont="1" applyNumberFormat="1">
      <alignment vertical="top"/>
    </xf>
    <xf numFmtId="49" fontId="54" fillId="0" borderId="0" xfId="0" applyFont="1" applyNumberFormat="1">
      <alignment vertical="top"/>
    </xf>
    <xf numFmtId="49" fontId="0" fillId="0" borderId="0" xfId="0" applyFont="1" applyNumberFormat="1">
      <alignment vertical="top"/>
    </xf>
    <xf numFmtId="0" fontId="65" fillId="0" borderId="0" xfId="0" applyFont="1" applyNumberFormat="1">
      <alignment vertical="center" wrapText="1"/>
    </xf>
    <xf numFmtId="0" fontId="96" fillId="0" borderId="0" xfId="0" applyFont="1" applyNumberFormat="1">
      <alignment horizontal="left" vertical="center" wrapText="1"/>
    </xf>
    <xf numFmtId="0" fontId="63" fillId="0" borderId="0" xfId="0" applyFont="1" applyNumberFormat="1">
      <alignment horizontal="left" vertical="center" wrapText="1"/>
    </xf>
    <xf numFmtId="0" fontId="64" fillId="0" borderId="0" xfId="0" applyFont="1" applyNumberFormat="1">
      <alignment vertical="center" wrapText="1"/>
    </xf>
    <xf numFmtId="0" fontId="65" fillId="37" borderId="0" xfId="0" applyFont="1" applyFill="1" applyNumberFormat="1">
      <alignment vertical="center" wrapText="1"/>
    </xf>
    <xf numFmtId="0" fontId="65" fillId="0" borderId="0" xfId="0" applyFont="1" applyNumberFormat="1">
      <alignment vertical="center" wrapText="1"/>
    </xf>
    <xf numFmtId="0" fontId="65" fillId="0" borderId="0" xfId="0" applyFont="1" applyNumberFormat="1">
      <alignment horizontal="right" vertical="center"/>
    </xf>
    <xf numFmtId="0" fontId="23" fillId="0" borderId="0" xfId="0" applyFont="1" applyNumberFormat="1">
      <alignment horizontal="center" vertical="center" wrapText="1"/>
    </xf>
    <xf numFmtId="0" fontId="23" fillId="0" borderId="0" xfId="0" applyFont="1" applyNumberFormat="1">
      <alignment vertical="center" wrapText="1"/>
    </xf>
    <xf numFmtId="0" fontId="93" fillId="0" borderId="0" xfId="0" applyFont="1" applyNumberFormat="1">
      <alignment vertical="center" wrapText="1"/>
    </xf>
    <xf numFmtId="0" fontId="42" fillId="37" borderId="0" xfId="0" applyFont="1" applyFill="1" applyNumberFormat="1">
      <alignment vertical="center" wrapText="1"/>
    </xf>
    <xf numFmtId="0" fontId="23" fillId="0" borderId="15" xfId="0" applyFont="1" applyBorder="1" applyNumberFormat="1">
      <alignment horizontal="center" vertical="center" wrapText="1"/>
    </xf>
    <xf numFmtId="0" fontId="23" fillId="0" borderId="16" xfId="0" applyFont="1" applyBorder="1" applyNumberFormat="1">
      <alignment horizontal="center" vertical="center" wrapText="1"/>
    </xf>
    <xf numFmtId="0" fontId="36" fillId="37" borderId="0" xfId="0" applyFont="1" applyFill="1" applyNumberFormat="1">
      <alignment vertical="center" wrapText="1"/>
    </xf>
    <xf numFmtId="0" fontId="101" fillId="0" borderId="0" xfId="0" applyFont="1" applyNumberFormat="1">
      <alignment vertical="center" wrapText="1"/>
    </xf>
    <xf numFmtId="0" fontId="65" fillId="37" borderId="0" xfId="0" applyFont="1" applyFill="1" applyNumberFormat="1">
      <alignment horizontal="right" vertical="center" wrapText="1" indent="1"/>
    </xf>
    <xf numFmtId="0" fontId="67" fillId="37" borderId="0" xfId="0" applyFont="1" applyFill="1" applyNumberFormat="1">
      <alignment horizontal="center" vertical="center" wrapText="1"/>
    </xf>
    <xf numFmtId="0" fontId="23" fillId="37" borderId="28" xfId="0" applyFont="1" applyFill="1" applyBorder="1" applyNumberFormat="1">
      <alignment horizontal="right" vertical="center" wrapText="1" indent="1"/>
    </xf>
    <xf numFmtId="0" fontId="0" fillId="38" borderId="14" xfId="0" applyFont="1" applyFill="1" applyBorder="1" applyNumberFormat="1">
      <alignment horizontal="left" vertical="center" wrapText="1" indent="1"/>
    </xf>
    <xf numFmtId="14" fontId="96" fillId="37" borderId="0" xfId="0" applyFont="1" applyFill="1" applyNumberFormat="1">
      <alignment horizontal="left" vertical="center" wrapText="1"/>
    </xf>
    <xf numFmtId="0" fontId="63" fillId="37" borderId="0" xfId="0" applyFont="1" applyFill="1" applyNumberFormat="1">
      <alignment horizontal="center" vertical="center" wrapText="1"/>
    </xf>
    <xf numFmtId="0" fontId="65" fillId="37" borderId="0" xfId="0" applyFont="1" applyFill="1" applyNumberFormat="1">
      <alignment horizontal="left" vertical="center" wrapText="1" indent="1"/>
    </xf>
    <xf numFmtId="0" fontId="23" fillId="37" borderId="0" xfId="0" applyFont="1" applyFill="1" applyNumberFormat="1">
      <alignment horizontal="center" vertical="center" wrapText="1"/>
    </xf>
    <xf numFmtId="0" fontId="93" fillId="0" borderId="0" xfId="0" applyFont="1" applyNumberFormat="1">
      <alignment horizontal="center" vertical="center" wrapText="1"/>
    </xf>
    <xf numFmtId="0" fontId="23" fillId="0" borderId="0" xfId="0" applyFont="1" applyNumberFormat="1">
      <alignment vertical="center" wrapText="1"/>
    </xf>
    <xf numFmtId="0" fontId="41" fillId="0" borderId="0" xfId="0" applyFont="1" applyNumberFormat="1">
      <alignment vertical="center" wrapText="1"/>
    </xf>
    <xf numFmtId="0" fontId="42" fillId="37" borderId="0" xfId="0" applyFont="1" applyFill="1" applyNumberFormat="1">
      <alignment vertical="center" wrapText="1"/>
    </xf>
    <xf numFmtId="0" fontId="23" fillId="37" borderId="28" xfId="0" applyFont="1" applyFill="1" applyBorder="1" applyNumberFormat="1">
      <alignment horizontal="right" vertical="center" wrapText="1" indent="1"/>
    </xf>
    <xf numFmtId="0" fontId="23" fillId="42" borderId="14" xfId="0" applyFont="1" applyFill="1" applyBorder="1" applyNumberFormat="1">
      <alignment horizontal="left" vertical="top" wrapText="1" indent="1"/>
      <protection locked="0"/>
    </xf>
    <xf numFmtId="0" fontId="23" fillId="0" borderId="0" xfId="0" applyFont="1" applyNumberFormat="1">
      <alignment horizontal="left" vertical="center" wrapText="1"/>
    </xf>
    <xf numFmtId="0" fontId="54" fillId="0" borderId="0" xfId="0" applyFont="1" applyNumberFormat="1">
      <alignment vertical="center" wrapText="1"/>
    </xf>
    <xf numFmtId="0" fontId="65" fillId="0" borderId="0" xfId="0" applyFont="1" applyNumberFormat="1">
      <alignment vertical="center" wrapText="1"/>
    </xf>
    <xf numFmtId="0" fontId="63" fillId="0" borderId="0" xfId="0" applyFont="1" applyNumberFormat="1">
      <alignment horizontal="left" vertical="center" wrapText="1"/>
    </xf>
    <xf numFmtId="0" fontId="64" fillId="0" borderId="0" xfId="0" applyFont="1" applyNumberFormat="1">
      <alignment vertical="center" wrapText="1"/>
    </xf>
    <xf numFmtId="14" fontId="98" fillId="0" borderId="14" xfId="0" applyFont="1" applyBorder="1" applyNumberFormat="1">
      <alignment horizontal="center" vertical="center" wrapText="1"/>
    </xf>
    <xf numFmtId="167" fontId="0" fillId="42" borderId="14" xfId="0" applyFont="1" applyFill="1" applyBorder="1" applyNumberFormat="1">
      <alignment horizontal="left" vertical="center" wrapText="1" indent="1"/>
      <protection locked="0"/>
    </xf>
    <xf numFmtId="0" fontId="34" fillId="0" borderId="0" xfId="0" applyFont="1" applyNumberFormat="1">
      <alignment horizontal="left" vertical="center" indent="1"/>
    </xf>
    <xf numFmtId="0" fontId="23" fillId="37" borderId="0" xfId="0" applyFont="1" applyFill="1" applyNumberFormat="1">
      <alignment vertical="center" wrapText="1"/>
    </xf>
    <xf numFmtId="14" fontId="98" fillId="0" borderId="14" xfId="0" applyFont="1" applyBorder="1" applyNumberFormat="1">
      <alignment horizontal="left" vertical="center" wrapText="1"/>
    </xf>
    <xf numFmtId="49" fontId="23" fillId="37" borderId="28" xfId="0" applyFont="1" applyFill="1" applyBorder="1" applyNumberFormat="1">
      <alignment horizontal="right" vertical="center" wrapText="1" indent="1"/>
    </xf>
    <xf numFmtId="167" fontId="0" fillId="42" borderId="14" xfId="0" applyFont="1" applyFill="1" applyBorder="1" applyNumberFormat="1">
      <alignment horizontal="left" vertical="center" wrapText="1" indent="1"/>
      <protection locked="0"/>
    </xf>
    <xf numFmtId="49" fontId="54" fillId="0" borderId="0" xfId="0" applyFont="1" applyNumberFormat="1">
      <alignment vertical="center" wrapText="1"/>
    </xf>
    <xf numFmtId="0" fontId="0" fillId="42" borderId="14" xfId="0" applyFont="1" applyFill="1" applyBorder="1" applyNumberFormat="1">
      <alignment horizontal="left" vertical="center" wrapText="1" indent="1"/>
      <protection locked="0"/>
    </xf>
    <xf numFmtId="49" fontId="23" fillId="42" borderId="14" xfId="0" applyFont="1" applyFill="1" applyBorder="1" applyNumberFormat="1">
      <alignment horizontal="left" vertical="center" wrapText="1" indent="1"/>
      <protection locked="0"/>
    </xf>
    <xf numFmtId="167" fontId="0" fillId="0" borderId="14" xfId="0" applyFont="1" applyBorder="1" applyNumberFormat="1">
      <alignment horizontal="left" vertical="center" wrapText="1" indent="1"/>
    </xf>
    <xf numFmtId="0" fontId="0" fillId="37" borderId="0" xfId="0" applyFont="1" applyFill="1" applyNumberFormat="1">
      <alignment horizontal="right" vertical="center" wrapText="1" indent="1"/>
    </xf>
    <xf numFmtId="0" fontId="101" fillId="0" borderId="0" xfId="0" applyFont="1" applyNumberFormat="1">
      <alignment horizontal="left" vertical="center" wrapText="1"/>
    </xf>
    <xf numFmtId="0" fontId="23" fillId="37" borderId="0" xfId="0" applyFont="1" applyFill="1" applyNumberFormat="1">
      <alignment horizontal="right" vertical="center" wrapText="1" indent="1"/>
    </xf>
    <xf numFmtId="0" fontId="23" fillId="0" borderId="0" xfId="0" applyFont="1" applyNumberFormat="1">
      <alignment horizontal="center" vertical="center" wrapText="1"/>
    </xf>
    <xf numFmtId="0" fontId="23" fillId="37" borderId="0" xfId="0" applyFont="1" applyFill="1" applyNumberFormat="1">
      <alignment horizontal="center" vertical="center" wrapText="1"/>
    </xf>
    <xf numFmtId="0" fontId="0" fillId="37" borderId="0" xfId="0" applyFont="1" applyFill="1" applyNumberFormat="1">
      <alignment horizontal="left" vertical="center" wrapText="1" indent="1"/>
    </xf>
    <xf numFmtId="49" fontId="23" fillId="0" borderId="14" xfId="0" applyFont="1" applyBorder="1" applyNumberFormat="1">
      <alignment horizontal="left" vertical="center" wrapText="1" indent="1"/>
    </xf>
    <xf numFmtId="0" fontId="41" fillId="0" borderId="0" xfId="0" applyFont="1" applyNumberFormat="1">
      <alignment horizontal="center" vertical="center" wrapText="1"/>
    </xf>
    <xf numFmtId="0" fontId="43" fillId="37" borderId="0" xfId="0" applyFont="1" applyFill="1" applyNumberFormat="1">
      <alignment horizontal="center" vertical="center" wrapText="1"/>
    </xf>
    <xf numFmtId="49" fontId="23" fillId="38" borderId="14" xfId="0" applyFont="1" applyFill="1" applyBorder="1" applyNumberFormat="1">
      <alignment horizontal="left" vertical="center" wrapText="1" indent="1"/>
    </xf>
    <xf numFmtId="14" fontId="23" fillId="37" borderId="0" xfId="0" applyFont="1" applyFill="1" applyNumberFormat="1">
      <alignment horizontal="center" vertical="center" wrapText="1"/>
    </xf>
    <xf numFmtId="0" fontId="0" fillId="37" borderId="28" xfId="0" applyFont="1" applyFill="1" applyBorder="1" applyNumberFormat="1">
      <alignment horizontal="right" vertical="center" wrapText="1" indent="1"/>
    </xf>
    <xf numFmtId="0" fontId="23" fillId="0" borderId="0" xfId="0" applyFont="1" applyNumberFormat="1">
      <alignment vertical="center"/>
    </xf>
    <xf numFmtId="14" fontId="23" fillId="37" borderId="0" xfId="0" applyFont="1" applyFill="1" applyNumberFormat="1">
      <alignment horizontal="left" vertical="center" wrapText="1"/>
    </xf>
    <xf numFmtId="0" fontId="23" fillId="42" borderId="14" xfId="0" applyFont="1" applyFill="1" applyBorder="1" applyNumberFormat="1">
      <alignment horizontal="left" vertical="center" wrapText="1" indent="1"/>
      <protection locked="0"/>
    </xf>
    <xf numFmtId="0" fontId="23" fillId="42" borderId="14" xfId="0" applyFont="1" applyFill="1" applyBorder="1" applyNumberFormat="1">
      <alignment horizontal="left" vertical="center" wrapText="1" indent="1"/>
      <protection locked="0"/>
    </xf>
    <xf numFmtId="0" fontId="66" fillId="37" borderId="0" xfId="0" applyFont="1" applyFill="1" applyNumberFormat="1">
      <alignment horizontal="right" vertical="center" wrapText="1" indent="1"/>
    </xf>
    <xf numFmtId="0" fontId="66" fillId="37" borderId="0" xfId="0" applyFont="1" applyFill="1" applyNumberFormat="1">
      <alignment horizontal="left" vertical="center" wrapText="1" indent="1"/>
    </xf>
    <xf numFmtId="49" fontId="23" fillId="43" borderId="14" xfId="0" applyFont="1" applyFill="1" applyBorder="1" applyNumberFormat="1">
      <alignment horizontal="left" vertical="center" wrapText="1" indent="1"/>
    </xf>
    <xf numFmtId="0" fontId="65" fillId="37" borderId="0" xfId="0" applyFont="1" applyFill="1" applyNumberFormat="1">
      <alignment vertical="center" wrapText="1"/>
    </xf>
    <xf numFmtId="0" fontId="66" fillId="37" borderId="0" xfId="0" applyFont="1" applyFill="1" applyNumberFormat="1">
      <alignment horizontal="right" vertical="center" wrapText="1" indent="1"/>
    </xf>
    <xf numFmtId="0" fontId="40" fillId="0" borderId="0" xfId="0" applyFont="1" applyNumberFormat="1">
      <alignment horizontal="left" vertical="center" wrapText="1"/>
    </xf>
    <xf numFmtId="49" fontId="32" fillId="0" borderId="14" xfId="0" applyFont="1" applyBorder="1" applyNumberFormat="1">
      <alignment horizontal="left" vertical="center" wrapText="1" indent="1"/>
    </xf>
    <xf numFmtId="0" fontId="40" fillId="0" borderId="0" xfId="0" applyFont="1" applyNumberFormat="1">
      <alignment horizontal="left" vertical="center" wrapText="1"/>
    </xf>
    <xf numFmtId="0" fontId="23" fillId="0" borderId="0" xfId="0" applyFont="1" applyNumberFormat="1">
      <alignment vertical="center" wrapText="1"/>
    </xf>
    <xf numFmtId="14" fontId="97" fillId="0" borderId="0" xfId="0" applyFont="1" applyNumberFormat="1">
      <alignment horizontal="center" vertical="center" wrapText="1"/>
    </xf>
    <xf numFmtId="0" fontId="41" fillId="0" borderId="0" xfId="0" applyFont="1" applyNumberFormat="1">
      <alignment vertical="center" wrapText="1"/>
    </xf>
    <xf numFmtId="0" fontId="40" fillId="0" borderId="0" xfId="0" applyFont="1" applyNumberFormat="1">
      <alignment horizontal="center" vertical="center" wrapText="1"/>
    </xf>
    <xf numFmtId="0" fontId="23" fillId="0" borderId="0" xfId="0" applyFont="1" applyNumberFormat="1">
      <alignment horizontal="center" vertical="center" wrapText="1"/>
    </xf>
    <xf numFmtId="0" fontId="54" fillId="0" borderId="0" xfId="0" applyFont="1" applyNumberFormat="1">
      <alignment horizontal="center" vertical="center" wrapText="1"/>
    </xf>
    <xf numFmtId="0" fontId="54" fillId="0" borderId="0" xfId="0" applyFont="1" applyNumberFormat="1">
      <alignment vertical="center" wrapText="1"/>
    </xf>
    <xf numFmtId="0" fontId="88" fillId="0" borderId="0" xfId="0" applyFont="1" applyNumberFormat="1">
      <alignment vertical="center" wrapText="1"/>
    </xf>
    <xf numFmtId="0" fontId="23" fillId="43" borderId="14" xfId="0" applyFont="1" applyFill="1" applyBorder="1" applyNumberFormat="1">
      <alignment horizontal="left" vertical="center" wrapText="1" indent="1"/>
    </xf>
    <xf numFmtId="167" fontId="0" fillId="0" borderId="13" xfId="0" applyFont="1" applyBorder="1" applyNumberFormat="1">
      <alignment horizontal="left" vertical="center" wrapText="1" indent="1"/>
    </xf>
    <xf numFmtId="0" fontId="23" fillId="43" borderId="14" xfId="0" applyFont="1" applyFill="1" applyBorder="1" applyNumberFormat="1">
      <alignment horizontal="left" vertical="center" wrapText="1" indent="1"/>
    </xf>
    <xf numFmtId="0" fontId="23" fillId="42" borderId="14" xfId="0" applyFont="1" applyFill="1" applyBorder="1" applyNumberFormat="1">
      <alignment horizontal="left" vertical="center" wrapText="1" indent="1"/>
      <protection locked="0"/>
    </xf>
    <xf numFmtId="49" fontId="23" fillId="43" borderId="14" xfId="0" applyFont="1" applyFill="1" applyBorder="1" applyNumberFormat="1">
      <alignment horizontal="left" vertical="center" wrapText="1" indent="1"/>
    </xf>
    <xf numFmtId="0" fontId="96" fillId="0" borderId="0" xfId="0" applyFont="1" applyNumberFormat="1">
      <alignment horizontal="left" vertical="center" wrapText="1"/>
    </xf>
    <xf numFmtId="49" fontId="40" fillId="0" borderId="0" xfId="0" applyFont="1" applyNumberFormat="1">
      <alignment horizontal="left" vertical="center" wrapText="1"/>
    </xf>
    <xf numFmtId="49" fontId="42" fillId="37" borderId="0" xfId="0" applyFont="1" applyFill="1" applyNumberFormat="1">
      <alignment horizontal="center" vertical="center" wrapText="1"/>
    </xf>
    <xf numFmtId="0" fontId="23" fillId="0" borderId="0" xfId="0" applyFont="1" applyNumberFormat="1">
      <alignment horizontal="left" vertical="center" wrapText="1" indent="4"/>
    </xf>
    <xf numFmtId="0" fontId="23" fillId="0" borderId="0" xfId="0" applyFont="1" applyNumberFormat="1">
      <alignment horizontal="left" vertical="center" wrapText="1" indent="1"/>
    </xf>
    <xf numFmtId="49" fontId="23" fillId="42" borderId="14" xfId="0" applyFont="1" applyFill="1" applyBorder="1" applyNumberFormat="1">
      <alignment horizontal="left" vertical="center" wrapText="1" indent="1"/>
      <protection locked="0"/>
    </xf>
    <xf numFmtId="0" fontId="0" fillId="0" borderId="0" xfId="0" applyFont="1" applyNumberFormat="1">
      <alignment horizontal="center" vertical="center" wrapText="1"/>
    </xf>
    <xf numFmtId="49" fontId="23" fillId="37" borderId="0" xfId="0" applyFont="1" applyFill="1" applyNumberFormat="1">
      <alignment horizontal="right" vertical="center" wrapText="1" indent="1"/>
    </xf>
    <xf numFmtId="49" fontId="23" fillId="0" borderId="0" xfId="0" applyFont="1" applyNumberFormat="1">
      <alignment horizontal="center" vertical="center" wrapText="1"/>
    </xf>
    <xf numFmtId="49" fontId="0" fillId="37" borderId="0" xfId="0" applyFont="1" applyFill="1" applyNumberFormat="1">
      <alignment horizontal="right" vertical="center" wrapText="1" indent="1"/>
    </xf>
    <xf numFmtId="0" fontId="36" fillId="0" borderId="0" xfId="0" applyFont="1" applyNumberFormat="1">
      <alignment vertical="top" wrapText="1"/>
    </xf>
    <xf numFmtId="0" fontId="96" fillId="0" borderId="0" xfId="0" applyFont="1" applyNumberFormat="1">
      <alignment horizontal="left" vertical="center" wrapText="1"/>
    </xf>
    <xf numFmtId="0" fontId="40" fillId="0" borderId="0" xfId="0" applyFont="1" applyNumberFormat="1">
      <alignment horizontal="left" vertical="center" wrapText="1"/>
    </xf>
    <xf numFmtId="0" fontId="41" fillId="0" borderId="0" xfId="0" applyFont="1" applyNumberFormat="1">
      <alignment vertical="center" wrapText="1"/>
    </xf>
    <xf numFmtId="0" fontId="23" fillId="0" borderId="0" xfId="0" applyFont="1" applyNumberFormat="1">
      <alignment vertical="center" wrapText="1"/>
    </xf>
    <xf numFmtId="0" fontId="23" fillId="0" borderId="0" xfId="0" applyFont="1" applyNumberFormat="1">
      <alignment horizontal="center" vertical="center" wrapText="1"/>
    </xf>
    <xf numFmtId="0" fontId="40" fillId="0" borderId="0" xfId="0" applyFont="1" applyNumberFormat="1">
      <alignment horizontal="center" vertical="center" wrapText="1"/>
    </xf>
    <xf numFmtId="0" fontId="54" fillId="0" borderId="0" xfId="0" applyFont="1" applyNumberFormat="1">
      <alignment vertical="center" wrapText="1"/>
    </xf>
    <xf numFmtId="0" fontId="55" fillId="0" borderId="0" xfId="0" applyFont="1" applyNumberFormat="1">
      <alignment vertical="center" wrapText="1"/>
    </xf>
    <xf numFmtId="0" fontId="77" fillId="0" borderId="0" xfId="0" applyFont="1" applyNumberFormat="1">
      <alignment vertical="center" wrapText="1"/>
    </xf>
    <xf numFmtId="0" fontId="55" fillId="0" borderId="0" xfId="0" applyFont="1" applyNumberFormat="1">
      <alignment vertical="center" wrapText="1"/>
    </xf>
    <xf numFmtId="0" fontId="55" fillId="0" borderId="0" xfId="0" applyFont="1" applyNumberFormat="1">
      <alignment horizontal="center" vertical="center" wrapText="1"/>
    </xf>
    <xf numFmtId="0" fontId="55" fillId="0" borderId="0" xfId="0" applyFont="1" applyNumberFormat="1">
      <alignment horizontal="left" vertical="center" indent="1"/>
    </xf>
    <xf numFmtId="0" fontId="55" fillId="0" borderId="0" xfId="0" applyFont="1" applyNumberFormat="1">
      <alignment horizontal="center" vertical="center" wrapText="1"/>
    </xf>
    <xf numFmtId="0" fontId="55" fillId="0" borderId="0" xfId="0" applyFont="1" applyNumberFormat="1">
      <alignment horizontal="left" vertical="center" wrapText="1" indent="1"/>
    </xf>
    <xf numFmtId="0" fontId="55" fillId="0" borderId="0" xfId="0" applyFont="1" applyNumberFormat="1">
      <alignment horizontal="left" vertical="center" indent="1"/>
    </xf>
    <xf numFmtId="0" fontId="61" fillId="0" borderId="0" xfId="0" applyFont="1" applyNumberFormat="1">
      <alignment vertical="center" wrapText="1"/>
    </xf>
    <xf numFmtId="0" fontId="23" fillId="0" borderId="0" xfId="0" applyFont="1" applyNumberFormat="1">
      <alignment horizontal="left" vertical="center" wrapText="1" indent="1"/>
    </xf>
    <xf numFmtId="0" fontId="54" fillId="0" borderId="0" xfId="0" applyFont="1" applyNumberFormat="1">
      <alignment horizontal="left" vertical="center" wrapText="1" indent="1"/>
    </xf>
    <xf numFmtId="0" fontId="61" fillId="0" borderId="0" xfId="0" applyFont="1" applyNumberFormat="1">
      <alignment horizontal="left" vertical="center" wrapText="1" indent="1"/>
    </xf>
    <xf numFmtId="0" fontId="62" fillId="0" borderId="0" xfId="0" applyFont="1" applyNumberFormat="1">
      <alignment horizontal="left" vertical="center" indent="1"/>
    </xf>
    <xf numFmtId="0" fontId="50" fillId="0" borderId="0" xfId="0" applyFont="1" applyNumberFormat="1">
      <alignment vertical="center" wrapText="1"/>
    </xf>
    <xf numFmtId="0" fontId="23" fillId="0" borderId="0" xfId="0" applyFont="1" applyNumberFormat="1">
      <alignment vertical="center" wrapText="1"/>
    </xf>
    <xf numFmtId="0" fontId="54" fillId="0" borderId="0" xfId="0" applyFont="1" applyNumberFormat="1">
      <alignment vertical="center" wrapText="1"/>
    </xf>
    <xf numFmtId="0" fontId="45" fillId="0" borderId="0" xfId="0" applyFont="1" applyNumberFormat="1">
      <alignment horizontal="center" vertical="center" wrapText="1"/>
    </xf>
    <xf numFmtId="0" fontId="23" fillId="0" borderId="0" xfId="0" applyFont="1" applyNumberFormat="1">
      <alignment vertical="center" wrapText="1"/>
    </xf>
    <xf numFmtId="0" fontId="23" fillId="0" borderId="0" xfId="0" applyFont="1" applyNumberFormat="1">
      <alignment vertical="center" wrapText="1"/>
    </xf>
    <xf numFmtId="0" fontId="23" fillId="0" borderId="0" xfId="0" applyFont="1" applyNumberFormat="1">
      <alignment horizontal="right" vertical="center" wrapText="1"/>
    </xf>
    <xf numFmtId="0" fontId="55" fillId="0" borderId="0" xfId="0" applyFont="1" applyNumberFormat="1">
      <alignment vertical="center"/>
    </xf>
    <xf numFmtId="0" fontId="55" fillId="0" borderId="0" xfId="0" applyFont="1" applyNumberFormat="1">
      <alignment vertical="center"/>
    </xf>
    <xf numFmtId="0" fontId="60" fillId="0" borderId="0" xfId="0" applyFont="1" applyNumberFormat="1">
      <alignment vertical="center"/>
    </xf>
    <xf numFmtId="0" fontId="23" fillId="0" borderId="17" xfId="0" applyFont="1" applyBorder="1" applyNumberFormat="1">
      <alignment horizontal="left" vertical="center" wrapText="1" indent="1"/>
    </xf>
    <xf numFmtId="4" fontId="23" fillId="0" borderId="0" xfId="0" applyFont="1" applyNumberFormat="1">
      <alignment horizontal="right" vertical="center" wrapText="1"/>
    </xf>
    <xf numFmtId="0" fontId="23" fillId="0" borderId="0" xfId="0" applyFont="1" applyNumberFormat="1">
      <alignment horizontal="left" vertical="center" wrapText="1" indent="1"/>
    </xf>
    <xf numFmtId="49" fontId="23" fillId="0" borderId="0" xfId="0" applyFont="1" applyNumberFormat="1">
      <alignment vertical="top"/>
    </xf>
    <xf numFmtId="49" fontId="54" fillId="0" borderId="0" xfId="0" applyFont="1" applyNumberFormat="1">
      <alignment vertical="top"/>
    </xf>
    <xf numFmtId="49" fontId="23" fillId="0" borderId="0" xfId="0" applyFont="1" applyNumberFormat="1">
      <alignment vertical="top"/>
    </xf>
    <xf numFmtId="49" fontId="23" fillId="0" borderId="0" xfId="0" applyFont="1" applyNumberFormat="1">
      <alignment horizontal="center" vertical="center" wrapText="1"/>
    </xf>
    <xf numFmtId="4" fontId="23" fillId="0" borderId="0" xfId="0" applyFont="1" applyNumberFormat="1">
      <alignment horizontal="center" vertical="center" wrapText="1"/>
    </xf>
    <xf numFmtId="0" fontId="23" fillId="0" borderId="16" xfId="0" applyFont="1" applyBorder="1" applyNumberFormat="1">
      <alignment horizontal="center" vertical="center" wrapText="1"/>
    </xf>
    <xf numFmtId="0" fontId="23" fillId="0" borderId="17" xfId="0" applyFont="1" applyBorder="1" applyNumberFormat="1">
      <alignment horizontal="center" vertical="center" wrapText="1"/>
    </xf>
    <xf numFmtId="0" fontId="23" fillId="0" borderId="15" xfId="0" applyFont="1" applyBorder="1" applyNumberFormat="1">
      <alignment horizontal="center" vertical="center" wrapText="1"/>
    </xf>
    <xf numFmtId="4" fontId="23" fillId="0" borderId="14" xfId="0" applyFont="1" applyBorder="1" applyNumberFormat="1">
      <alignment horizontal="center" vertical="center" wrapText="1"/>
    </xf>
    <xf numFmtId="165" fontId="23" fillId="0" borderId="16" xfId="0" applyFont="1" applyBorder="1" applyNumberFormat="1">
      <alignment horizontal="center" vertical="center" wrapText="1"/>
    </xf>
    <xf numFmtId="165" fontId="23" fillId="0" borderId="14" xfId="0" applyFont="1" applyBorder="1" applyNumberFormat="1">
      <alignment horizontal="center" vertical="center" wrapText="1"/>
    </xf>
    <xf numFmtId="0" fontId="44" fillId="0" borderId="0" xfId="0" applyFont="1" applyNumberFormat="1">
      <alignment horizontal="center" vertical="center" wrapText="1"/>
    </xf>
    <xf numFmtId="49" fontId="44" fillId="0" borderId="17" xfId="0" applyFont="1" applyBorder="1" applyNumberFormat="1">
      <alignment horizontal="center" vertical="center" wrapText="1"/>
    </xf>
    <xf numFmtId="49" fontId="44" fillId="0" borderId="17" xfId="0" applyFont="1" applyBorder="1" applyNumberFormat="1">
      <alignment horizontal="center" vertical="center" wrapText="1"/>
    </xf>
    <xf numFmtId="0" fontId="54" fillId="0" borderId="0" xfId="0" applyFont="1" applyNumberFormat="1">
      <alignment vertical="center"/>
    </xf>
    <xf numFmtId="0" fontId="54" fillId="0" borderId="0" xfId="0" applyFont="1" applyNumberFormat="1">
      <alignment vertical="center"/>
    </xf>
    <xf numFmtId="0" fontId="59" fillId="0" borderId="0" xfId="0" applyFont="1" applyNumberFormat="1">
      <alignment vertical="center"/>
    </xf>
    <xf numFmtId="49" fontId="23" fillId="40" borderId="21" xfId="0" applyFont="1" applyFill="1" applyBorder="1" applyNumberFormat="1">
      <alignment horizontal="center" vertical="center" wrapText="1"/>
    </xf>
    <xf numFmtId="49" fontId="54" fillId="40" borderId="21" xfId="0" applyFont="1" applyFill="1" applyBorder="1" applyNumberFormat="1">
      <alignment horizontal="left" vertical="center" wrapText="1"/>
    </xf>
    <xf numFmtId="49" fontId="54" fillId="40" borderId="22" xfId="0" applyFont="1" applyFill="1" applyBorder="1" applyNumberFormat="1">
      <alignment horizontal="left" vertical="center" wrapText="1"/>
    </xf>
    <xf numFmtId="0" fontId="55" fillId="0" borderId="24" xfId="0" applyFont="1" applyBorder="1" applyNumberFormat="1">
      <alignment vertical="center"/>
    </xf>
    <xf numFmtId="0" fontId="50" fillId="0" borderId="0" xfId="0" applyFont="1" applyNumberFormat="1">
      <alignment vertical="center" wrapText="1"/>
    </xf>
    <xf numFmtId="0" fontId="23" fillId="0" borderId="0" xfId="0" applyFont="1" applyNumberFormat="1">
      <alignment horizontal="center" vertical="center" wrapText="1"/>
    </xf>
    <xf numFmtId="0" fontId="45" fillId="0" borderId="0" xfId="0" applyFont="1" applyNumberFormat="1">
      <alignment horizontal="center" vertical="center" wrapText="1"/>
    </xf>
    <xf numFmtId="0" fontId="23" fillId="0" borderId="14" xfId="0" applyFont="1" applyBorder="1" applyNumberFormat="1">
      <alignment horizontal="center" vertical="center" wrapText="1"/>
    </xf>
    <xf numFmtId="0" fontId="55" fillId="0" borderId="14" xfId="0" applyFont="1" applyBorder="1" applyNumberFormat="1">
      <alignment horizontal="center" vertical="center" wrapText="1"/>
    </xf>
    <xf numFmtId="49" fontId="23" fillId="42" borderId="14" xfId="0" applyFont="1" applyFill="1" applyBorder="1" applyNumberFormat="1">
      <alignment vertical="center" wrapText="1"/>
      <protection locked="0"/>
    </xf>
    <xf numFmtId="49" fontId="54" fillId="0" borderId="14" xfId="0" applyFont="1" applyBorder="1" applyNumberFormat="1">
      <alignment horizontal="left" vertical="center" wrapText="1"/>
    </xf>
    <xf numFmtId="0" fontId="55" fillId="0" borderId="0" xfId="0" applyFont="1" applyNumberFormat="1">
      <alignment vertical="center"/>
    </xf>
    <xf numFmtId="0" fontId="55" fillId="0" borderId="0" xfId="0" applyFont="1" applyNumberFormat="1">
      <alignment vertical="center"/>
    </xf>
    <xf numFmtId="49" fontId="0" fillId="0" borderId="0" xfId="0" applyFont="1" applyNumberFormat="1">
      <alignment vertical="top"/>
    </xf>
    <xf numFmtId="0" fontId="44" fillId="0" borderId="26" xfId="0" applyFont="1" applyBorder="1" applyNumberFormat="1">
      <alignment vertical="top" wrapText="1"/>
    </xf>
    <xf numFmtId="0" fontId="23" fillId="0" borderId="25" xfId="0" applyFont="1" applyBorder="1" applyNumberFormat="1">
      <alignment horizontal="center" vertical="center" wrapText="1"/>
    </xf>
    <xf numFmtId="0" fontId="55" fillId="0" borderId="25" xfId="0" applyFont="1" applyBorder="1" applyNumberFormat="1">
      <alignment horizontal="center" vertical="center" wrapText="1"/>
    </xf>
    <xf numFmtId="14" fontId="23" fillId="43" borderId="25" xfId="0" applyFont="1" applyFill="1" applyBorder="1" applyNumberFormat="1">
      <alignment horizontal="left" vertical="center" wrapText="1" indent="1"/>
    </xf>
    <xf numFmtId="49" fontId="23" fillId="38" borderId="25" xfId="0" applyFont="1" applyFill="1" applyBorder="1" applyNumberFormat="1">
      <alignment horizontal="center" vertical="center" wrapText="1"/>
    </xf>
    <xf numFmtId="0" fontId="79" fillId="0" borderId="0" xfId="0" applyFont="1" applyNumberFormat="1">
      <alignment vertical="center" wrapText="1"/>
    </xf>
    <xf numFmtId="49" fontId="54" fillId="0" borderId="0" xfId="0" applyFont="1" applyNumberFormat="1">
      <alignment vertical="top"/>
    </xf>
    <xf numFmtId="49" fontId="55" fillId="0" borderId="0" xfId="0" applyFont="1" applyNumberFormat="1">
      <alignment vertical="top"/>
    </xf>
    <xf numFmtId="0" fontId="0" fillId="0" borderId="0" xfId="0" applyFont="1" applyNumberFormat="1">
      <alignment vertical="center" wrapText="1"/>
    </xf>
    <xf numFmtId="0" fontId="44" fillId="0" borderId="0" xfId="0" applyFont="1" applyNumberFormat="1">
      <alignment vertical="top" wrapText="1"/>
    </xf>
    <xf numFmtId="49" fontId="36" fillId="40" borderId="16" xfId="0" applyFont="1" applyFill="1" applyBorder="1" applyNumberFormat="1">
      <alignment horizontal="right" vertical="center" wrapText="1"/>
    </xf>
    <xf numFmtId="49" fontId="36" fillId="40" borderId="17" xfId="0" applyFont="1" applyFill="1" applyBorder="1" applyNumberFormat="1">
      <alignment horizontal="right" vertical="center" wrapText="1"/>
    </xf>
    <xf numFmtId="49" fontId="48" fillId="40" borderId="17" xfId="0" applyFont="1" applyFill="1" applyBorder="1" applyNumberFormat="1">
      <alignment horizontal="left" vertical="center" indent="1"/>
    </xf>
    <xf numFmtId="49" fontId="0" fillId="40" borderId="17" xfId="0" applyFont="1" applyFill="1" applyBorder="1" applyNumberFormat="1">
      <alignment horizontal="right" vertical="center" wrapText="1"/>
    </xf>
    <xf numFmtId="49" fontId="0" fillId="40" borderId="15" xfId="0" applyFont="1" applyFill="1" applyBorder="1" applyNumberFormat="1">
      <alignment horizontal="right" vertical="center" wrapText="1"/>
    </xf>
    <xf numFmtId="49" fontId="23" fillId="40" borderId="16" xfId="0" applyFont="1" applyFill="1" applyBorder="1" applyNumberFormat="1">
      <alignment horizontal="right" vertical="center" wrapText="1"/>
    </xf>
    <xf numFmtId="49" fontId="23" fillId="40" borderId="17" xfId="0" applyFont="1" applyFill="1" applyBorder="1" applyNumberFormat="1">
      <alignment horizontal="right" vertical="center" wrapText="1"/>
    </xf>
    <xf numFmtId="49" fontId="48" fillId="40" borderId="17" xfId="0" applyFont="1" applyFill="1" applyBorder="1" applyNumberFormat="1">
      <alignment horizontal="left" vertical="center"/>
    </xf>
    <xf numFmtId="49" fontId="23" fillId="40" borderId="15" xfId="0" applyFont="1" applyFill="1" applyBorder="1" applyNumberFormat="1">
      <alignment horizontal="right" vertical="center" wrapText="1"/>
    </xf>
    <xf numFmtId="0" fontId="45" fillId="0" borderId="0" xfId="0" applyFont="1" applyNumberFormat="1">
      <alignment horizontal="center" vertical="center" wrapText="1"/>
    </xf>
    <xf numFmtId="0" fontId="23" fillId="0" borderId="23" xfId="0" applyFont="1" applyBorder="1" applyNumberFormat="1">
      <alignment vertical="center" wrapText="1"/>
    </xf>
    <xf numFmtId="0" fontId="23" fillId="0" borderId="0" xfId="0" applyFont="1" applyNumberFormat="1">
      <alignment vertical="center" wrapText="1"/>
    </xf>
    <xf numFmtId="0" fontId="53" fillId="0" borderId="0" xfId="0" applyFont="1" applyNumberFormat="1">
      <alignment vertical="center" wrapText="1"/>
    </xf>
    <xf numFmtId="0" fontId="99" fillId="0" borderId="0" xfId="0" applyFont="1" applyNumberFormat="1">
      <alignment vertical="center" wrapText="1"/>
    </xf>
    <xf numFmtId="0" fontId="57" fillId="0" borderId="0" xfId="0" applyFont="1" applyNumberFormat="1">
      <alignment horizontal="center" vertical="center" wrapText="1"/>
    </xf>
    <xf numFmtId="49" fontId="0" fillId="0" borderId="0" xfId="0" applyFont="1" applyNumberFormat="1">
      <alignment vertical="top"/>
    </xf>
    <xf numFmtId="0" fontId="23" fillId="0" borderId="0" xfId="0" applyFont="1" applyNumberFormat="1">
      <alignment vertical="center" wrapText="1"/>
    </xf>
    <xf numFmtId="0" fontId="54" fillId="0" borderId="0" xfId="0" applyFont="1" applyNumberFormat="1">
      <alignment vertical="center" wrapText="1"/>
    </xf>
    <xf numFmtId="0" fontId="45" fillId="0" borderId="0" xfId="0" applyFont="1" applyNumberFormat="1">
      <alignment horizontal="center" vertical="center" wrapText="1"/>
    </xf>
    <xf numFmtId="0" fontId="23" fillId="0" borderId="0" xfId="0" applyFont="1" applyNumberFormat="1">
      <alignment vertical="center" wrapText="1"/>
    </xf>
    <xf numFmtId="0" fontId="55" fillId="0" borderId="0" xfId="0" applyFont="1" applyNumberFormat="1">
      <alignment vertical="center"/>
    </xf>
    <xf numFmtId="0" fontId="55" fillId="0" borderId="0" xfId="0" applyFont="1" applyNumberFormat="1">
      <alignment vertical="center"/>
    </xf>
    <xf numFmtId="0" fontId="60" fillId="0" borderId="0" xfId="0" applyFont="1" applyNumberFormat="1">
      <alignment vertical="center"/>
    </xf>
    <xf numFmtId="0" fontId="23" fillId="0" borderId="0" xfId="0" applyFont="1" applyNumberFormat="1">
      <alignment vertical="center"/>
    </xf>
    <xf numFmtId="0" fontId="23" fillId="0" borderId="22" xfId="0" applyFont="1" applyBorder="1" applyNumberFormat="1">
      <alignment horizontal="left" vertical="center" wrapText="1" indent="1"/>
    </xf>
    <xf numFmtId="0" fontId="23" fillId="0" borderId="19" xfId="0" applyFont="1" applyBorder="1" applyNumberFormat="1">
      <alignment horizontal="left" vertical="center" wrapText="1" indent="1"/>
    </xf>
    <xf numFmtId="0" fontId="23" fillId="0" borderId="39" xfId="0" applyFont="1" applyBorder="1" applyNumberFormat="1">
      <alignment horizontal="left" vertical="center" wrapText="1" indent="1"/>
    </xf>
    <xf numFmtId="0" fontId="54" fillId="0" borderId="0" xfId="0" applyFont="1" applyNumberFormat="1">
      <alignment vertical="center"/>
    </xf>
    <xf numFmtId="0" fontId="49" fillId="0" borderId="0" xfId="0" applyFont="1" applyNumberFormat="1">
      <alignment vertical="center"/>
    </xf>
    <xf numFmtId="0" fontId="23" fillId="0" borderId="31" xfId="0" applyFont="1" applyBorder="1" applyNumberFormat="1">
      <alignment horizontal="left" vertical="center" indent="1"/>
    </xf>
    <xf numFmtId="0" fontId="23" fillId="0" borderId="25" xfId="0" applyFont="1" applyBorder="1" applyNumberFormat="1">
      <alignment horizontal="left" vertical="center" indent="1"/>
    </xf>
    <xf numFmtId="0" fontId="23" fillId="0" borderId="32" xfId="0" applyFont="1" applyBorder="1" applyNumberFormat="1">
      <alignment horizontal="left" vertical="center" indent="1"/>
    </xf>
    <xf numFmtId="0" fontId="91" fillId="0" borderId="0" xfId="0" applyFont="1" applyNumberFormat="1">
      <alignment vertical="center"/>
    </xf>
    <xf numFmtId="0" fontId="56" fillId="0" borderId="0" xfId="0" applyFont="1" applyNumberFormat="1">
      <alignment vertical="center"/>
    </xf>
    <xf numFmtId="0" fontId="113" fillId="0" borderId="0" xfId="0" applyFont="1" applyNumberFormat="1">
      <alignment vertical="center"/>
    </xf>
    <xf numFmtId="0" fontId="49" fillId="0" borderId="0" xfId="0" applyFont="1" applyNumberFormat="1">
      <alignment vertical="center"/>
    </xf>
    <xf numFmtId="0" fontId="23" fillId="0" borderId="0" xfId="0" applyFont="1" applyNumberFormat="1">
      <alignment horizontal="center" vertical="center" wrapText="1"/>
    </xf>
    <xf numFmtId="0" fontId="23" fillId="0" borderId="0" xfId="0" applyFont="1" applyNumberFormat="1">
      <alignment vertical="center" wrapText="1"/>
    </xf>
    <xf numFmtId="0" fontId="91" fillId="0" borderId="0" xfId="0" applyFont="1" applyNumberFormat="1">
      <alignment vertical="center"/>
    </xf>
    <xf numFmtId="0" fontId="56" fillId="0" borderId="0" xfId="0" applyFont="1" applyNumberFormat="1">
      <alignment vertical="center"/>
    </xf>
    <xf numFmtId="0" fontId="113" fillId="0" borderId="0" xfId="0" applyFont="1" applyNumberFormat="1">
      <alignment vertical="center"/>
    </xf>
    <xf numFmtId="0" fontId="0" fillId="0" borderId="0" xfId="0" applyFont="1" applyNumberFormat="1">
      <alignment horizontal="left" vertical="center" wrapText="1" indent="2"/>
    </xf>
    <xf numFmtId="0" fontId="0" fillId="0" borderId="0" xfId="0" applyFont="1" applyNumberFormat="1">
      <alignment horizontal="left" vertical="center" indent="2"/>
    </xf>
    <xf numFmtId="0" fontId="37" fillId="0" borderId="0" xfId="0" applyFont="1" applyNumberFormat="1">
      <alignment vertical="center"/>
    </xf>
    <xf numFmtId="0" fontId="49" fillId="0" borderId="0" xfId="0" applyFont="1" applyNumberFormat="1">
      <alignment vertical="center"/>
    </xf>
    <xf numFmtId="0" fontId="23" fillId="44" borderId="0" xfId="0" applyFont="1" applyFill="1" applyNumberFormat="1">
      <alignment horizontal="center" vertical="center" wrapText="1"/>
    </xf>
    <xf numFmtId="0" fontId="23" fillId="0" borderId="0" xfId="0" applyFont="1" applyNumberFormat="1">
      <alignment vertical="center" wrapText="1"/>
    </xf>
    <xf numFmtId="0" fontId="23" fillId="0" borderId="14" xfId="0" applyFont="1" applyBorder="1" applyNumberFormat="1">
      <alignment horizontal="center" vertical="center" wrapText="1"/>
    </xf>
    <xf numFmtId="0" fontId="80" fillId="0" borderId="39" xfId="0" applyFont="1" applyBorder="1" applyNumberFormat="1">
      <alignment horizontal="center" vertical="center" wrapText="1"/>
    </xf>
    <xf numFmtId="0" fontId="80" fillId="0" borderId="21" xfId="0" applyFont="1" applyBorder="1" applyNumberFormat="1">
      <alignment horizontal="center" vertical="center" wrapText="1"/>
    </xf>
    <xf numFmtId="0" fontId="80" fillId="0" borderId="14" xfId="0" applyFont="1" applyBorder="1" applyNumberFormat="1">
      <alignment horizontal="center" vertical="center" wrapText="1"/>
    </xf>
    <xf numFmtId="0" fontId="23" fillId="0" borderId="0" xfId="0" applyFont="1" applyNumberFormat="1">
      <alignment horizontal="center" vertical="center" wrapText="1"/>
    </xf>
    <xf numFmtId="0" fontId="87" fillId="0" borderId="0" xfId="0" applyFont="1" applyNumberFormat="1">
      <alignment horizontal="center" vertical="center" wrapText="1"/>
    </xf>
    <xf numFmtId="0" fontId="23" fillId="0" borderId="14" xfId="0" applyFont="1" applyBorder="1" applyNumberFormat="1">
      <alignment horizontal="center" vertical="center" wrapText="1"/>
    </xf>
    <xf numFmtId="0" fontId="23" fillId="0" borderId="73" xfId="0" applyFont="1" applyBorder="1" applyNumberFormat="1">
      <alignment horizontal="center" vertical="center" wrapText="1"/>
    </xf>
    <xf numFmtId="0" fontId="23" fillId="0" borderId="74" xfId="0" applyFont="1" applyBorder="1" applyNumberFormat="1">
      <alignment horizontal="center" vertical="center" wrapText="1"/>
    </xf>
    <xf numFmtId="0" fontId="54" fillId="0" borderId="24" xfId="0" applyFont="1" applyBorder="1" applyNumberFormat="1">
      <alignment vertical="center"/>
    </xf>
    <xf numFmtId="0" fontId="0" fillId="0" borderId="0" xfId="0" applyFont="1" applyNumberFormat="1">
      <alignment vertical="center"/>
    </xf>
    <xf numFmtId="49" fontId="44" fillId="0" borderId="0" xfId="0" applyFont="1" applyNumberFormat="1">
      <alignment horizontal="center" vertical="center" wrapText="1"/>
    </xf>
    <xf numFmtId="49" fontId="44" fillId="0" borderId="14" xfId="0" applyFont="1" applyBorder="1" applyNumberFormat="1">
      <alignment horizontal="center" vertical="center" wrapText="1"/>
    </xf>
    <xf numFmtId="49" fontId="44" fillId="0" borderId="71" xfId="0" applyFont="1" applyBorder="1" applyNumberFormat="1">
      <alignment horizontal="center" vertical="center" wrapText="1"/>
    </xf>
    <xf numFmtId="49" fontId="44" fillId="0" borderId="72" xfId="0" applyFont="1" applyBorder="1" applyNumberFormat="1">
      <alignment horizontal="center" vertical="center" wrapText="1"/>
    </xf>
    <xf numFmtId="49" fontId="44" fillId="0" borderId="16" xfId="0" applyFont="1" applyBorder="1" applyNumberFormat="1">
      <alignment horizontal="center" vertical="center" wrapText="1"/>
    </xf>
    <xf numFmtId="49" fontId="44" fillId="0" borderId="15" xfId="0" applyFont="1" applyBorder="1" applyNumberFormat="1">
      <alignment horizontal="center" vertical="center" wrapText="1"/>
    </xf>
    <xf numFmtId="0" fontId="54" fillId="0" borderId="24" xfId="0" applyFont="1" applyBorder="1" applyNumberFormat="1">
      <alignment vertical="center"/>
    </xf>
    <xf numFmtId="0" fontId="55" fillId="0" borderId="0" xfId="0" applyFont="1" applyNumberFormat="1">
      <alignment vertical="center"/>
    </xf>
    <xf numFmtId="0" fontId="55" fillId="0" borderId="0" xfId="0" applyFont="1" applyNumberFormat="1">
      <alignment vertical="center"/>
    </xf>
    <xf numFmtId="0" fontId="23" fillId="0" borderId="0" xfId="0" applyFont="1" applyNumberFormat="1">
      <alignment vertical="center"/>
    </xf>
    <xf numFmtId="0" fontId="54" fillId="0" borderId="0" xfId="0" applyFont="1" applyNumberFormat="1">
      <alignment vertical="center"/>
    </xf>
    <xf numFmtId="0" fontId="55" fillId="0" borderId="0" xfId="0" applyFont="1" applyNumberFormat="1">
      <alignment horizontal="center" vertical="center"/>
    </xf>
    <xf numFmtId="0" fontId="23" fillId="0" borderId="0" xfId="0" applyFont="1" applyNumberFormat="1">
      <alignment horizontal="center" vertical="center" wrapText="1"/>
    </xf>
    <xf numFmtId="0" fontId="23" fillId="40" borderId="16"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43" xfId="0" applyFont="1" applyFill="1" applyBorder="1" applyNumberFormat="1">
      <alignment horizontal="center" vertical="center" wrapText="1"/>
    </xf>
    <xf numFmtId="49" fontId="0" fillId="40" borderId="17" xfId="0" applyFont="1" applyFill="1" applyBorder="1" applyNumberFormat="1">
      <alignment horizontal="left" vertical="center"/>
    </xf>
    <xf numFmtId="0" fontId="0" fillId="40" borderId="15" xfId="0" applyFont="1" applyFill="1" applyBorder="1" applyNumberFormat="1">
      <alignment vertical="center"/>
    </xf>
    <xf numFmtId="0" fontId="0" fillId="0" borderId="0" xfId="0" applyFont="1" applyNumberFormat="1">
      <alignment vertical="center"/>
    </xf>
    <xf numFmtId="49" fontId="0" fillId="0" borderId="0" xfId="0" applyFont="1" applyNumberFormat="1">
      <alignment vertical="top"/>
    </xf>
    <xf numFmtId="0" fontId="45" fillId="0" borderId="0" xfId="0" applyFont="1" applyNumberFormat="1">
      <alignment horizontal="center" vertical="center" wrapText="1"/>
    </xf>
    <xf numFmtId="49" fontId="23" fillId="0" borderId="14" xfId="0" applyFont="1" applyBorder="1" applyNumberFormat="1">
      <alignment horizontal="center" vertical="center" wrapText="1"/>
    </xf>
    <xf numFmtId="0" fontId="23" fillId="43" borderId="19" xfId="0" applyFont="1" applyFill="1" applyBorder="1" applyNumberFormat="1">
      <alignment horizontal="left" vertical="center" wrapText="1" indent="2"/>
    </xf>
    <xf numFmtId="49" fontId="23" fillId="43" borderId="25" xfId="0" applyFont="1" applyFill="1" applyBorder="1" applyNumberFormat="1">
      <alignment horizontal="center" vertical="center" wrapText="1"/>
    </xf>
    <xf numFmtId="14" fontId="86" fillId="0" borderId="75" xfId="0" applyFont="1" applyBorder="1" applyNumberFormat="1">
      <alignment horizontal="center" vertical="center" wrapText="1"/>
    </xf>
    <xf numFmtId="0" fontId="23" fillId="0" borderId="75" xfId="0" applyFont="1" applyBorder="1" applyNumberFormat="1">
      <alignment horizontal="center" vertical="center" wrapText="1"/>
    </xf>
    <xf numFmtId="0" fontId="23" fillId="43" borderId="19" xfId="0" applyFont="1" applyFill="1" applyBorder="1" applyNumberFormat="1">
      <alignment horizontal="left" vertical="center" wrapText="1" indent="1"/>
      <protection locked="0"/>
    </xf>
    <xf numFmtId="49" fontId="23" fillId="43" borderId="14" xfId="0" applyFont="1" applyFill="1" applyBorder="1" applyNumberFormat="1">
      <alignment horizontal="center" vertical="center" wrapText="1"/>
    </xf>
    <xf numFmtId="49" fontId="23" fillId="0" borderId="19" xfId="0" applyFont="1" applyBorder="1" applyNumberFormat="1">
      <alignment horizontal="center" vertical="center" wrapText="1"/>
    </xf>
    <xf numFmtId="49" fontId="23" fillId="0" borderId="14" xfId="0" applyFont="1" applyBorder="1" applyNumberFormat="1">
      <alignment horizontal="center" vertical="center" wrapText="1"/>
    </xf>
    <xf numFmtId="49" fontId="80" fillId="0" borderId="14" xfId="0" applyFont="1" applyBorder="1" applyNumberFormat="1">
      <alignment horizontal="left" vertical="center" wrapText="1" indent="1"/>
    </xf>
    <xf numFmtId="0" fontId="54" fillId="0" borderId="24" xfId="0" applyFont="1" applyBorder="1" applyNumberFormat="1">
      <alignment vertical="center"/>
    </xf>
    <xf numFmtId="0" fontId="55" fillId="0" borderId="0" xfId="0" applyFont="1" applyNumberFormat="1">
      <alignment vertical="center"/>
    </xf>
    <xf numFmtId="0" fontId="23" fillId="0" borderId="0" xfId="0" applyFont="1" applyNumberFormat="1">
      <alignment vertical="center"/>
    </xf>
    <xf numFmtId="0" fontId="54" fillId="0" borderId="0" xfId="0" applyFont="1" applyNumberFormat="1">
      <alignment vertical="center"/>
    </xf>
    <xf numFmtId="0" fontId="23" fillId="43" borderId="38" xfId="0" applyFont="1" applyFill="1" applyBorder="1" applyNumberFormat="1">
      <alignment horizontal="left" vertical="center" wrapText="1" indent="2"/>
    </xf>
    <xf numFmtId="0" fontId="23" fillId="43" borderId="25" xfId="0" applyFont="1" applyFill="1" applyBorder="1" applyNumberFormat="1">
      <alignment horizontal="left" vertical="center" wrapText="1" indent="1"/>
      <protection locked="0"/>
    </xf>
    <xf numFmtId="49" fontId="48" fillId="40" borderId="15" xfId="0" applyFont="1" applyFill="1" applyBorder="1" applyNumberFormat="1">
      <alignment horizontal="left" vertical="center" indent="1"/>
    </xf>
    <xf numFmtId="0" fontId="23" fillId="43" borderId="25" xfId="0" applyFont="1" applyFill="1" applyBorder="1" applyNumberFormat="1">
      <alignment horizontal="left" vertical="center" wrapText="1" indent="2"/>
    </xf>
    <xf numFmtId="49" fontId="36" fillId="40" borderId="44" xfId="0" applyFont="1" applyFill="1" applyBorder="1" applyNumberFormat="1">
      <alignment horizontal="right" vertical="center" wrapText="1"/>
    </xf>
    <xf numFmtId="49" fontId="36" fillId="40" borderId="45" xfId="0" applyFont="1" applyFill="1" applyBorder="1" applyNumberFormat="1">
      <alignment horizontal="right" vertical="center" wrapText="1"/>
    </xf>
    <xf numFmtId="49" fontId="48" fillId="40" borderId="17" xfId="0" applyFont="1" applyFill="1" applyBorder="1" applyNumberFormat="1">
      <alignment horizontal="left" vertical="center" indent="1"/>
    </xf>
    <xf numFmtId="49" fontId="36" fillId="40" borderId="15" xfId="0" applyFont="1" applyFill="1" applyBorder="1" applyNumberFormat="1">
      <alignment horizontal="right" vertical="center" wrapText="1"/>
    </xf>
    <xf numFmtId="0" fontId="80" fillId="44" borderId="0" xfId="0" applyFont="1" applyFill="1" applyNumberFormat="1">
      <alignment vertical="top"/>
    </xf>
    <xf numFmtId="49" fontId="23" fillId="0" borderId="0" xfId="0" applyFont="1" applyNumberFormat="1">
      <alignment vertical="center" wrapText="1"/>
    </xf>
    <xf numFmtId="49" fontId="23" fillId="0" borderId="0" xfId="0" applyFont="1" applyNumberFormat="1">
      <alignment horizontal="center" vertical="center" wrapText="1"/>
    </xf>
    <xf numFmtId="49" fontId="48" fillId="40" borderId="17" xfId="0" applyFont="1" applyFill="1" applyBorder="1" applyNumberFormat="1">
      <alignment horizontal="left" vertical="center" indent="2"/>
    </xf>
    <xf numFmtId="0" fontId="0" fillId="0" borderId="0" xfId="0" applyFont="1" applyNumberFormat="1">
      <alignment vertical="center"/>
    </xf>
    <xf numFmtId="0" fontId="54" fillId="0" borderId="0" xfId="0" applyFont="1" applyNumberFormat="1">
      <alignment vertical="center"/>
    </xf>
    <xf numFmtId="0" fontId="55" fillId="0" borderId="0" xfId="0" applyFont="1" applyNumberFormat="1">
      <alignment vertical="center"/>
    </xf>
    <xf numFmtId="0" fontId="23" fillId="0" borderId="0" xfId="0" applyFont="1" applyNumberFormat="1">
      <alignment vertical="center"/>
    </xf>
    <xf numFmtId="0" fontId="55" fillId="0" borderId="0" xfId="0" applyFont="1" applyNumberFormat="1">
      <alignment vertical="center"/>
    </xf>
    <xf numFmtId="0" fontId="49" fillId="0" borderId="0" xfId="0" applyFont="1" applyNumberFormat="1">
      <alignment vertical="center"/>
    </xf>
    <xf numFmtId="0" fontId="56" fillId="0" borderId="0" xfId="0" applyFont="1" applyNumberFormat="1">
      <alignment vertical="center"/>
    </xf>
    <xf numFmtId="0" fontId="23" fillId="0" borderId="22" xfId="0" applyFont="1" applyBorder="1" applyNumberFormat="1">
      <alignment horizontal="left" vertical="top" wrapText="1" indent="1"/>
    </xf>
    <xf numFmtId="0" fontId="23" fillId="0" borderId="19" xfId="0" applyFont="1" applyBorder="1" applyNumberFormat="1">
      <alignment horizontal="left" vertical="top" wrapText="1" indent="1"/>
    </xf>
    <xf numFmtId="0" fontId="23" fillId="0" borderId="39" xfId="0" applyFont="1" applyBorder="1" applyNumberFormat="1">
      <alignment horizontal="left" vertical="top" wrapText="1" indent="1"/>
    </xf>
    <xf numFmtId="0" fontId="69" fillId="0" borderId="0" xfId="0" applyFont="1" applyNumberFormat="1">
      <alignment vertical="center" wrapText="1"/>
    </xf>
    <xf numFmtId="0" fontId="22" fillId="0" borderId="0" xfId="0" applyFont="1" applyNumberFormat="1">
      <alignment vertical="center" wrapText="1"/>
    </xf>
    <xf numFmtId="0" fontId="22" fillId="0" borderId="0" xfId="0" applyFont="1" applyNumberFormat="1">
      <alignment vertical="center" wrapText="1"/>
    </xf>
    <xf numFmtId="0" fontId="113" fillId="0" borderId="0" xfId="0" applyFont="1" applyNumberFormat="1">
      <alignment vertical="center"/>
    </xf>
    <xf numFmtId="0" fontId="23" fillId="0" borderId="29" xfId="0" applyFont="1" applyBorder="1" applyNumberFormat="1">
      <alignment horizontal="left" vertical="center" indent="1"/>
    </xf>
    <xf numFmtId="0" fontId="72" fillId="0" borderId="0" xfId="0" applyFont="1" applyNumberFormat="1">
      <alignment vertical="center"/>
    </xf>
    <xf numFmtId="0" fontId="55" fillId="0" borderId="0" xfId="0" applyFont="1" applyNumberFormat="1">
      <alignment vertical="center"/>
    </xf>
    <xf numFmtId="0" fontId="77" fillId="0" borderId="26" xfId="0" applyFont="1" applyBorder="1" applyNumberFormat="1">
      <alignment horizontal="left" vertical="center" wrapText="1" indent="1"/>
    </xf>
    <xf numFmtId="0" fontId="77" fillId="0" borderId="38" xfId="0" applyFont="1" applyBorder="1" applyNumberFormat="1">
      <alignment horizontal="left" vertical="center" wrapText="1" indent="1"/>
    </xf>
    <xf numFmtId="0" fontId="77" fillId="0" borderId="24" xfId="0" applyFont="1" applyBorder="1" applyNumberFormat="1">
      <alignment horizontal="left" vertical="center" wrapText="1" indent="1"/>
    </xf>
    <xf numFmtId="0" fontId="72" fillId="0" borderId="0" xfId="0" applyFont="1" applyNumberFormat="1">
      <alignment vertical="center"/>
    </xf>
    <xf numFmtId="0" fontId="23" fillId="0" borderId="0" xfId="0" applyFont="1" applyNumberFormat="1">
      <alignment vertical="center"/>
    </xf>
    <xf numFmtId="0" fontId="37" fillId="0" borderId="0" xfId="0" applyFont="1" applyNumberFormat="1">
      <alignment vertical="center"/>
    </xf>
    <xf numFmtId="0" fontId="49" fillId="0" borderId="0" xfId="0" applyFont="1" applyNumberFormat="1">
      <alignment vertical="center"/>
    </xf>
    <xf numFmtId="0" fontId="0" fillId="0" borderId="14" xfId="0" applyFont="1" applyBorder="1" applyNumberFormat="1">
      <alignment horizontal="center" vertical="center" wrapText="1"/>
    </xf>
    <xf numFmtId="0" fontId="23" fillId="0" borderId="14" xfId="0" applyFont="1" applyBorder="1" applyNumberFormat="1">
      <alignment horizontal="center" vertical="center" wrapText="1"/>
    </xf>
    <xf numFmtId="0" fontId="23" fillId="0" borderId="14" xfId="0" applyFont="1" applyBorder="1" applyNumberFormat="1">
      <alignment horizontal="center" vertical="center" wrapText="1"/>
    </xf>
    <xf numFmtId="0" fontId="23" fillId="0" borderId="14" xfId="0" applyFont="1" applyBorder="1" applyNumberFormat="1">
      <alignment horizontal="center" vertical="center" wrapText="1"/>
    </xf>
    <xf numFmtId="0" fontId="23" fillId="0" borderId="0" xfId="0" applyFont="1" applyNumberFormat="1">
      <alignment vertical="center"/>
    </xf>
    <xf numFmtId="0" fontId="55" fillId="0" borderId="0" xfId="0" applyFont="1" applyNumberFormat="1">
      <alignment vertical="center"/>
    </xf>
    <xf numFmtId="49" fontId="55" fillId="37" borderId="0" xfId="0" applyFont="1" applyFill="1" applyNumberFormat="1">
      <alignment horizontal="center" vertical="center" wrapText="1"/>
    </xf>
    <xf numFmtId="49" fontId="55" fillId="37" borderId="29" xfId="0" applyFont="1" applyFill="1" applyBorder="1" applyNumberFormat="1">
      <alignment horizontal="center" vertical="center" wrapText="1"/>
    </xf>
    <xf numFmtId="0" fontId="45" fillId="0" borderId="0" xfId="0" applyFont="1" applyNumberFormat="1">
      <alignment horizontal="center" vertical="center" wrapText="1"/>
    </xf>
    <xf numFmtId="0" fontId="55" fillId="0" borderId="14" xfId="0" applyFont="1" applyBorder="1" applyNumberFormat="1">
      <alignment horizontal="center" vertical="center"/>
    </xf>
    <xf numFmtId="0" fontId="23" fillId="0" borderId="14" xfId="0" applyFont="1" applyBorder="1" applyNumberFormat="1">
      <alignment horizontal="center" vertical="center" wrapText="1"/>
    </xf>
    <xf numFmtId="0" fontId="0" fillId="0" borderId="14" xfId="0" applyFont="1" applyBorder="1" applyNumberFormat="1">
      <alignment horizontal="center" vertical="center"/>
    </xf>
    <xf numFmtId="49" fontId="23" fillId="0" borderId="14" xfId="0" applyFont="1" applyBorder="1" applyNumberFormat="1">
      <alignment horizontal="center" vertical="center" wrapText="1"/>
    </xf>
    <xf numFmtId="49" fontId="23" fillId="0" borderId="14" xfId="0" applyFont="1" applyBorder="1" applyNumberFormat="1">
      <alignment horizontal="center" vertical="center" wrapText="1"/>
    </xf>
    <xf numFmtId="49" fontId="0" fillId="0" borderId="14" xfId="0" applyFont="1" applyBorder="1" applyNumberFormat="1">
      <alignment horizontal="center" vertical="center"/>
    </xf>
    <xf numFmtId="49" fontId="0" fillId="0" borderId="14" xfId="0" applyFont="1" applyBorder="1" applyNumberFormat="1">
      <alignment horizontal="left" vertical="center"/>
    </xf>
    <xf numFmtId="49" fontId="23" fillId="0" borderId="14" xfId="0" applyFont="1" applyBorder="1" applyNumberFormat="1">
      <alignment horizontal="center" vertical="center" wrapText="1"/>
    </xf>
    <xf numFmtId="49" fontId="23" fillId="0" borderId="14" xfId="0" applyFont="1" applyBorder="1" applyNumberFormat="1">
      <alignment horizontal="center" vertical="center" wrapText="1"/>
    </xf>
    <xf numFmtId="49" fontId="0" fillId="0" borderId="14" xfId="0" applyFont="1" applyBorder="1" applyNumberFormat="1">
      <alignment horizontal="left" vertical="center"/>
    </xf>
    <xf numFmtId="0" fontId="0" fillId="0" borderId="0" xfId="0" applyFont="1" applyNumberFormat="1">
      <alignment vertical="center"/>
    </xf>
    <xf numFmtId="0" fontId="0" fillId="0" borderId="0" xfId="0" applyFont="1" applyNumberFormat="1">
      <alignment vertical="center"/>
    </xf>
    <xf numFmtId="49" fontId="0" fillId="0" borderId="0" xfId="0" applyFont="1" applyNumberFormat="1">
      <alignment vertical="center"/>
    </xf>
    <xf numFmtId="0" fontId="0" fillId="0" borderId="14" xfId="0" applyFont="1" applyBorder="1" applyNumberFormat="1">
      <alignment horizontal="center" vertical="top"/>
    </xf>
    <xf numFmtId="0" fontId="23" fillId="0" borderId="14" xfId="0" applyFont="1" applyBorder="1" applyNumberFormat="1">
      <alignment horizontal="left" vertical="top" wrapText="1"/>
    </xf>
    <xf numFmtId="0" fontId="23" fillId="43" borderId="19" xfId="0" applyFont="1" applyFill="1" applyBorder="1" applyNumberFormat="1">
      <alignment horizontal="center" vertical="top" wrapText="1"/>
    </xf>
    <xf numFmtId="0" fontId="0" fillId="0" borderId="39" xfId="0" applyFont="1" applyBorder="1" applyNumberFormat="1">
      <alignment horizontal="center" vertical="center"/>
    </xf>
    <xf numFmtId="0" fontId="0" fillId="0" borderId="21" xfId="0" applyFont="1" applyBorder="1" applyNumberFormat="1">
      <alignment horizontal="center" vertical="center"/>
    </xf>
    <xf numFmtId="49" fontId="23" fillId="0" borderId="21" xfId="0" applyFont="1" applyBorder="1" applyNumberFormat="1">
      <alignment horizontal="left" vertical="center" wrapText="1"/>
    </xf>
    <xf numFmtId="49" fontId="23" fillId="0" borderId="21" xfId="0" applyFont="1" applyBorder="1" applyNumberFormat="1">
      <alignment horizontal="center" vertical="center" wrapText="1"/>
    </xf>
    <xf numFmtId="0" fontId="0" fillId="0" borderId="21" xfId="0" applyFont="1" applyBorder="1" applyNumberFormat="1">
      <alignment horizontal="left" vertical="center" wrapText="1"/>
    </xf>
    <xf numFmtId="49" fontId="0" fillId="0" borderId="21" xfId="0" applyFont="1" applyBorder="1" applyNumberFormat="1">
      <alignment horizontal="left" vertical="center" wrapText="1"/>
    </xf>
    <xf numFmtId="49" fontId="23" fillId="0" borderId="21" xfId="0" applyFont="1" applyBorder="1" applyNumberFormat="1">
      <alignment horizontal="center" vertical="center" wrapText="1"/>
    </xf>
    <xf numFmtId="49" fontId="0" fillId="0" borderId="21" xfId="0" applyFont="1" applyBorder="1" applyNumberFormat="1">
      <alignment horizontal="left" vertical="center" wrapText="1"/>
    </xf>
    <xf numFmtId="49" fontId="23" fillId="0" borderId="22" xfId="0" applyFont="1" applyBorder="1" applyNumberFormat="1">
      <alignment horizontal="left" vertical="center" wrapText="1"/>
    </xf>
    <xf numFmtId="0" fontId="23" fillId="0" borderId="0" xfId="0" applyFont="1" applyNumberFormat="1">
      <alignment horizontal="left" vertical="center" indent="1"/>
    </xf>
    <xf numFmtId="0" fontId="0" fillId="0" borderId="0" xfId="0" applyFont="1" applyNumberFormat="1">
      <alignment vertical="center"/>
    </xf>
    <xf numFmtId="0" fontId="23" fillId="43" borderId="38" xfId="0" applyFont="1" applyFill="1" applyBorder="1" applyNumberFormat="1">
      <alignment horizontal="center" vertical="top" wrapText="1"/>
    </xf>
    <xf numFmtId="0" fontId="0" fillId="0" borderId="24" xfId="0" applyFont="1" applyBorder="1" applyNumberFormat="1">
      <alignment horizontal="center" vertical="center"/>
    </xf>
    <xf numFmtId="0" fontId="0" fillId="0" borderId="0" xfId="0" applyFont="1" applyNumberFormat="1">
      <alignment horizontal="center" vertical="center"/>
    </xf>
    <xf numFmtId="49" fontId="23" fillId="0" borderId="0" xfId="0" applyFont="1" applyNumberFormat="1">
      <alignment horizontal="left" vertical="center" wrapText="1"/>
    </xf>
    <xf numFmtId="49" fontId="23" fillId="0" borderId="0" xfId="0" applyFont="1" applyNumberFormat="1">
      <alignment horizontal="center" vertical="center" wrapText="1"/>
    </xf>
    <xf numFmtId="0" fontId="0" fillId="0" borderId="0" xfId="0" applyFont="1" applyNumberFormat="1">
      <alignment horizontal="left" vertical="center" wrapText="1"/>
    </xf>
    <xf numFmtId="49" fontId="0" fillId="0" borderId="0" xfId="0" applyFont="1" applyNumberFormat="1">
      <alignment horizontal="left" vertical="center" wrapText="1"/>
    </xf>
    <xf numFmtId="0" fontId="48" fillId="0" borderId="0" xfId="0" applyFont="1" applyNumberFormat="1">
      <alignment horizontal="left" vertical="center"/>
    </xf>
    <xf numFmtId="0" fontId="48" fillId="0" borderId="26" xfId="0" applyFont="1" applyBorder="1" applyNumberFormat="1">
      <alignment horizontal="left" vertical="center"/>
    </xf>
    <xf numFmtId="0" fontId="0" fillId="0" borderId="0" xfId="0" applyFont="1" applyNumberFormat="1">
      <alignment vertical="center"/>
    </xf>
    <xf numFmtId="49" fontId="0" fillId="0" borderId="0" xfId="0" applyFont="1" applyNumberFormat="1">
      <alignment horizontal="left" vertical="top"/>
    </xf>
    <xf numFmtId="49" fontId="23" fillId="0" borderId="0" xfId="0" applyFont="1" applyNumberFormat="1">
      <alignment horizontal="center" vertical="center" wrapText="1"/>
    </xf>
    <xf numFmtId="0" fontId="0" fillId="0" borderId="0" xfId="0" applyFont="1" applyNumberFormat="1">
      <alignment vertical="center"/>
    </xf>
    <xf numFmtId="49" fontId="0" fillId="0" borderId="14" xfId="0" applyFont="1" applyBorder="1" applyNumberFormat="1">
      <alignment vertical="top"/>
    </xf>
    <xf numFmtId="49" fontId="0" fillId="0" borderId="14" xfId="0" applyFont="1" applyBorder="1" applyNumberFormat="1">
      <alignment horizontal="left" vertical="top"/>
    </xf>
    <xf numFmtId="0" fontId="23" fillId="43" borderId="25" xfId="0" applyFont="1" applyFill="1" applyBorder="1" applyNumberFormat="1">
      <alignment horizontal="center" vertical="top" wrapText="1"/>
    </xf>
    <xf numFmtId="0" fontId="48" fillId="0" borderId="32" xfId="0" applyFont="1" applyBorder="1" applyNumberFormat="1">
      <alignment horizontal="left" vertical="center"/>
    </xf>
    <xf numFmtId="0" fontId="48" fillId="0" borderId="29" xfId="0" applyFont="1" applyBorder="1" applyNumberFormat="1">
      <alignment horizontal="left" vertical="center"/>
    </xf>
    <xf numFmtId="0" fontId="0" fillId="0" borderId="29" xfId="0" applyFont="1" applyBorder="1" applyNumberFormat="1">
      <alignment vertical="center"/>
    </xf>
    <xf numFmtId="0" fontId="48" fillId="0" borderId="31" xfId="0" applyFont="1" applyBorder="1" applyNumberFormat="1">
      <alignment horizontal="left" vertical="center"/>
    </xf>
    <xf numFmtId="0" fontId="0" fillId="0" borderId="0" xfId="0" applyFont="1" applyNumberFormat="1">
      <alignment vertical="center"/>
    </xf>
    <xf numFmtId="49" fontId="23" fillId="0" borderId="0" xfId="0" applyFont="1" applyNumberFormat="1">
      <alignment horizontal="left" vertical="center" indent="1"/>
    </xf>
    <xf numFmtId="0" fontId="0" fillId="0" borderId="0" xfId="0" applyFont="1" applyNumberFormat="1">
      <alignment vertical="center"/>
    </xf>
    <xf numFmtId="0" fontId="0" fillId="0" borderId="0" xfId="0" applyFont="1" applyNumberFormat="1">
      <alignment vertical="center"/>
    </xf>
    <xf numFmtId="0" fontId="0" fillId="0" borderId="19" xfId="0" applyFont="1" applyBorder="1" applyNumberFormat="1">
      <alignment horizontal="center" vertical="top"/>
    </xf>
    <xf numFmtId="0" fontId="23" fillId="0" borderId="19" xfId="0" applyFont="1" applyBorder="1" applyNumberFormat="1">
      <alignment horizontal="left" vertical="top" wrapText="1"/>
    </xf>
    <xf numFmtId="0" fontId="0" fillId="0" borderId="38" xfId="0" applyFont="1" applyBorder="1" applyNumberFormat="1">
      <alignment horizontal="center" vertical="top"/>
    </xf>
    <xf numFmtId="0" fontId="23" fillId="0" borderId="38" xfId="0" applyFont="1" applyBorder="1" applyNumberFormat="1">
      <alignment horizontal="left" vertical="top" wrapText="1"/>
    </xf>
    <xf numFmtId="0" fontId="0" fillId="0" borderId="25" xfId="0" applyFont="1" applyBorder="1" applyNumberFormat="1">
      <alignment horizontal="center" vertical="top"/>
    </xf>
    <xf numFmtId="0" fontId="23" fillId="0" borderId="25" xfId="0" applyFont="1" applyBorder="1" applyNumberFormat="1">
      <alignment horizontal="left" vertical="top" wrapText="1"/>
    </xf>
    <xf numFmtId="49" fontId="23" fillId="0" borderId="21" xfId="0" applyFont="1" applyBorder="1" applyNumberFormat="1">
      <alignment horizontal="center" vertical="center" wrapText="1"/>
    </xf>
    <xf numFmtId="49" fontId="0" fillId="0" borderId="21" xfId="0" applyFont="1" applyBorder="1" applyNumberFormat="1">
      <alignment horizontal="left" vertical="center" wrapText="1"/>
    </xf>
    <xf numFmtId="49" fontId="23" fillId="0" borderId="0" xfId="0" applyFont="1" applyNumberFormat="1">
      <alignment horizontal="center" vertical="center" wrapText="1"/>
    </xf>
    <xf numFmtId="0" fontId="0" fillId="0" borderId="0" xfId="0" applyFont="1" applyNumberFormat="1">
      <alignment vertical="center"/>
    </xf>
    <xf numFmtId="49" fontId="23" fillId="0" borderId="21" xfId="0" applyFont="1" applyBorder="1" applyNumberFormat="1">
      <alignment horizontal="center" vertical="center" wrapText="1"/>
    </xf>
    <xf numFmtId="49" fontId="0" fillId="0" borderId="21" xfId="0" applyFont="1" applyBorder="1" applyNumberFormat="1">
      <alignment horizontal="left" vertical="center" wrapText="1"/>
    </xf>
    <xf numFmtId="0" fontId="48" fillId="0" borderId="0" xfId="0" applyFont="1" applyNumberFormat="1">
      <alignment horizontal="left" vertical="center"/>
    </xf>
    <xf numFmtId="0" fontId="48" fillId="0" borderId="26" xfId="0" applyFont="1" applyBorder="1" applyNumberFormat="1">
      <alignment horizontal="left" vertical="center"/>
    </xf>
    <xf numFmtId="49" fontId="23" fillId="0" borderId="0" xfId="0" applyFont="1" applyNumberFormat="1">
      <alignment horizontal="center" vertical="center" wrapText="1"/>
    </xf>
    <xf numFmtId="0" fontId="48" fillId="0" borderId="29" xfId="0" applyFont="1" applyBorder="1" applyNumberFormat="1">
      <alignment horizontal="left" vertical="center"/>
    </xf>
    <xf numFmtId="0" fontId="48" fillId="0" borderId="31" xfId="0" applyFont="1" applyBorder="1" applyNumberFormat="1">
      <alignment horizontal="left" vertical="center"/>
    </xf>
    <xf numFmtId="0" fontId="0" fillId="0" borderId="0" xfId="0" applyFont="1" applyNumberFormat="1">
      <alignment horizontal="left" vertical="top" wrapText="1"/>
    </xf>
    <xf numFmtId="0" fontId="0" fillId="0" borderId="0" xfId="0" applyFont="1" applyNumberFormat="1" quotePrefix="1">
      <alignment horizontal="left" vertical="top" wrapText="1" indent="1"/>
    </xf>
    <xf numFmtId="0" fontId="0" fillId="0" borderId="0" xfId="0" applyFont="1" applyNumberFormat="1">
      <alignment horizontal="left" vertical="top" wrapText="1" indent="1"/>
    </xf>
    <xf numFmtId="0" fontId="0" fillId="0" borderId="0" xfId="0" applyFont="1" applyNumberFormat="1">
      <alignment horizontal="left" vertical="top" wrapText="1"/>
    </xf>
    <xf numFmtId="0" fontId="0" fillId="0" borderId="0" xfId="0" applyFont="1" applyNumberFormat="1">
      <alignment horizontal="left" vertical="top" wrapText="1"/>
    </xf>
    <xf numFmtId="0" fontId="0" fillId="0" borderId="0" xfId="0" applyFont="1" applyNumberFormat="1">
      <alignment vertical="top" wrapText="1"/>
    </xf>
    <xf numFmtId="0" fontId="0" fillId="0" borderId="0" xfId="0" applyFont="1" applyNumberFormat="1">
      <alignment vertical="center"/>
    </xf>
    <xf numFmtId="0" fontId="55" fillId="0" borderId="0" xfId="0" applyFont="1" applyNumberFormat="1">
      <alignment vertical="center"/>
    </xf>
    <xf numFmtId="0" fontId="0" fillId="0" borderId="0" xfId="0" applyFont="1" applyNumberFormat="1">
      <alignment vertical="center"/>
    </xf>
    <xf numFmtId="49" fontId="23" fillId="0" borderId="21" xfId="0" applyFont="1" applyBorder="1" applyNumberFormat="1">
      <alignment horizontal="center" vertical="center" wrapText="1"/>
    </xf>
    <xf numFmtId="49" fontId="0" fillId="0" borderId="21" xfId="0" applyFont="1" applyBorder="1" applyNumberFormat="1">
      <alignment horizontal="left" vertical="center" wrapText="1"/>
    </xf>
    <xf numFmtId="49" fontId="23" fillId="0" borderId="0" xfId="0" applyFont="1" applyNumberFormat="1">
      <alignment horizontal="center" vertical="center" wrapText="1"/>
    </xf>
    <xf numFmtId="49" fontId="23" fillId="0" borderId="21" xfId="0" applyFont="1" applyBorder="1" applyNumberFormat="1">
      <alignment horizontal="center" vertical="center" wrapText="1"/>
    </xf>
    <xf numFmtId="49" fontId="0" fillId="0" borderId="21" xfId="0" applyFont="1" applyBorder="1" applyNumberFormat="1">
      <alignment horizontal="left" vertical="center" wrapText="1"/>
    </xf>
    <xf numFmtId="0" fontId="48" fillId="0" borderId="0" xfId="0" applyFont="1" applyNumberFormat="1">
      <alignment horizontal="left" vertical="center"/>
    </xf>
    <xf numFmtId="0" fontId="48" fillId="0" borderId="26" xfId="0" applyFont="1" applyBorder="1" applyNumberFormat="1">
      <alignment horizontal="left" vertical="center"/>
    </xf>
    <xf numFmtId="49" fontId="23" fillId="0" borderId="0" xfId="0" applyFont="1" applyNumberFormat="1">
      <alignment horizontal="center" vertical="center" wrapText="1"/>
    </xf>
    <xf numFmtId="0" fontId="48" fillId="0" borderId="29" xfId="0" applyFont="1" applyBorder="1" applyNumberFormat="1">
      <alignment horizontal="left" vertical="center"/>
    </xf>
    <xf numFmtId="0" fontId="48" fillId="0" borderId="31" xfId="0" applyFont="1" applyBorder="1" applyNumberFormat="1">
      <alignment horizontal="left" vertical="center"/>
    </xf>
    <xf numFmtId="0" fontId="23" fillId="43" borderId="14" xfId="0" applyFont="1" applyFill="1" applyBorder="1" applyNumberFormat="1">
      <alignment horizontal="left" vertical="top" wrapText="1"/>
    </xf>
    <xf numFmtId="0" fontId="0" fillId="0" borderId="14" xfId="0" applyFont="1" applyBorder="1" applyNumberFormat="1">
      <alignment horizontal="center" vertical="center"/>
    </xf>
    <xf numFmtId="49" fontId="23" fillId="39" borderId="14" xfId="0" applyFont="1" applyFill="1" applyBorder="1" applyNumberFormat="1">
      <alignment horizontal="left" vertical="center" wrapText="1"/>
      <protection locked="0"/>
    </xf>
    <xf numFmtId="49" fontId="23" fillId="43" borderId="19" xfId="0" applyFont="1" applyFill="1" applyBorder="1" applyNumberFormat="1">
      <alignment horizontal="center" vertical="center" wrapText="1"/>
    </xf>
    <xf numFmtId="49" fontId="23" fillId="0" borderId="14" xfId="0" applyFont="1" applyBorder="1" applyNumberFormat="1">
      <alignment horizontal="center" vertical="center" wrapText="1"/>
    </xf>
    <xf numFmtId="0" fontId="0" fillId="37" borderId="14" xfId="0" applyFont="1" applyFill="1" applyBorder="1" applyNumberFormat="1">
      <alignment horizontal="left" vertical="center" wrapText="1"/>
    </xf>
    <xf numFmtId="49" fontId="0" fillId="37" borderId="14" xfId="0" applyFont="1" applyFill="1" applyBorder="1" applyNumberFormat="1">
      <alignment horizontal="left" vertical="center" wrapText="1"/>
    </xf>
    <xf numFmtId="49" fontId="55" fillId="0" borderId="14" xfId="0" applyFont="1" applyBorder="1" applyNumberFormat="1">
      <alignment horizontal="center" vertical="center" wrapText="1"/>
    </xf>
    <xf numFmtId="49" fontId="55" fillId="0" borderId="16" xfId="0" applyFont="1" applyBorder="1" applyNumberFormat="1">
      <alignment horizontal="left" vertical="center" wrapText="1"/>
    </xf>
    <xf numFmtId="49" fontId="23" fillId="43" borderId="38" xfId="0" applyFont="1" applyFill="1" applyBorder="1" applyNumberFormat="1">
      <alignment horizontal="center" vertical="center" wrapText="1"/>
    </xf>
    <xf numFmtId="0" fontId="55" fillId="0" borderId="16" xfId="0" applyFont="1" applyBorder="1" applyNumberFormat="1">
      <alignment horizontal="left" vertical="center"/>
    </xf>
    <xf numFmtId="0" fontId="55" fillId="0" borderId="17" xfId="0" applyFont="1" applyBorder="1" applyNumberFormat="1">
      <alignment horizontal="left" vertical="center"/>
    </xf>
    <xf numFmtId="49" fontId="0" fillId="0" borderId="14" xfId="0" applyFont="1" applyBorder="1" applyNumberFormat="1">
      <alignment vertical="top"/>
    </xf>
    <xf numFmtId="49" fontId="0" fillId="39" borderId="14" xfId="0" applyFont="1" applyFill="1" applyBorder="1" applyNumberFormat="1">
      <alignment horizontal="left" vertical="top"/>
      <protection locked="0"/>
    </xf>
    <xf numFmtId="49" fontId="23" fillId="43" borderId="25" xfId="0" applyFont="1" applyFill="1" applyBorder="1" applyNumberFormat="1">
      <alignment horizontal="center" vertical="center" wrapText="1"/>
    </xf>
    <xf numFmtId="0" fontId="48" fillId="40" borderId="16" xfId="0" applyFont="1" applyFill="1" applyBorder="1" applyNumberFormat="1">
      <alignment horizontal="left" vertical="center"/>
    </xf>
    <xf numFmtId="0" fontId="48" fillId="40" borderId="17" xfId="0" applyFont="1" applyFill="1" applyBorder="1" applyNumberFormat="1">
      <alignment horizontal="left" vertical="center"/>
    </xf>
    <xf numFmtId="0" fontId="48" fillId="40" borderId="17" xfId="0" applyFont="1" applyFill="1" applyBorder="1" applyNumberFormat="1">
      <alignment horizontal="left" vertical="center"/>
    </xf>
    <xf numFmtId="0" fontId="0" fillId="40" borderId="17" xfId="0" applyFont="1" applyFill="1" applyBorder="1" applyNumberFormat="1">
      <alignment vertical="center"/>
    </xf>
    <xf numFmtId="0" fontId="0" fillId="40" borderId="17" xfId="0" applyFont="1" applyFill="1" applyBorder="1" applyNumberFormat="1">
      <alignment vertical="center"/>
    </xf>
    <xf numFmtId="0" fontId="0" fillId="40" borderId="17" xfId="0" applyFont="1" applyFill="1" applyBorder="1" applyNumberFormat="1">
      <alignment vertical="center"/>
    </xf>
    <xf numFmtId="0" fontId="0" fillId="40" borderId="17" xfId="0" applyFont="1" applyFill="1" applyBorder="1" applyNumberFormat="1">
      <alignment vertical="center"/>
    </xf>
    <xf numFmtId="0" fontId="48" fillId="40" borderId="31" xfId="0" applyFont="1" applyFill="1" applyBorder="1" applyNumberFormat="1">
      <alignment horizontal="left" vertical="center"/>
    </xf>
    <xf numFmtId="0" fontId="48" fillId="40" borderId="16" xfId="0" applyFont="1" applyFill="1" applyBorder="1" applyNumberFormat="1">
      <alignment horizontal="left" vertical="center"/>
    </xf>
    <xf numFmtId="0" fontId="48" fillId="40" borderId="17" xfId="0" applyFont="1" applyFill="1" applyBorder="1" applyNumberFormat="1">
      <alignment horizontal="left" vertical="center"/>
    </xf>
    <xf numFmtId="0" fontId="48" fillId="40" borderId="17" xfId="0" applyFont="1" applyFill="1" applyBorder="1" applyNumberFormat="1">
      <alignment horizontal="left" vertical="center"/>
    </xf>
    <xf numFmtId="0" fontId="48" fillId="40" borderId="17" xfId="0" applyFont="1" applyFill="1" applyBorder="1" applyNumberFormat="1">
      <alignment horizontal="left" vertical="center"/>
    </xf>
    <xf numFmtId="0" fontId="48" fillId="40" borderId="17" xfId="0" applyFont="1" applyFill="1" applyBorder="1" applyNumberFormat="1">
      <alignment horizontal="left" vertical="center"/>
    </xf>
    <xf numFmtId="0" fontId="48" fillId="40" borderId="17" xfId="0" applyFont="1" applyFill="1" applyBorder="1" applyNumberFormat="1">
      <alignment horizontal="left" vertical="center"/>
    </xf>
    <xf numFmtId="0" fontId="48" fillId="40" borderId="17" xfId="0" applyFont="1" applyFill="1" applyBorder="1" applyNumberFormat="1">
      <alignment horizontal="left" vertical="center"/>
    </xf>
    <xf numFmtId="0" fontId="0" fillId="40" borderId="17" xfId="0" applyFont="1" applyFill="1" applyBorder="1" applyNumberFormat="1">
      <alignment vertical="center"/>
    </xf>
    <xf numFmtId="0" fontId="0" fillId="40" borderId="17" xfId="0" applyFont="1" applyFill="1" applyBorder="1" applyNumberFormat="1">
      <alignment vertical="center"/>
    </xf>
    <xf numFmtId="0" fontId="0" fillId="40" borderId="17" xfId="0" applyFont="1" applyFill="1" applyBorder="1" applyNumberFormat="1">
      <alignment vertical="center"/>
    </xf>
    <xf numFmtId="0" fontId="0" fillId="40" borderId="17" xfId="0" applyFont="1" applyFill="1" applyBorder="1" applyNumberFormat="1">
      <alignment vertical="center"/>
    </xf>
    <xf numFmtId="0" fontId="48" fillId="40" borderId="15" xfId="0" applyFont="1" applyFill="1" applyBorder="1" applyNumberFormat="1">
      <alignment horizontal="left" vertical="center"/>
    </xf>
    <xf numFmtId="49" fontId="0" fillId="43" borderId="14" xfId="0" applyFont="1" applyFill="1" applyBorder="1" applyNumberFormat="1">
      <alignment horizontal="left" vertical="top"/>
    </xf>
    <xf numFmtId="0" fontId="48" fillId="40" borderId="16" xfId="0" applyFont="1" applyFill="1" applyBorder="1" applyNumberFormat="1">
      <alignment horizontal="left" vertical="center"/>
    </xf>
    <xf numFmtId="0" fontId="48" fillId="40" borderId="17" xfId="0" applyFont="1" applyFill="1" applyBorder="1" applyNumberFormat="1">
      <alignment horizontal="left" vertical="center"/>
    </xf>
    <xf numFmtId="0" fontId="48" fillId="40" borderId="17" xfId="0" applyFont="1" applyFill="1" applyBorder="1" applyNumberFormat="1">
      <alignment horizontal="left" vertical="center"/>
    </xf>
    <xf numFmtId="0" fontId="48" fillId="40" borderId="17" xfId="0" applyFont="1" applyFill="1" applyBorder="1" applyNumberFormat="1">
      <alignment horizontal="left" vertical="center"/>
    </xf>
    <xf numFmtId="0" fontId="48" fillId="40" borderId="17" xfId="0" applyFont="1" applyFill="1" applyBorder="1" applyNumberFormat="1">
      <alignment horizontal="left" vertical="center"/>
    </xf>
    <xf numFmtId="0" fontId="48" fillId="40" borderId="17" xfId="0" applyFont="1" applyFill="1" applyBorder="1" applyNumberFormat="1">
      <alignment horizontal="left" vertical="center"/>
    </xf>
    <xf numFmtId="0" fontId="48" fillId="40" borderId="17" xfId="0" applyFont="1" applyFill="1" applyBorder="1" applyNumberFormat="1">
      <alignment horizontal="left" vertical="center"/>
    </xf>
    <xf numFmtId="0" fontId="48" fillId="40" borderId="17" xfId="0" applyFont="1" applyFill="1" applyBorder="1" applyNumberFormat="1">
      <alignment horizontal="left" vertical="center"/>
    </xf>
    <xf numFmtId="0" fontId="48" fillId="40" borderId="17" xfId="0" applyFont="1" applyFill="1" applyBorder="1" applyNumberFormat="1">
      <alignment horizontal="left" vertical="center"/>
    </xf>
    <xf numFmtId="0" fontId="48" fillId="40" borderId="17" xfId="0" applyFont="1" applyFill="1" applyBorder="1" applyNumberFormat="1">
      <alignment horizontal="left" vertical="center"/>
    </xf>
    <xf numFmtId="0" fontId="48" fillId="40" borderId="17" xfId="0" applyFont="1" applyFill="1" applyBorder="1" applyNumberFormat="1">
      <alignment horizontal="left" vertical="center"/>
    </xf>
    <xf numFmtId="0" fontId="0" fillId="40" borderId="17" xfId="0" applyFont="1" applyFill="1" applyBorder="1" applyNumberFormat="1">
      <alignment vertical="center"/>
    </xf>
    <xf numFmtId="0" fontId="0" fillId="40" borderId="17" xfId="0" applyFont="1" applyFill="1" applyBorder="1" applyNumberFormat="1">
      <alignment vertical="center"/>
    </xf>
    <xf numFmtId="0" fontId="0" fillId="40" borderId="17" xfId="0" applyFont="1" applyFill="1" applyBorder="1" applyNumberFormat="1">
      <alignment vertical="center"/>
    </xf>
    <xf numFmtId="0" fontId="0" fillId="40" borderId="17" xfId="0" applyFont="1" applyFill="1" applyBorder="1" applyNumberFormat="1">
      <alignment vertical="center"/>
    </xf>
    <xf numFmtId="0" fontId="48" fillId="40" borderId="15" xfId="0" applyFont="1" applyFill="1" applyBorder="1" applyNumberFormat="1">
      <alignment horizontal="left" vertical="center"/>
    </xf>
    <xf numFmtId="0" fontId="0" fillId="0" borderId="0" xfId="0" applyFont="1" applyNumberFormat="1">
      <alignment vertical="center"/>
    </xf>
    <xf numFmtId="0" fontId="55" fillId="0" borderId="0" xfId="0" applyFont="1" applyNumberFormat="1">
      <alignment vertical="center"/>
    </xf>
    <xf numFmtId="0" fontId="0" fillId="0" borderId="0" xfId="0" applyFont="1" applyNumberFormat="1">
      <alignment vertical="center"/>
    </xf>
    <xf numFmtId="0" fontId="0" fillId="0" borderId="0" xfId="0" applyFont="1" applyNumberFormat="1">
      <alignment vertical="center"/>
    </xf>
    <xf numFmtId="0" fontId="23" fillId="0" borderId="0" xfId="0" applyFont="1" applyNumberFormat="1">
      <alignment vertical="center"/>
    </xf>
    <xf numFmtId="49" fontId="55" fillId="0" borderId="0" xfId="0" applyFont="1" applyNumberFormat="1">
      <alignment vertical="top"/>
    </xf>
    <xf numFmtId="49" fontId="55" fillId="0" borderId="0" xfId="0" applyFont="1" applyNumberFormat="1">
      <alignment horizontal="center" vertical="center"/>
    </xf>
    <xf numFmtId="49" fontId="55" fillId="0" borderId="0" xfId="0" applyFont="1" applyNumberFormat="1">
      <alignment horizontal="center" vertical="center"/>
    </xf>
    <xf numFmtId="49" fontId="54" fillId="0" borderId="0" xfId="0" applyFont="1" applyNumberFormat="1">
      <alignment horizontal="center" vertical="center"/>
    </xf>
    <xf numFmtId="49" fontId="72" fillId="0" borderId="0" xfId="0" applyFont="1" applyNumberFormat="1">
      <alignment vertical="top"/>
    </xf>
    <xf numFmtId="49" fontId="0" fillId="0" borderId="0" xfId="0" applyFont="1" applyNumberFormat="1">
      <alignment vertical="top"/>
    </xf>
    <xf numFmtId="49" fontId="40" fillId="0" borderId="0" xfId="0" applyFont="1" applyNumberFormat="1">
      <alignment vertical="top"/>
    </xf>
    <xf numFmtId="0" fontId="40" fillId="0" borderId="0" xfId="0" applyFont="1" applyNumberFormat="1">
      <alignment vertical="center" wrapText="1"/>
    </xf>
    <xf numFmtId="0" fontId="23" fillId="0" borderId="0" xfId="0" applyFont="1" applyNumberFormat="1">
      <alignment vertical="center" wrapText="1"/>
    </xf>
    <xf numFmtId="0" fontId="45" fillId="0" borderId="0" xfId="0" applyFont="1" applyNumberFormat="1">
      <alignment horizontal="center" vertical="center" wrapText="1"/>
    </xf>
    <xf numFmtId="0" fontId="23" fillId="0" borderId="21" xfId="0" applyFont="1" applyBorder="1" applyNumberFormat="1">
      <alignment horizontal="left" vertical="center" wrapText="1" indent="1"/>
    </xf>
    <xf numFmtId="0" fontId="22" fillId="0" borderId="0" xfId="0" applyFont="1" applyNumberFormat="1">
      <alignment horizontal="left" vertical="center" wrapText="1" indent="1"/>
    </xf>
    <xf numFmtId="0" fontId="50" fillId="0" borderId="0" xfId="0" applyFont="1" applyNumberFormat="1">
      <alignment vertical="center"/>
    </xf>
    <xf numFmtId="0" fontId="118" fillId="0" borderId="0" xfId="0" applyFont="1" applyNumberFormat="1">
      <alignment vertical="center" wrapText="1"/>
    </xf>
    <xf numFmtId="0" fontId="119" fillId="0" borderId="0" xfId="0" applyFont="1" applyNumberFormat="1">
      <alignment vertical="center" wrapText="1"/>
    </xf>
    <xf numFmtId="0" fontId="50" fillId="0" borderId="0" xfId="0" applyFont="1" applyNumberFormat="1">
      <alignment vertical="center" wrapText="1"/>
    </xf>
    <xf numFmtId="0" fontId="40" fillId="0" borderId="0" xfId="0" applyFont="1" applyNumberFormat="1">
      <alignment vertical="center" wrapText="1"/>
    </xf>
    <xf numFmtId="0" fontId="23" fillId="0" borderId="0" xfId="0" applyFont="1" applyNumberFormat="1">
      <alignment vertical="center" wrapText="1"/>
    </xf>
    <xf numFmtId="0" fontId="23" fillId="0" borderId="29" xfId="0" applyFont="1" applyBorder="1" applyNumberFormat="1">
      <alignment horizontal="left" vertical="center" wrapText="1" indent="1"/>
    </xf>
    <xf numFmtId="0" fontId="23" fillId="0" borderId="39" xfId="0" applyFont="1" applyBorder="1" applyNumberFormat="1">
      <alignment horizontal="center" vertical="center" wrapText="1"/>
    </xf>
    <xf numFmtId="0" fontId="23" fillId="0" borderId="22" xfId="0" applyFont="1" applyBorder="1" applyNumberFormat="1">
      <alignment horizontal="center" vertical="center" wrapText="1"/>
    </xf>
    <xf numFmtId="0" fontId="23" fillId="0" borderId="38" xfId="0" applyFont="1" applyBorder="1" applyNumberFormat="1">
      <alignment horizontal="center" vertical="center" wrapText="1"/>
    </xf>
    <xf numFmtId="0" fontId="23" fillId="0" borderId="19" xfId="0" applyFont="1" applyBorder="1" applyNumberFormat="1">
      <alignment horizontal="center" vertical="center" wrapText="1"/>
    </xf>
    <xf numFmtId="0" fontId="23" fillId="0" borderId="39" xfId="0" applyFont="1" applyBorder="1" applyNumberFormat="1">
      <alignment horizontal="center" vertical="center" wrapText="1"/>
    </xf>
    <xf numFmtId="0" fontId="23" fillId="0" borderId="17" xfId="0" applyFont="1" applyBorder="1" applyNumberFormat="1">
      <alignment horizontal="center" vertical="center" wrapText="1"/>
    </xf>
    <xf numFmtId="0" fontId="23" fillId="0" borderId="14" xfId="0" applyFont="1" applyBorder="1" applyNumberFormat="1">
      <alignment horizontal="center" vertical="center" wrapText="1"/>
    </xf>
    <xf numFmtId="0" fontId="23" fillId="0" borderId="19" xfId="0" applyFont="1" applyBorder="1" applyNumberFormat="1">
      <alignment horizontal="center" vertical="center" wrapText="1"/>
    </xf>
    <xf numFmtId="0" fontId="23" fillId="0" borderId="19" xfId="0" applyFont="1" applyBorder="1" applyNumberFormat="1">
      <alignment horizontal="center" vertical="center" wrapText="1"/>
    </xf>
    <xf numFmtId="0" fontId="23" fillId="0" borderId="24" xfId="0" applyFont="1" applyBorder="1" applyNumberFormat="1">
      <alignment horizontal="center" vertical="center" wrapText="1"/>
    </xf>
    <xf numFmtId="0" fontId="23" fillId="0" borderId="26" xfId="0" applyFont="1" applyBorder="1" applyNumberFormat="1">
      <alignment horizontal="center" vertical="center" wrapText="1"/>
    </xf>
    <xf numFmtId="0" fontId="23" fillId="0" borderId="24" xfId="0" applyFont="1" applyBorder="1" applyNumberFormat="1">
      <alignment horizontal="center" vertical="center" wrapText="1"/>
    </xf>
    <xf numFmtId="0" fontId="23" fillId="0" borderId="38" xfId="0" applyFont="1" applyBorder="1" applyNumberFormat="1">
      <alignment horizontal="center" vertical="center" wrapText="1"/>
    </xf>
    <xf numFmtId="0" fontId="23" fillId="0" borderId="32" xfId="0" applyFont="1" applyBorder="1" applyNumberFormat="1">
      <alignment horizontal="center" vertical="center" wrapText="1"/>
    </xf>
    <xf numFmtId="0" fontId="23" fillId="0" borderId="31" xfId="0" applyFont="1" applyBorder="1" applyNumberFormat="1">
      <alignment horizontal="center" vertical="center" wrapText="1"/>
    </xf>
    <xf numFmtId="0" fontId="23" fillId="0" borderId="19" xfId="0" applyFont="1" applyBorder="1" applyNumberFormat="1">
      <alignment horizontal="center" vertical="center" wrapText="1"/>
    </xf>
    <xf numFmtId="0" fontId="23" fillId="0" borderId="39" xfId="0" applyFont="1" applyBorder="1" applyNumberFormat="1">
      <alignment horizontal="center" vertical="center" wrapText="1"/>
    </xf>
    <xf numFmtId="49" fontId="23" fillId="0" borderId="0" xfId="0" applyFont="1" applyNumberFormat="1">
      <alignment vertical="top"/>
    </xf>
    <xf numFmtId="49" fontId="23" fillId="0" borderId="14" xfId="0" applyFont="1" applyBorder="1" applyNumberFormat="1">
      <alignment horizontal="center" vertical="center"/>
    </xf>
    <xf numFmtId="0" fontId="23" fillId="0" borderId="14" xfId="0" applyFont="1" applyBorder="1" applyNumberFormat="1">
      <alignment horizontal="left" vertical="center" wrapText="1"/>
    </xf>
    <xf numFmtId="49" fontId="23" fillId="43" borderId="19" xfId="0" applyFont="1" applyFill="1" applyBorder="1" applyNumberFormat="1">
      <alignment horizontal="center" vertical="center" wrapText="1"/>
    </xf>
    <xf numFmtId="49" fontId="23" fillId="0" borderId="39" xfId="0" applyFont="1" applyBorder="1" applyNumberFormat="1">
      <alignment vertical="center" wrapText="1"/>
    </xf>
    <xf numFmtId="0" fontId="23" fillId="0" borderId="21" xfId="0" applyFont="1" applyBorder="1" applyNumberFormat="1">
      <alignment horizontal="center" vertical="center"/>
    </xf>
    <xf numFmtId="49" fontId="23" fillId="0" borderId="21" xfId="0" applyFont="1" applyBorder="1" applyNumberFormat="1">
      <alignment horizontal="left" vertical="center" wrapText="1"/>
    </xf>
    <xf numFmtId="49" fontId="23" fillId="0" borderId="21" xfId="0" applyFont="1" applyBorder="1" applyNumberFormat="1">
      <alignment vertical="center" wrapText="1"/>
    </xf>
    <xf numFmtId="49" fontId="23" fillId="0" borderId="21" xfId="0" applyFont="1" applyBorder="1" applyNumberFormat="1">
      <alignment horizontal="left" vertical="center" wrapText="1"/>
    </xf>
    <xf numFmtId="49" fontId="45" fillId="0" borderId="21" xfId="0" applyFont="1" applyBorder="1" applyNumberFormat="1">
      <alignment vertical="center" wrapText="1"/>
    </xf>
    <xf numFmtId="49" fontId="23" fillId="0" borderId="21" xfId="0" applyFont="1" applyBorder="1" applyNumberFormat="1">
      <alignment horizontal="center" vertical="center" wrapText="1"/>
    </xf>
    <xf numFmtId="0" fontId="23" fillId="0" borderId="21" xfId="0" applyFont="1" applyBorder="1" applyNumberFormat="1">
      <alignment horizontal="left" vertical="center" wrapText="1"/>
    </xf>
    <xf numFmtId="49" fontId="23" fillId="0" borderId="21" xfId="0" applyFont="1" applyBorder="1" applyNumberFormat="1">
      <alignment horizontal="center" vertical="center" wrapText="1"/>
    </xf>
    <xf numFmtId="49" fontId="23" fillId="0" borderId="21" xfId="0" applyFont="1" applyBorder="1" applyNumberFormat="1">
      <alignment vertical="center" wrapText="1"/>
    </xf>
    <xf numFmtId="49" fontId="23" fillId="43" borderId="38" xfId="0" applyFont="1" applyFill="1" applyBorder="1" applyNumberFormat="1">
      <alignment horizontal="center" vertical="center" wrapText="1"/>
    </xf>
    <xf numFmtId="49" fontId="23" fillId="0" borderId="24" xfId="0" applyFont="1" applyBorder="1" applyNumberFormat="1">
      <alignment vertical="center" wrapText="1"/>
    </xf>
    <xf numFmtId="0" fontId="23" fillId="0" borderId="0" xfId="0" applyFont="1" applyNumberFormat="1">
      <alignment horizontal="center" vertical="center"/>
    </xf>
    <xf numFmtId="0" fontId="23" fillId="0" borderId="0" xfId="0" applyFont="1" applyNumberFormat="1">
      <alignment horizontal="left" vertical="center" wrapText="1"/>
    </xf>
    <xf numFmtId="49" fontId="23" fillId="0" borderId="0" xfId="0" applyFont="1" applyNumberFormat="1">
      <alignment vertical="center" wrapText="1"/>
    </xf>
    <xf numFmtId="49" fontId="23" fillId="0" borderId="0" xfId="0" applyFont="1" applyNumberFormat="1">
      <alignment horizontal="left" vertical="center" wrapText="1"/>
    </xf>
    <xf numFmtId="49" fontId="45" fillId="0" borderId="0" xfId="0" applyFont="1" applyNumberFormat="1">
      <alignment vertical="center" wrapText="1"/>
    </xf>
    <xf numFmtId="49" fontId="23" fillId="0" borderId="0" xfId="0" applyFont="1" applyNumberFormat="1">
      <alignment horizontal="center" vertical="center" wrapText="1"/>
    </xf>
    <xf numFmtId="0" fontId="23" fillId="0" borderId="0" xfId="0" applyFont="1" applyNumberFormat="1">
      <alignment horizontal="left" vertical="center" wrapText="1"/>
    </xf>
    <xf numFmtId="0" fontId="48" fillId="0" borderId="0" xfId="0" applyFont="1" applyNumberFormat="1">
      <alignment horizontal="left" vertical="center"/>
    </xf>
    <xf numFmtId="0" fontId="48" fillId="0" borderId="0" xfId="0" applyFont="1" applyNumberFormat="1">
      <alignment horizontal="left" vertical="center"/>
    </xf>
    <xf numFmtId="0" fontId="48" fillId="0" borderId="26" xfId="0" applyFont="1" applyBorder="1" applyNumberFormat="1">
      <alignment horizontal="left" vertical="center"/>
    </xf>
    <xf numFmtId="49" fontId="23" fillId="0" borderId="0" xfId="0" applyFont="1" applyNumberFormat="1">
      <alignment horizontal="center" vertical="center" wrapText="1"/>
    </xf>
    <xf numFmtId="49" fontId="45" fillId="0" borderId="0" xfId="0" applyFont="1" applyNumberFormat="1">
      <alignment horizontal="center" vertical="center" wrapText="1"/>
    </xf>
    <xf numFmtId="0" fontId="48" fillId="0" borderId="0" xfId="0" applyFont="1" applyNumberFormat="1">
      <alignment vertical="center"/>
    </xf>
    <xf numFmtId="0" fontId="48" fillId="0" borderId="24" xfId="0" applyFont="1" applyBorder="1" applyNumberFormat="1">
      <alignment horizontal="left" vertical="center"/>
    </xf>
    <xf numFmtId="49" fontId="23" fillId="0" borderId="19" xfId="0" applyFont="1" applyBorder="1" applyNumberFormat="1">
      <alignment horizontal="center" vertical="center"/>
    </xf>
    <xf numFmtId="0" fontId="23" fillId="0" borderId="19" xfId="0" applyFont="1" applyBorder="1" applyNumberFormat="1">
      <alignment horizontal="left" vertical="center" wrapText="1"/>
    </xf>
    <xf numFmtId="0" fontId="23" fillId="0" borderId="39" xfId="0" applyFont="1" applyBorder="1" applyNumberFormat="1">
      <alignment horizontal="left" vertical="center" wrapText="1"/>
    </xf>
    <xf numFmtId="49" fontId="72" fillId="0" borderId="32" xfId="0" applyFont="1" applyBorder="1" applyNumberFormat="1">
      <alignment vertical="top"/>
    </xf>
    <xf numFmtId="49" fontId="72" fillId="0" borderId="29" xfId="0" applyFont="1" applyBorder="1" applyNumberFormat="1">
      <alignment vertical="top"/>
    </xf>
    <xf numFmtId="0" fontId="48" fillId="0" borderId="29" xfId="0" applyFont="1" applyBorder="1" applyNumberFormat="1">
      <alignment horizontal="left" vertical="center"/>
    </xf>
    <xf numFmtId="0" fontId="48" fillId="0" borderId="31" xfId="0" applyFont="1" applyBorder="1" applyNumberFormat="1">
      <alignment horizontal="left" vertical="center"/>
    </xf>
    <xf numFmtId="0" fontId="23" fillId="0" borderId="0" xfId="0" applyFont="1" applyNumberFormat="1">
      <alignment horizontal="left" vertical="center" wrapText="1"/>
    </xf>
    <xf numFmtId="0" fontId="23" fillId="0" borderId="16" xfId="0" applyFont="1" applyBorder="1" applyNumberFormat="1">
      <alignment horizontal="left" vertical="center" wrapText="1"/>
    </xf>
    <xf numFmtId="49" fontId="0" fillId="0" borderId="0" xfId="0" applyFont="1" applyNumberFormat="1">
      <alignment vertical="top"/>
    </xf>
    <xf numFmtId="49" fontId="0" fillId="0" borderId="0" xfId="0" applyFont="1" applyNumberFormat="1">
      <alignment vertical="top"/>
    </xf>
    <xf numFmtId="49" fontId="40" fillId="0" borderId="0" xfId="0" applyFont="1" applyNumberFormat="1">
      <alignment vertical="top"/>
    </xf>
    <xf numFmtId="0" fontId="23" fillId="37" borderId="0" xfId="0" applyFont="1" applyFill="1" applyNumberFormat="1"/>
    <xf numFmtId="0" fontId="66" fillId="37" borderId="0" xfId="0" applyFont="1" applyFill="1" applyNumberFormat="1"/>
    <xf numFmtId="0" fontId="55" fillId="37" borderId="0" xfId="0" applyFont="1" applyFill="1" applyNumberFormat="1"/>
    <xf numFmtId="0" fontId="66" fillId="37" borderId="0" xfId="0" applyFont="1" applyFill="1" applyNumberFormat="1">
      <alignment horizontal="center"/>
    </xf>
    <xf numFmtId="0" fontId="95" fillId="0" borderId="0" xfId="0" applyFont="1" applyNumberFormat="1">
      <alignment vertical="center"/>
    </xf>
    <xf numFmtId="0" fontId="94" fillId="0" borderId="0" xfId="0" applyFont="1" applyNumberFormat="1">
      <alignment vertical="center"/>
    </xf>
    <xf numFmtId="0" fontId="78" fillId="37" borderId="0" xfId="0" applyFont="1" applyFill="1" applyNumberFormat="1">
      <alignment horizontal="right" vertical="center"/>
    </xf>
    <xf numFmtId="0" fontId="23" fillId="37" borderId="0" xfId="0" applyFont="1" applyFill="1" applyNumberFormat="1">
      <alignment vertical="center" wrapText="1"/>
    </xf>
    <xf numFmtId="0" fontId="55" fillId="37" borderId="0" xfId="0" applyFont="1" applyFill="1" applyNumberFormat="1">
      <alignment vertical="center" wrapText="1"/>
    </xf>
    <xf numFmtId="0" fontId="23" fillId="37" borderId="0" xfId="0" applyFont="1" applyFill="1" applyNumberFormat="1">
      <alignment horizontal="center" vertical="center" wrapText="1"/>
    </xf>
    <xf numFmtId="0" fontId="98" fillId="37" borderId="0" xfId="0" applyFont="1" applyFill="1" applyNumberFormat="1">
      <alignment horizontal="left" vertical="center" wrapText="1"/>
    </xf>
    <xf numFmtId="49" fontId="0" fillId="37" borderId="14" xfId="0" applyFont="1" applyFill="1" applyBorder="1" applyNumberFormat="1">
      <alignment horizontal="center" vertical="center" wrapText="1"/>
    </xf>
    <xf numFmtId="49" fontId="23" fillId="37" borderId="14" xfId="0" applyFont="1" applyFill="1" applyBorder="1" applyNumberFormat="1">
      <alignment horizontal="center" vertical="center" wrapText="1"/>
    </xf>
    <xf numFmtId="0" fontId="0" fillId="37" borderId="14" xfId="0" applyFont="1" applyFill="1" applyBorder="1" applyNumberFormat="1">
      <alignment horizontal="center" vertical="center" wrapText="1"/>
    </xf>
    <xf numFmtId="49" fontId="23" fillId="37" borderId="14" xfId="0" applyFont="1" applyFill="1" applyBorder="1" applyNumberFormat="1">
      <alignment horizontal="center" vertical="center" wrapText="1"/>
    </xf>
    <xf numFmtId="0" fontId="0" fillId="37" borderId="14" xfId="0" applyFont="1" applyFill="1" applyBorder="1" applyNumberFormat="1">
      <alignment horizontal="center" vertical="center" wrapText="1"/>
    </xf>
    <xf numFmtId="0" fontId="23" fillId="37" borderId="14" xfId="0" applyFont="1" applyFill="1" applyBorder="1" applyNumberFormat="1">
      <alignment horizontal="center" vertical="center" wrapText="1"/>
    </xf>
    <xf numFmtId="0" fontId="44" fillId="37" borderId="0" xfId="0" applyFont="1" applyFill="1" applyNumberFormat="1">
      <alignment horizontal="center" vertical="center"/>
    </xf>
    <xf numFmtId="49" fontId="55" fillId="0" borderId="14" xfId="0" applyFont="1" applyBorder="1" applyNumberFormat="1">
      <alignment horizontal="center" vertical="center"/>
    </xf>
    <xf numFmtId="0" fontId="55" fillId="0" borderId="14" xfId="0" applyFont="1" applyBorder="1" applyNumberFormat="1">
      <alignment vertical="center" wrapText="1"/>
    </xf>
    <xf numFmtId="0" fontId="55" fillId="0" borderId="14" xfId="0" applyFont="1" applyBorder="1" applyNumberFormat="1">
      <alignment horizontal="left" vertical="center" wrapText="1"/>
    </xf>
    <xf numFmtId="0" fontId="70" fillId="37" borderId="0" xfId="0" applyFont="1" applyFill="1" applyNumberFormat="1"/>
    <xf numFmtId="49" fontId="0" fillId="37" borderId="14" xfId="0" applyFont="1" applyFill="1" applyBorder="1" applyNumberFormat="1">
      <alignment horizontal="center" vertical="center"/>
    </xf>
    <xf numFmtId="0" fontId="0" fillId="37" borderId="14" xfId="0" applyFont="1" applyFill="1" applyBorder="1" applyNumberFormat="1">
      <alignment vertical="center" wrapText="1"/>
    </xf>
    <xf numFmtId="0" fontId="0" fillId="0" borderId="14" xfId="0" applyFont="1" applyBorder="1" applyNumberFormat="1">
      <alignment horizontal="center" vertical="center" wrapText="1"/>
    </xf>
    <xf numFmtId="0" fontId="23" fillId="37" borderId="14" xfId="0" applyFont="1" applyFill="1" applyBorder="1" applyNumberFormat="1">
      <alignment vertical="center" wrapText="1"/>
    </xf>
    <xf numFmtId="0" fontId="0" fillId="37" borderId="14" xfId="0" applyFont="1" applyFill="1" applyBorder="1" applyNumberFormat="1">
      <alignment horizontal="left" vertical="center" wrapText="1" indent="1"/>
    </xf>
    <xf numFmtId="49" fontId="0" fillId="42" borderId="14" xfId="0" applyFont="1" applyFill="1" applyBorder="1" applyNumberFormat="1">
      <alignment horizontal="left" vertical="center" wrapText="1"/>
      <protection locked="0"/>
    </xf>
    <xf numFmtId="0" fontId="55" fillId="0" borderId="14" xfId="0" applyFont="1" applyBorder="1" applyNumberFormat="1">
      <alignment horizontal="left" vertical="center" wrapText="1" indent="1"/>
    </xf>
    <xf numFmtId="49" fontId="23" fillId="37" borderId="0" xfId="0" applyFont="1" applyFill="1" applyNumberFormat="1">
      <alignment horizontal="center" vertical="center" wrapText="1"/>
    </xf>
    <xf numFmtId="0" fontId="23" fillId="37" borderId="26" xfId="0" applyFont="1" applyFill="1" applyBorder="1" applyNumberFormat="1">
      <alignment horizontal="center" vertical="center" wrapText="1"/>
    </xf>
    <xf numFmtId="0" fontId="95" fillId="0" borderId="0" xfId="0" applyFont="1" applyNumberFormat="1">
      <alignment vertical="center" wrapText="1"/>
    </xf>
    <xf numFmtId="0" fontId="0" fillId="37" borderId="14" xfId="0" applyFont="1" applyFill="1" applyBorder="1" applyNumberFormat="1">
      <alignment horizontal="center" vertical="center"/>
    </xf>
    <xf numFmtId="0" fontId="0" fillId="37" borderId="14" xfId="0" applyFont="1" applyFill="1" applyBorder="1" applyNumberFormat="1">
      <alignment horizontal="left" vertical="center" wrapText="1" indent="2"/>
    </xf>
    <xf numFmtId="49" fontId="0" fillId="0" borderId="14" xfId="0" applyFont="1" applyBorder="1" applyNumberFormat="1">
      <alignment horizontal="left" vertical="center" wrapText="1"/>
    </xf>
    <xf numFmtId="49" fontId="23" fillId="37" borderId="0" xfId="0" applyFont="1" applyFill="1" applyNumberFormat="1">
      <alignment vertical="center" wrapText="1"/>
    </xf>
    <xf numFmtId="0" fontId="23" fillId="37" borderId="26" xfId="0" applyFont="1" applyFill="1" applyBorder="1" applyNumberFormat="1">
      <alignment vertical="center" wrapText="1"/>
    </xf>
    <xf numFmtId="0" fontId="23" fillId="40" borderId="16" xfId="0" applyFont="1" applyFill="1" applyBorder="1" applyNumberFormat="1">
      <alignment horizontal="center"/>
    </xf>
    <xf numFmtId="49" fontId="48" fillId="40" borderId="17" xfId="0" applyFont="1" applyFill="1" applyBorder="1" applyNumberFormat="1">
      <alignment horizontal="left" vertical="center" indent="1"/>
    </xf>
    <xf numFmtId="0" fontId="78" fillId="40" borderId="17" xfId="0" applyFont="1" applyFill="1" applyBorder="1" applyNumberFormat="1">
      <alignment horizontal="left" vertical="center"/>
    </xf>
    <xf numFmtId="0" fontId="78" fillId="40" borderId="15" xfId="0" applyFont="1" applyFill="1" applyBorder="1" applyNumberFormat="1">
      <alignment horizontal="left" vertical="center"/>
    </xf>
    <xf numFmtId="0" fontId="55" fillId="37" borderId="0" xfId="0" applyFont="1" applyFill="1" applyNumberFormat="1"/>
    <xf numFmtId="49" fontId="55" fillId="37" borderId="14" xfId="0" applyFont="1" applyFill="1" applyBorder="1" applyNumberFormat="1">
      <alignment horizontal="center" vertical="center"/>
    </xf>
    <xf numFmtId="0" fontId="55" fillId="37" borderId="14" xfId="0" applyFont="1" applyFill="1" applyBorder="1" applyNumberFormat="1">
      <alignment vertical="center" wrapText="1"/>
    </xf>
    <xf numFmtId="0" fontId="55" fillId="0" borderId="14" xfId="0" applyFont="1" applyBorder="1" applyNumberFormat="1">
      <alignment horizontal="center" vertical="center" wrapText="1"/>
    </xf>
    <xf numFmtId="0" fontId="55" fillId="37" borderId="14" xfId="0" applyFont="1" applyFill="1" applyBorder="1" applyNumberFormat="1">
      <alignment horizontal="left" vertical="center" wrapText="1" indent="1"/>
    </xf>
    <xf numFmtId="0" fontId="55" fillId="37" borderId="14" xfId="0" applyFont="1" applyFill="1" applyBorder="1" applyNumberFormat="1">
      <alignment horizontal="left" vertical="center" wrapText="1" indent="2"/>
    </xf>
    <xf numFmtId="49" fontId="55" fillId="0" borderId="14" xfId="0" applyFont="1" applyBorder="1" applyNumberFormat="1">
      <alignment horizontal="left" vertical="center" wrapText="1"/>
    </xf>
    <xf numFmtId="49" fontId="55" fillId="0" borderId="14" xfId="0" applyFont="1" applyBorder="1" applyNumberFormat="1">
      <alignment horizontal="left" vertical="center" wrapText="1"/>
    </xf>
    <xf numFmtId="0" fontId="0" fillId="37" borderId="14" xfId="0" applyFont="1" applyFill="1" applyBorder="1" applyNumberFormat="1">
      <alignment horizontal="left" vertical="center" wrapText="1"/>
    </xf>
    <xf numFmtId="49" fontId="0" fillId="39" borderId="14" xfId="0" applyFont="1" applyFill="1" applyBorder="1" applyNumberFormat="1">
      <alignment horizontal="left" vertical="center" wrapText="1"/>
      <protection locked="0"/>
    </xf>
    <xf numFmtId="0" fontId="0" fillId="37" borderId="19" xfId="0" applyFont="1" applyFill="1" applyBorder="1" applyNumberFormat="1">
      <alignment horizontal="left" vertical="center" wrapText="1"/>
    </xf>
    <xf numFmtId="0" fontId="23" fillId="37" borderId="19" xfId="0" applyFont="1" applyFill="1" applyBorder="1" applyNumberFormat="1">
      <alignment horizontal="left" vertical="top" wrapText="1"/>
    </xf>
    <xf numFmtId="49" fontId="0" fillId="0" borderId="14" xfId="0" applyFont="1" applyBorder="1" applyNumberFormat="1">
      <alignment horizontal="left" vertical="center" wrapText="1" indent="1"/>
    </xf>
    <xf numFmtId="0" fontId="23" fillId="37" borderId="38" xfId="0" applyFont="1" applyFill="1" applyBorder="1" applyNumberFormat="1">
      <alignment horizontal="left" vertical="top" wrapText="1"/>
    </xf>
    <xf numFmtId="0" fontId="45" fillId="37" borderId="0" xfId="0" applyFont="1" applyFill="1" applyNumberFormat="1">
      <alignment horizontal="center" vertical="center" wrapText="1"/>
    </xf>
    <xf numFmtId="49" fontId="0" fillId="42" borderId="14" xfId="0" applyFont="1" applyFill="1" applyBorder="1" applyNumberFormat="1">
      <alignment horizontal="left" vertical="center" wrapText="1" indent="1"/>
      <protection locked="0"/>
    </xf>
    <xf numFmtId="49" fontId="23" fillId="42" borderId="16" xfId="0" applyFont="1" applyFill="1" applyBorder="1" applyNumberFormat="1">
      <alignment horizontal="left" vertical="center" wrapText="1"/>
      <protection locked="0"/>
    </xf>
    <xf numFmtId="0" fontId="23" fillId="37" borderId="25" xfId="0" applyFont="1" applyFill="1" applyBorder="1" applyNumberFormat="1">
      <alignment horizontal="left" vertical="top" wrapText="1"/>
    </xf>
    <xf numFmtId="0" fontId="58" fillId="37" borderId="0" xfId="0" applyFont="1" applyFill="1" applyNumberFormat="1"/>
    <xf numFmtId="49" fontId="23" fillId="42" borderId="14" xfId="0" applyFont="1" applyFill="1" applyBorder="1" applyNumberFormat="1" quotePrefix="1">
      <alignment horizontal="left" vertical="center" wrapText="1"/>
      <protection locked="0"/>
    </xf>
    <xf numFmtId="49" fontId="23" fillId="39" borderId="14" xfId="0" applyFont="1" applyFill="1" applyBorder="1" applyNumberFormat="1">
      <alignment horizontal="left" vertical="center" wrapText="1"/>
      <protection locked="0"/>
    </xf>
    <xf numFmtId="49" fontId="23" fillId="43" borderId="14" xfId="0" applyFont="1" applyFill="1" applyBorder="1" applyNumberFormat="1">
      <alignment horizontal="left" vertical="center" wrapText="1"/>
    </xf>
    <xf numFmtId="49" fontId="23" fillId="43" borderId="14" xfId="0" applyFont="1" applyFill="1" applyBorder="1" applyNumberFormat="1">
      <alignment horizontal="left" vertical="center" wrapText="1"/>
    </xf>
    <xf numFmtId="0" fontId="0" fillId="37" borderId="16" xfId="0" applyFont="1" applyFill="1" applyBorder="1" applyNumberFormat="1">
      <alignment horizontal="left" vertical="center" wrapText="1" indent="1"/>
    </xf>
    <xf numFmtId="49" fontId="23" fillId="43" borderId="16" xfId="0" applyFont="1" applyFill="1" applyBorder="1" applyNumberFormat="1">
      <alignment horizontal="left" vertical="center" wrapText="1"/>
    </xf>
    <xf numFmtId="0" fontId="0" fillId="37" borderId="14" xfId="0" applyFont="1" applyFill="1" applyBorder="1" applyNumberFormat="1">
      <alignment vertical="top" wrapText="1"/>
    </xf>
    <xf numFmtId="49" fontId="23" fillId="37" borderId="0" xfId="0" applyFont="1" applyFill="1" applyNumberFormat="1">
      <alignment horizontal="center" vertical="center" wrapText="1"/>
    </xf>
    <xf numFmtId="0" fontId="0" fillId="37" borderId="16" xfId="0" applyFont="1" applyFill="1" applyBorder="1" applyNumberFormat="1">
      <alignment horizontal="left" vertical="center" wrapText="1"/>
    </xf>
    <xf numFmtId="0" fontId="0" fillId="37" borderId="25" xfId="0" applyFont="1" applyFill="1" applyBorder="1" applyNumberFormat="1">
      <alignment vertical="center" wrapText="1"/>
    </xf>
    <xf numFmtId="0" fontId="81" fillId="37" borderId="0" xfId="0" applyFont="1" applyFill="1" applyNumberFormat="1"/>
    <xf numFmtId="0" fontId="23" fillId="0" borderId="0" xfId="0" applyFont="1" applyNumberFormat="1">
      <alignment vertical="top" wrapText="1"/>
    </xf>
    <xf numFmtId="0" fontId="55" fillId="0" borderId="0" xfId="0" applyFont="1" applyNumberFormat="1">
      <alignment vertical="center" wrapText="1"/>
    </xf>
    <xf numFmtId="0" fontId="53" fillId="0" borderId="0" xfId="0" applyFont="1" applyNumberFormat="1">
      <alignment horizontal="right" vertical="top" wrapText="1"/>
    </xf>
    <xf numFmtId="0" fontId="53" fillId="0" borderId="0" xfId="0" applyFont="1" applyNumberFormat="1">
      <alignment horizontal="left" vertical="top" wrapText="1" indent="1"/>
    </xf>
    <xf numFmtId="0" fontId="53" fillId="0" borderId="0" xfId="0" applyFont="1" applyNumberFormat="1">
      <alignment vertical="center" wrapText="1"/>
    </xf>
    <xf numFmtId="0" fontId="80" fillId="37" borderId="0" xfId="0" applyFont="1" applyFill="1" applyNumberFormat="1">
      <alignment horizontal="center"/>
    </xf>
    <xf numFmtId="0" fontId="80" fillId="37" borderId="0" xfId="0" applyFont="1" applyFill="1" applyNumberFormat="1"/>
    <xf numFmtId="0" fontId="82" fillId="37" borderId="0" xfId="0" applyFont="1" applyFill="1" applyNumberFormat="1">
      <alignment horizontal="right" vertical="center"/>
    </xf>
    <xf numFmtId="0" fontId="83" fillId="37" borderId="0" xfId="0" applyFont="1" applyFill="1" applyNumberFormat="1">
      <alignment vertical="center"/>
    </xf>
    <xf numFmtId="0" fontId="82" fillId="37" borderId="0" xfId="0" applyFont="1" applyFill="1" applyNumberFormat="1">
      <alignment horizontal="right" vertical="top"/>
    </xf>
    <xf numFmtId="0" fontId="83" fillId="37" borderId="0" xfId="0" applyFont="1" applyFill="1" applyNumberFormat="1">
      <alignment vertical="center" wrapText="1"/>
    </xf>
    <xf numFmtId="0" fontId="23" fillId="37" borderId="0" xfId="0" applyFont="1" applyFill="1" applyNumberFormat="1"/>
    <xf numFmtId="0" fontId="0" fillId="37" borderId="0" xfId="0" applyFont="1" applyFill="1" applyNumberFormat="1"/>
    <xf numFmtId="0" fontId="0" fillId="37" borderId="0" xfId="0" applyFont="1" applyFill="1" applyNumberFormat="1">
      <alignment horizontal="center"/>
    </xf>
    <xf numFmtId="0" fontId="54" fillId="0" borderId="0" xfId="0" applyFont="1" applyNumberFormat="1">
      <alignment horizontal="center" vertical="center" wrapText="1"/>
    </xf>
    <xf numFmtId="0" fontId="93" fillId="0" borderId="0" xfId="0" applyFont="1" applyNumberFormat="1">
      <alignment vertical="center" wrapText="1"/>
    </xf>
    <xf numFmtId="0" fontId="93" fillId="37" borderId="0" xfId="0" applyFont="1" applyFill="1" applyNumberFormat="1">
      <alignment horizontal="center" vertical="center" wrapText="1"/>
    </xf>
    <xf numFmtId="0" fontId="93" fillId="37" borderId="0" xfId="0" applyFont="1" applyFill="1" applyNumberFormat="1">
      <alignment horizontal="right" vertical="center" wrapText="1"/>
    </xf>
    <xf numFmtId="0" fontId="45" fillId="37" borderId="0" xfId="0" applyFont="1" applyFill="1" applyNumberFormat="1">
      <alignment horizontal="center" vertical="center" wrapText="1"/>
    </xf>
    <xf numFmtId="0" fontId="22" fillId="0" borderId="0" xfId="0" applyFont="1" applyNumberFormat="1">
      <alignment horizontal="left" vertical="center" wrapText="1" indent="3"/>
    </xf>
    <xf numFmtId="0" fontId="69" fillId="0" borderId="0" xfId="0" applyFont="1" applyNumberFormat="1">
      <alignment horizontal="center" vertical="center" wrapText="1"/>
    </xf>
    <xf numFmtId="0" fontId="69" fillId="0" borderId="0" xfId="0" applyFont="1" applyNumberFormat="1">
      <alignment vertical="center" wrapText="1"/>
    </xf>
    <xf numFmtId="0" fontId="40" fillId="0" borderId="0" xfId="0" applyFont="1" applyNumberFormat="1">
      <alignment vertical="center" wrapText="1"/>
    </xf>
    <xf numFmtId="0" fontId="45" fillId="37" borderId="0" xfId="0" applyFont="1" applyFill="1" applyNumberFormat="1">
      <alignment horizontal="center" vertical="center" wrapText="1"/>
    </xf>
    <xf numFmtId="0" fontId="23" fillId="0" borderId="31" xfId="0" applyFont="1" applyBorder="1" applyNumberFormat="1">
      <alignment horizontal="left" vertical="center" wrapText="1" indent="1"/>
    </xf>
    <xf numFmtId="0" fontId="23" fillId="0" borderId="25" xfId="0" applyFont="1" applyBorder="1" applyNumberFormat="1">
      <alignment horizontal="left" vertical="center" wrapText="1" indent="1"/>
    </xf>
    <xf numFmtId="0" fontId="23" fillId="0" borderId="32" xfId="0" applyFont="1" applyBorder="1" applyNumberFormat="1">
      <alignment horizontal="left" vertical="center" wrapText="1" indent="1"/>
    </xf>
    <xf numFmtId="0" fontId="65" fillId="0" borderId="0" xfId="0" applyFont="1" applyNumberFormat="1">
      <alignment vertical="center" wrapText="1"/>
    </xf>
    <xf numFmtId="0" fontId="63" fillId="0" borderId="0" xfId="0" applyFont="1" applyNumberFormat="1">
      <alignment vertical="center" wrapText="1"/>
    </xf>
    <xf numFmtId="0" fontId="84" fillId="37" borderId="0" xfId="0" applyFont="1" applyFill="1" applyNumberFormat="1">
      <alignment horizontal="center" vertical="center" wrapText="1"/>
    </xf>
    <xf numFmtId="0" fontId="65" fillId="0" borderId="0" xfId="0" applyFont="1" applyNumberFormat="1">
      <alignment horizontal="left" vertical="center" wrapText="1" indent="1"/>
    </xf>
    <xf numFmtId="0" fontId="23" fillId="0" borderId="0" xfId="0" applyFont="1" applyNumberFormat="1">
      <alignment horizontal="right" vertical="center"/>
    </xf>
    <xf numFmtId="0" fontId="55" fillId="0" borderId="0" xfId="0" applyFont="1" applyNumberFormat="1">
      <alignment vertical="center" wrapText="1"/>
    </xf>
    <xf numFmtId="0" fontId="0" fillId="0" borderId="16"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15" xfId="0" applyFont="1" applyBorder="1" applyNumberFormat="1">
      <alignment horizontal="center" vertical="center" wrapText="1"/>
    </xf>
    <xf numFmtId="0" fontId="0" fillId="0" borderId="14" xfId="0" applyFont="1" applyBorder="1" applyNumberFormat="1">
      <alignment horizontal="center" vertical="center" wrapText="1"/>
    </xf>
    <xf numFmtId="0" fontId="0" fillId="0" borderId="19" xfId="0" applyFont="1" applyBorder="1" applyNumberFormat="1">
      <alignment horizontal="center" vertical="center" wrapText="1"/>
    </xf>
    <xf numFmtId="0" fontId="0" fillId="0" borderId="19" xfId="0" applyFont="1" applyBorder="1" applyNumberFormat="1">
      <alignment horizontal="center" vertical="center" wrapText="1"/>
    </xf>
    <xf numFmtId="0" fontId="0" fillId="0" borderId="39" xfId="0" applyFont="1" applyBorder="1" applyNumberFormat="1">
      <alignment horizontal="center" vertical="center" wrapText="1"/>
    </xf>
    <xf numFmtId="0" fontId="0" fillId="0" borderId="22" xfId="0" applyFont="1" applyBorder="1" applyNumberFormat="1">
      <alignment horizontal="center" vertical="center" wrapText="1"/>
    </xf>
    <xf numFmtId="0" fontId="0" fillId="0" borderId="22" xfId="0" applyFont="1" applyBorder="1" applyNumberFormat="1">
      <alignment horizontal="center" vertical="center" wrapText="1"/>
    </xf>
    <xf numFmtId="0" fontId="0" fillId="0" borderId="19" xfId="0" applyFont="1" applyBorder="1" applyNumberFormat="1">
      <alignment horizontal="center" vertical="center" wrapText="1"/>
    </xf>
    <xf numFmtId="0" fontId="0" fillId="0" borderId="19" xfId="0" applyFont="1" applyBorder="1" applyNumberFormat="1">
      <alignment horizontal="center" vertical="center" wrapText="1"/>
    </xf>
    <xf numFmtId="0" fontId="0" fillId="0" borderId="25" xfId="0" applyFont="1" applyBorder="1" applyNumberFormat="1">
      <alignment horizontal="center" vertical="center" wrapText="1"/>
    </xf>
    <xf numFmtId="0" fontId="0" fillId="0" borderId="25" xfId="0" applyFont="1" applyBorder="1" applyNumberFormat="1">
      <alignment horizontal="center" vertical="center" wrapText="1"/>
    </xf>
    <xf numFmtId="0" fontId="0" fillId="0" borderId="32" xfId="0" applyFont="1" applyBorder="1" applyNumberFormat="1">
      <alignment horizontal="center" vertical="center" wrapText="1"/>
    </xf>
    <xf numFmtId="0" fontId="0" fillId="0" borderId="14" xfId="0" applyFont="1" applyBorder="1" applyNumberFormat="1">
      <alignment horizontal="center" vertical="center" wrapText="1"/>
    </xf>
    <xf numFmtId="0" fontId="0" fillId="0" borderId="16" xfId="0" applyFont="1" applyBorder="1" applyNumberFormat="1">
      <alignment horizontal="center" vertical="center" wrapText="1"/>
    </xf>
    <xf numFmtId="0" fontId="0" fillId="0" borderId="31" xfId="0" applyFont="1" applyBorder="1" applyNumberFormat="1">
      <alignment horizontal="center" vertical="center" wrapText="1"/>
    </xf>
    <xf numFmtId="0" fontId="0" fillId="0" borderId="31" xfId="0" applyFont="1" applyBorder="1" applyNumberFormat="1">
      <alignment horizontal="center" vertical="center" wrapText="1"/>
    </xf>
    <xf numFmtId="0" fontId="0" fillId="0" borderId="25" xfId="0" applyFont="1" applyBorder="1" applyNumberFormat="1">
      <alignment horizontal="center" vertical="center" wrapText="1"/>
    </xf>
    <xf numFmtId="0" fontId="0" fillId="0" borderId="25" xfId="0" applyFont="1" applyBorder="1" applyNumberFormat="1">
      <alignment horizontal="center" vertical="center" wrapText="1"/>
    </xf>
    <xf numFmtId="0" fontId="44" fillId="37" borderId="0" xfId="0" applyFont="1" applyFill="1" applyNumberFormat="1">
      <alignment horizontal="center" vertical="center" wrapText="1"/>
    </xf>
    <xf numFmtId="49" fontId="44" fillId="37" borderId="0" xfId="0" applyFont="1" applyFill="1" applyNumberFormat="1">
      <alignment horizontal="center" vertical="center" wrapText="1"/>
    </xf>
    <xf numFmtId="0" fontId="23" fillId="0" borderId="0" xfId="0" applyFont="1" applyNumberFormat="1">
      <alignment vertical="center" wrapText="1"/>
    </xf>
    <xf numFmtId="0" fontId="77" fillId="0" borderId="0" xfId="0" applyFont="1" applyNumberFormat="1">
      <alignment vertical="center" wrapText="1"/>
    </xf>
    <xf numFmtId="0" fontId="85" fillId="37" borderId="0" xfId="0" applyFont="1" applyFill="1" applyNumberFormat="1">
      <alignment horizontal="center" vertical="center" wrapText="1"/>
    </xf>
    <xf numFmtId="49" fontId="77" fillId="0" borderId="19" xfId="0" applyFont="1" applyBorder="1" applyNumberFormat="1">
      <alignment horizontal="left" vertical="center" wrapText="1"/>
    </xf>
    <xf numFmtId="49" fontId="77" fillId="0" borderId="14" xfId="0" applyFont="1" applyBorder="1" applyNumberFormat="1">
      <alignment horizontal="left" vertical="center" wrapText="1"/>
    </xf>
    <xf numFmtId="49" fontId="0" fillId="0" borderId="14" xfId="0" applyFont="1" applyBorder="1" applyNumberFormat="1">
      <alignment vertical="top" wrapText="1"/>
    </xf>
    <xf numFmtId="49" fontId="0" fillId="0" borderId="14" xfId="0" applyFont="1" applyBorder="1" applyNumberFormat="1">
      <alignment horizontal="center" vertical="center" wrapText="1"/>
    </xf>
    <xf numFmtId="49" fontId="0" fillId="39" borderId="14" xfId="0" applyFont="1" applyFill="1" applyBorder="1" applyNumberFormat="1">
      <alignment horizontal="left" vertical="center" wrapText="1"/>
      <protection locked="0"/>
    </xf>
    <xf numFmtId="0" fontId="23" fillId="43" borderId="16" xfId="0" applyFont="1" applyFill="1" applyBorder="1" applyNumberFormat="1">
      <alignment horizontal="left" vertical="center" wrapText="1"/>
    </xf>
    <xf numFmtId="49" fontId="44" fillId="37" borderId="14" xfId="0" applyFont="1" applyFill="1" applyBorder="1" applyNumberFormat="1">
      <alignment horizontal="center" vertical="center" wrapText="1"/>
    </xf>
    <xf numFmtId="4" fontId="0" fillId="42" borderId="14" xfId="0" applyFont="1" applyFill="1" applyBorder="1" applyNumberFormat="1">
      <alignment horizontal="right" vertical="center" wrapText="1"/>
      <protection locked="0"/>
    </xf>
    <xf numFmtId="3" fontId="0" fillId="42" borderId="14" xfId="0" applyFont="1" applyFill="1" applyBorder="1" applyNumberFormat="1">
      <alignment horizontal="right" vertical="center" wrapText="1"/>
      <protection locked="0"/>
    </xf>
    <xf numFmtId="4" fontId="0" fillId="42" borderId="15" xfId="0" applyFont="1" applyFill="1" applyBorder="1" applyNumberFormat="1">
      <alignment horizontal="right" vertical="center" wrapText="1"/>
      <protection locked="0"/>
    </xf>
    <xf numFmtId="0" fontId="0" fillId="39" borderId="14" xfId="0" applyFont="1" applyFill="1" applyBorder="1" applyNumberFormat="1">
      <alignment horizontal="right" vertical="center" wrapText="1"/>
      <protection locked="0"/>
    </xf>
    <xf numFmtId="3" fontId="0" fillId="0" borderId="15" xfId="0" applyFont="1" applyBorder="1" applyNumberFormat="1">
      <alignment horizontal="right" vertical="center" wrapText="1"/>
    </xf>
    <xf numFmtId="0" fontId="0" fillId="0" borderId="19" xfId="0" applyFont="1" applyBorder="1" applyNumberFormat="1">
      <alignment horizontal="left" vertical="top" wrapText="1"/>
    </xf>
    <xf numFmtId="49" fontId="36" fillId="40" borderId="16" xfId="0" applyFont="1" applyFill="1" applyBorder="1" applyNumberFormat="1">
      <alignment horizontal="center" vertical="center"/>
    </xf>
    <xf numFmtId="0" fontId="48" fillId="40" borderId="17" xfId="0" applyFont="1" applyFill="1" applyBorder="1" applyNumberFormat="1">
      <alignment vertical="center"/>
    </xf>
    <xf numFmtId="49" fontId="48" fillId="40" borderId="17" xfId="0" applyFont="1" applyFill="1" applyBorder="1" applyNumberFormat="1">
      <alignment vertical="center"/>
    </xf>
    <xf numFmtId="49" fontId="78" fillId="40" borderId="17" xfId="0" applyFont="1" applyFill="1" applyBorder="1" applyNumberFormat="1">
      <alignment vertical="center"/>
    </xf>
    <xf numFmtId="49" fontId="78" fillId="40" borderId="15" xfId="0" applyFont="1" applyFill="1" applyBorder="1" applyNumberFormat="1">
      <alignment vertical="center"/>
    </xf>
    <xf numFmtId="0" fontId="0" fillId="0" borderId="25" xfId="0" applyFont="1" applyBorder="1" applyNumberFormat="1">
      <alignment horizontal="left" vertical="top" wrapText="1"/>
    </xf>
    <xf numFmtId="0" fontId="40" fillId="0" borderId="0" xfId="0" applyFont="1" applyNumberFormat="1">
      <alignment vertical="center" wrapText="1"/>
    </xf>
    <xf numFmtId="0" fontId="23" fillId="0" borderId="0" xfId="0" applyFont="1" applyNumberFormat="1">
      <alignment vertical="center" wrapText="1"/>
    </xf>
    <xf numFmtId="0" fontId="45" fillId="0" borderId="0" xfId="0" applyFont="1" applyNumberFormat="1">
      <alignment horizontal="center" vertical="center" wrapText="1"/>
    </xf>
    <xf numFmtId="0" fontId="23" fillId="0" borderId="0" xfId="0" applyFont="1" applyNumberFormat="1">
      <alignment vertical="center" wrapText="1"/>
    </xf>
    <xf numFmtId="0" fontId="50" fillId="0" borderId="0" xfId="0" applyFont="1" applyNumberFormat="1">
      <alignment vertical="center" wrapText="1"/>
    </xf>
    <xf numFmtId="0" fontId="55" fillId="0" borderId="0" xfId="0" applyFont="1" applyNumberFormat="1">
      <alignment vertical="center" wrapText="1"/>
    </xf>
    <xf numFmtId="0" fontId="23" fillId="0" borderId="0" xfId="0" applyFont="1" applyNumberFormat="1">
      <alignment vertical="center" wrapText="1"/>
    </xf>
    <xf numFmtId="0" fontId="45" fillId="37" borderId="0" xfId="0" applyFont="1" applyFill="1" applyNumberFormat="1">
      <alignment horizontal="center" vertical="center" wrapText="1"/>
    </xf>
    <xf numFmtId="49" fontId="0" fillId="0" borderId="39" xfId="0" applyFont="1" applyBorder="1" applyNumberFormat="1">
      <alignment horizontal="center" vertical="center" wrapText="1"/>
    </xf>
    <xf numFmtId="0" fontId="23" fillId="43" borderId="21" xfId="0" applyFont="1" applyFill="1" applyBorder="1" applyNumberFormat="1">
      <alignment horizontal="left" vertical="center" wrapText="1"/>
    </xf>
    <xf numFmtId="0" fontId="45" fillId="37" borderId="14" xfId="0" applyFont="1" applyFill="1" applyBorder="1" applyNumberFormat="1">
      <alignment horizontal="center" vertical="center" wrapText="1"/>
    </xf>
    <xf numFmtId="49" fontId="23" fillId="0" borderId="14" xfId="0" applyFont="1" applyBorder="1" applyNumberFormat="1">
      <alignment horizontal="center" vertical="center" wrapText="1"/>
    </xf>
    <xf numFmtId="49" fontId="23" fillId="42" borderId="14" xfId="0" applyFont="1" applyFill="1" applyBorder="1" applyNumberFormat="1">
      <alignment horizontal="left" vertical="center" wrapText="1"/>
      <protection locked="0"/>
    </xf>
    <xf numFmtId="3" fontId="23" fillId="42" borderId="14" xfId="0" applyFont="1" applyFill="1" applyBorder="1" applyNumberFormat="1">
      <alignment horizontal="right" vertical="center" wrapText="1"/>
      <protection locked="0"/>
    </xf>
    <xf numFmtId="0" fontId="55" fillId="0" borderId="0" xfId="0" applyFont="1" applyNumberFormat="1">
      <alignment vertical="center" wrapText="1"/>
    </xf>
    <xf numFmtId="0" fontId="55" fillId="0" borderId="0" xfId="0" applyFont="1" applyNumberFormat="1">
      <alignment vertical="center"/>
    </xf>
    <xf numFmtId="49" fontId="0" fillId="0" borderId="32" xfId="0" applyFont="1" applyBorder="1" applyNumberFormat="1">
      <alignment horizontal="center" vertical="center" wrapText="1"/>
    </xf>
    <xf numFmtId="0" fontId="23" fillId="43" borderId="29" xfId="0" applyFont="1" applyFill="1" applyBorder="1" applyNumberFormat="1">
      <alignment horizontal="left" vertical="center" wrapText="1"/>
    </xf>
    <xf numFmtId="0" fontId="93" fillId="0" borderId="0" xfId="0" applyFont="1" applyNumberFormat="1">
      <alignment vertical="center" wrapText="1"/>
    </xf>
    <xf numFmtId="0" fontId="55" fillId="0" borderId="0" xfId="0" applyFont="1" applyNumberFormat="1">
      <alignment vertical="center" wrapText="1"/>
    </xf>
    <xf numFmtId="0" fontId="45" fillId="37" borderId="0" xfId="0" applyFont="1" applyFill="1" applyNumberFormat="1">
      <alignment horizontal="center" vertical="center" wrapText="1"/>
    </xf>
    <xf numFmtId="0" fontId="23" fillId="0" borderId="21" xfId="0" applyFont="1" applyBorder="1" applyNumberFormat="1">
      <alignment horizontal="left" vertical="top" wrapText="1" indent="1"/>
    </xf>
    <xf numFmtId="0" fontId="69" fillId="0" borderId="0" xfId="0" applyFont="1" applyNumberFormat="1">
      <alignment vertical="center" wrapText="1"/>
    </xf>
    <xf numFmtId="0" fontId="65" fillId="0" borderId="0" xfId="0" applyFont="1" applyNumberFormat="1">
      <alignment vertical="center" wrapText="1"/>
    </xf>
    <xf numFmtId="0" fontId="63" fillId="0" borderId="0" xfId="0" applyFont="1" applyNumberFormat="1">
      <alignment vertical="center" wrapText="1"/>
    </xf>
    <xf numFmtId="0" fontId="23" fillId="0" borderId="25" xfId="0" applyFont="1" applyBorder="1" applyNumberFormat="1">
      <alignment horizontal="center" vertical="center" wrapText="1"/>
    </xf>
    <xf numFmtId="0" fontId="23" fillId="0" borderId="0" xfId="0" applyFont="1" applyNumberFormat="1">
      <alignment vertical="center" wrapText="1"/>
    </xf>
    <xf numFmtId="0" fontId="45" fillId="37" borderId="14" xfId="0" applyFont="1" applyFill="1" applyBorder="1" applyNumberFormat="1">
      <alignment horizontal="center" vertical="center" wrapText="1"/>
    </xf>
    <xf numFmtId="49" fontId="23" fillId="0" borderId="14" xfId="0" applyFont="1" applyBorder="1" applyNumberFormat="1">
      <alignment horizontal="center" vertical="center" wrapText="1"/>
    </xf>
    <xf numFmtId="0" fontId="40" fillId="0" borderId="0" xfId="0" applyFont="1" applyNumberFormat="1">
      <alignment vertical="center" wrapText="1"/>
    </xf>
    <xf numFmtId="0" fontId="23" fillId="0" borderId="0" xfId="0" applyFont="1" applyNumberFormat="1">
      <alignment vertical="center" wrapText="1"/>
    </xf>
    <xf numFmtId="0" fontId="55" fillId="0" borderId="0" xfId="0" applyFont="1" applyNumberFormat="1">
      <alignment vertical="center" wrapText="1"/>
    </xf>
    <xf numFmtId="0" fontId="65" fillId="37" borderId="0" xfId="0" applyFont="1" applyFill="1" applyNumberFormat="1">
      <alignment vertical="center" wrapText="1"/>
    </xf>
    <xf numFmtId="0" fontId="65" fillId="37" borderId="0" xfId="0" applyFont="1" applyFill="1" applyNumberFormat="1">
      <alignment horizontal="right" vertical="center"/>
    </xf>
    <xf numFmtId="0" fontId="65" fillId="37" borderId="0" xfId="0" applyFont="1" applyFill="1" applyNumberFormat="1">
      <alignment horizontal="right" vertical="center" wrapText="1"/>
    </xf>
    <xf numFmtId="0" fontId="23" fillId="0" borderId="22" xfId="0" applyFont="1" applyBorder="1" applyNumberFormat="1">
      <alignment horizontal="left" vertical="center" wrapText="1" indent="1"/>
    </xf>
    <xf numFmtId="0" fontId="23" fillId="0" borderId="19" xfId="0" applyFont="1" applyBorder="1" applyNumberFormat="1">
      <alignment horizontal="left" vertical="center" wrapText="1" indent="1"/>
    </xf>
    <xf numFmtId="0" fontId="23" fillId="0" borderId="39" xfId="0" applyFont="1" applyBorder="1" applyNumberFormat="1">
      <alignment horizontal="left" vertical="center" wrapText="1" indent="1"/>
    </xf>
    <xf numFmtId="0" fontId="22" fillId="0" borderId="0" xfId="0" applyFont="1" applyNumberFormat="1">
      <alignment horizontal="center" vertical="center" wrapText="1"/>
    </xf>
    <xf numFmtId="0" fontId="50" fillId="0" borderId="0" xfId="0" applyFont="1" applyNumberFormat="1">
      <alignment vertical="center" wrapText="1"/>
    </xf>
    <xf numFmtId="4" fontId="65" fillId="0" borderId="0" xfId="0" applyFont="1" applyNumberFormat="1">
      <alignment horizontal="right" vertical="center" wrapText="1"/>
    </xf>
    <xf numFmtId="0" fontId="23" fillId="37" borderId="14" xfId="0" applyFont="1" applyFill="1" applyBorder="1" applyNumberFormat="1">
      <alignment horizontal="center" vertical="center" wrapText="1"/>
    </xf>
    <xf numFmtId="0" fontId="23" fillId="37" borderId="14" xfId="0" applyFont="1" applyFill="1" applyBorder="1" applyNumberFormat="1">
      <alignment horizontal="center" vertical="center" wrapText="1"/>
    </xf>
    <xf numFmtId="0" fontId="23" fillId="0" borderId="14" xfId="0" applyFont="1" applyBorder="1" applyNumberFormat="1">
      <alignment horizontal="center" vertical="center" wrapText="1"/>
    </xf>
    <xf numFmtId="0" fontId="0" fillId="0" borderId="14" xfId="0" applyFont="1" applyBorder="1" applyNumberFormat="1">
      <alignment horizontal="center" vertical="center" wrapText="1"/>
    </xf>
    <xf numFmtId="49" fontId="44" fillId="37" borderId="17" xfId="0" applyFont="1" applyFill="1" applyBorder="1" applyNumberFormat="1">
      <alignment horizontal="center" vertical="center" wrapText="1"/>
    </xf>
    <xf numFmtId="49" fontId="44" fillId="37" borderId="17" xfId="0" applyFont="1" applyFill="1" applyBorder="1" applyNumberFormat="1">
      <alignment horizontal="center" vertical="center" wrapText="1"/>
    </xf>
    <xf numFmtId="0" fontId="23" fillId="0" borderId="0" xfId="0" applyFont="1" applyNumberFormat="1">
      <alignment vertical="center" wrapText="1"/>
    </xf>
    <xf numFmtId="0" fontId="45" fillId="37" borderId="0" xfId="0" applyFont="1" applyFill="1" applyNumberFormat="1">
      <alignment horizontal="center" vertical="center" wrapText="1"/>
    </xf>
    <xf numFmtId="0" fontId="23" fillId="0" borderId="14" xfId="0" applyFont="1" applyBorder="1" applyNumberFormat="1">
      <alignment horizontal="center" vertical="center" wrapText="1"/>
    </xf>
    <xf numFmtId="0" fontId="23" fillId="0" borderId="14" xfId="0" applyFont="1" applyBorder="1" applyNumberFormat="1">
      <alignment horizontal="center" vertical="center" wrapText="1"/>
    </xf>
    <xf numFmtId="49" fontId="23" fillId="0" borderId="14" xfId="0" applyFont="1" applyBorder="1" applyNumberFormat="1">
      <alignment horizontal="left" vertical="center" wrapText="1"/>
    </xf>
    <xf numFmtId="49" fontId="23" fillId="0" borderId="0" xfId="0" applyFont="1" applyNumberFormat="1">
      <alignment vertical="top"/>
    </xf>
    <xf numFmtId="0" fontId="45" fillId="37" borderId="26" xfId="0" applyFont="1" applyFill="1" applyBorder="1" applyNumberFormat="1">
      <alignment vertical="top" wrapText="1"/>
    </xf>
    <xf numFmtId="14"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14" fontId="86" fillId="40" borderId="17" xfId="0" applyFont="1" applyFill="1" applyBorder="1" applyNumberFormat="1">
      <alignment horizontal="center" vertical="center" wrapText="1"/>
    </xf>
    <xf numFmtId="49" fontId="34" fillId="40" borderId="15" xfId="0" applyFont="1" applyFill="1" applyBorder="1" applyNumberFormat="1">
      <alignment horizontal="left" vertical="center" wrapText="1"/>
    </xf>
    <xf numFmtId="0" fontId="0" fillId="0" borderId="38" xfId="0" applyFont="1" applyBorder="1" applyNumberFormat="1">
      <alignment horizontal="left" vertical="top" wrapText="1"/>
    </xf>
    <xf numFmtId="0" fontId="55" fillId="0" borderId="0" xfId="0" applyFont="1" applyNumberFormat="1">
      <alignment horizontal="left" vertical="center" wrapText="1"/>
    </xf>
    <xf numFmtId="49" fontId="55" fillId="0" borderId="0" xfId="0" applyFont="1" applyNumberFormat="1">
      <alignment horizontal="left" vertical="center" wrapText="1"/>
    </xf>
    <xf numFmtId="0" fontId="45" fillId="37" borderId="0" xfId="0" applyFont="1" applyFill="1" applyNumberFormat="1">
      <alignment vertical="top" wrapText="1"/>
    </xf>
    <xf numFmtId="0" fontId="55" fillId="37" borderId="25" xfId="0" applyFont="1" applyFill="1" applyBorder="1" applyNumberFormat="1">
      <alignment horizontal="center" vertical="center" wrapText="1"/>
    </xf>
    <xf numFmtId="14" fontId="23" fillId="43" borderId="25" xfId="0" applyFont="1" applyFill="1" applyBorder="1" applyNumberFormat="1">
      <alignment horizontal="left" vertical="center" wrapText="1"/>
    </xf>
    <xf numFmtId="14" fontId="23" fillId="43" borderId="14" xfId="0" applyFont="1" applyFill="1" applyBorder="1" applyNumberFormat="1">
      <alignment horizontal="center" vertical="center" wrapText="1"/>
    </xf>
    <xf numFmtId="49" fontId="34" fillId="42" borderId="14" xfId="0" applyFont="1" applyFill="1" applyBorder="1" applyNumberFormat="1">
      <alignment horizontal="left" vertical="center" wrapText="1"/>
      <protection locked="0"/>
    </xf>
    <xf numFmtId="49" fontId="36" fillId="40" borderId="17" xfId="0" applyFont="1" applyFill="1" applyBorder="1" applyNumberFormat="1">
      <alignment horizontal="center" vertical="center"/>
    </xf>
    <xf numFmtId="49" fontId="78" fillId="40" borderId="17" xfId="0" applyFont="1" applyFill="1" applyBorder="1" applyNumberFormat="1">
      <alignment horizontal="left" vertical="center" indent="1"/>
    </xf>
    <xf numFmtId="49" fontId="78" fillId="40" borderId="15" xfId="0" applyFont="1" applyFill="1" applyBorder="1" applyNumberFormat="1">
      <alignment horizontal="left" vertical="center" indent="1"/>
    </xf>
    <xf numFmtId="0" fontId="65" fillId="0" borderId="0" xfId="0" applyFont="1" applyNumberFormat="1">
      <alignment vertical="center" wrapText="1"/>
    </xf>
    <xf numFmtId="0" fontId="84" fillId="0" borderId="0" xfId="0" applyFont="1" applyNumberFormat="1">
      <alignment horizontal="center" vertical="center" wrapText="1"/>
    </xf>
    <xf numFmtId="0" fontId="53" fillId="0" borderId="0" xfId="0" applyFont="1" applyNumberFormat="1">
      <alignment vertical="top" wrapText="1"/>
    </xf>
    <xf numFmtId="0" fontId="23" fillId="0" borderId="0" xfId="0" applyFont="1" applyNumberFormat="1">
      <alignment horizontal="right" vertical="top" wrapText="1"/>
    </xf>
    <xf numFmtId="0" fontId="53" fillId="0" borderId="0" xfId="0" applyFont="1" applyNumberFormat="1">
      <alignment vertical="top"/>
    </xf>
    <xf numFmtId="0" fontId="23" fillId="0" borderId="0" xfId="0" applyFont="1" applyNumberFormat="1">
      <alignment vertical="center" wrapText="1"/>
    </xf>
    <xf numFmtId="0" fontId="54" fillId="0" borderId="0" xfId="0" applyFont="1" applyNumberFormat="1">
      <alignment horizontal="left" vertical="center" indent="1"/>
    </xf>
    <xf numFmtId="0" fontId="54" fillId="0" borderId="14" xfId="0" applyFont="1" applyBorder="1" applyNumberFormat="1">
      <alignment horizontal="center" vertical="center"/>
    </xf>
    <xf numFmtId="0" fontId="54" fillId="0" borderId="0" xfId="0" applyFont="1" applyNumberFormat="1">
      <alignment horizontal="center" vertical="center"/>
    </xf>
    <xf numFmtId="0" fontId="54" fillId="0" borderId="0" xfId="0" applyFont="1" applyNumberFormat="1">
      <alignment horizontal="left" vertical="center" wrapText="1"/>
    </xf>
    <xf numFmtId="49" fontId="23" fillId="0" borderId="0" xfId="0" applyFont="1" applyNumberFormat="1">
      <alignment vertical="center" wrapText="1"/>
    </xf>
    <xf numFmtId="49" fontId="23" fillId="0" borderId="0" xfId="0" applyFont="1" applyNumberFormat="1">
      <alignment vertical="top"/>
    </xf>
    <xf numFmtId="49" fontId="23" fillId="0" borderId="26" xfId="0" applyFont="1" applyBorder="1" applyNumberFormat="1">
      <alignment vertical="top"/>
    </xf>
    <xf numFmtId="0" fontId="23" fillId="37" borderId="14" xfId="0" applyFont="1" applyFill="1" applyBorder="1" applyNumberFormat="1">
      <alignment horizontal="left" vertical="center" wrapText="1"/>
    </xf>
    <xf numFmtId="0" fontId="23" fillId="0" borderId="14" xfId="0" applyFont="1" applyBorder="1" applyNumberFormat="1">
      <alignment vertical="center" wrapText="1"/>
    </xf>
    <xf numFmtId="0" fontId="23" fillId="0" borderId="14" xfId="0" applyFont="1" applyBorder="1" applyNumberFormat="1">
      <alignment horizontal="left" vertical="center" wrapText="1" indent="6"/>
    </xf>
    <xf numFmtId="0" fontId="23" fillId="38" borderId="16" xfId="0" applyFont="1" applyFill="1" applyBorder="1" applyNumberFormat="1">
      <alignment horizontal="left" vertical="center" wrapText="1"/>
    </xf>
    <xf numFmtId="0" fontId="23" fillId="38" borderId="17" xfId="0" applyFont="1" applyFill="1" applyBorder="1" applyNumberFormat="1">
      <alignment horizontal="left" vertical="center" wrapText="1"/>
    </xf>
    <xf numFmtId="0" fontId="23" fillId="38" borderId="15" xfId="0" applyFont="1" applyFill="1" applyBorder="1" applyNumberFormat="1">
      <alignment horizontal="left" vertical="center" wrapText="1"/>
    </xf>
    <xf numFmtId="0" fontId="53" fillId="0" borderId="14" xfId="0" applyFont="1" applyBorder="1" applyNumberFormat="1">
      <alignment vertical="top" wrapText="1"/>
    </xf>
    <xf numFmtId="0" fontId="54" fillId="0" borderId="16" xfId="0" applyFont="1" applyBorder="1" applyNumberFormat="1">
      <alignment horizontal="center" vertical="center"/>
    </xf>
    <xf numFmtId="0" fontId="23" fillId="0" borderId="0" xfId="0" applyFont="1" applyNumberFormat="1">
      <alignment horizontal="center" vertical="center" wrapText="1"/>
    </xf>
    <xf numFmtId="0" fontId="50" fillId="37" borderId="0" xfId="0" applyFont="1" applyFill="1" applyNumberFormat="1">
      <alignment horizontal="center" vertical="center" wrapText="1"/>
    </xf>
    <xf numFmtId="0" fontId="23" fillId="0" borderId="26" xfId="0" applyFont="1" applyBorder="1" applyNumberFormat="1">
      <alignment vertical="center" wrapText="1"/>
    </xf>
    <xf numFmtId="0" fontId="23" fillId="37" borderId="14" xfId="0" applyFont="1" applyFill="1" applyBorder="1" applyNumberFormat="1">
      <alignment horizontal="left" vertical="center" wrapText="1" indent="1"/>
    </xf>
    <xf numFmtId="0" fontId="45" fillId="0" borderId="0" xfId="0" applyFont="1" applyNumberFormat="1">
      <alignment vertical="center" wrapText="1"/>
    </xf>
    <xf numFmtId="0" fontId="23" fillId="37" borderId="14" xfId="0" applyFont="1" applyFill="1" applyBorder="1" applyNumberFormat="1">
      <alignment horizontal="left" vertical="center" wrapText="1" indent="2"/>
    </xf>
    <xf numFmtId="0" fontId="23" fillId="37" borderId="14" xfId="0" applyFont="1" applyFill="1" applyBorder="1" applyNumberFormat="1">
      <alignment horizontal="left" vertical="center" wrapText="1" indent="3"/>
    </xf>
    <xf numFmtId="0" fontId="54" fillId="0" borderId="14" xfId="0" applyFont="1" applyBorder="1" applyNumberFormat="1">
      <alignment horizontal="center" vertical="center" wrapText="1"/>
    </xf>
    <xf numFmtId="0" fontId="54" fillId="0" borderId="0" xfId="0" applyFont="1" applyNumberFormat="1">
      <alignment vertical="center" wrapText="1"/>
    </xf>
    <xf numFmtId="0" fontId="55" fillId="0" borderId="0" xfId="0" applyFont="1" applyNumberFormat="1">
      <alignment horizontal="center" vertical="center" wrapText="1"/>
    </xf>
    <xf numFmtId="0" fontId="55" fillId="0" borderId="0" xfId="0" applyFont="1" applyNumberFormat="1">
      <alignment horizontal="center" vertical="center" wrapText="1"/>
    </xf>
    <xf numFmtId="0" fontId="55" fillId="0" borderId="26" xfId="0" applyFont="1" applyBorder="1" applyNumberFormat="1">
      <alignment horizontal="center" vertical="center" wrapText="1"/>
    </xf>
    <xf numFmtId="0" fontId="23" fillId="37" borderId="14" xfId="0" applyFont="1" applyFill="1" applyBorder="1" applyNumberFormat="1">
      <alignment horizontal="left" vertical="center" wrapText="1" indent="4"/>
    </xf>
    <xf numFmtId="0" fontId="23" fillId="43" borderId="16" xfId="0" applyFont="1" applyFill="1" applyBorder="1" applyNumberFormat="1">
      <alignment horizontal="left" vertical="center" wrapText="1"/>
    </xf>
    <xf numFmtId="0" fontId="23" fillId="43" borderId="17" xfId="0" applyFont="1" applyFill="1" applyBorder="1" applyNumberFormat="1">
      <alignment horizontal="left" vertical="center" wrapText="1"/>
    </xf>
    <xf numFmtId="0" fontId="23" fillId="43" borderId="15" xfId="0" applyFont="1" applyFill="1" applyBorder="1" applyNumberFormat="1">
      <alignment horizontal="left" vertical="center" wrapText="1"/>
    </xf>
    <xf numFmtId="0" fontId="54" fillId="0" borderId="16" xfId="0" applyFont="1" applyBorder="1" applyNumberFormat="1">
      <alignment horizontal="center" vertical="center" wrapText="1"/>
    </xf>
    <xf numFmtId="0" fontId="54" fillId="0" borderId="0" xfId="0" applyFont="1" applyNumberFormat="1">
      <alignment vertical="center" wrapText="1"/>
    </xf>
    <xf numFmtId="0" fontId="55" fillId="0" borderId="26" xfId="0" applyFont="1" applyBorder="1" applyNumberFormat="1">
      <alignment vertical="center" wrapText="1"/>
    </xf>
    <xf numFmtId="0" fontId="23" fillId="37" borderId="14" xfId="0" applyFont="1" applyFill="1" applyBorder="1" applyNumberFormat="1">
      <alignment horizontal="left" vertical="center" wrapText="1" indent="5"/>
    </xf>
    <xf numFmtId="0" fontId="23" fillId="43" borderId="14" xfId="0" applyFont="1" applyFill="1" applyBorder="1" applyNumberFormat="1">
      <alignment horizontal="left" vertical="center" wrapText="1" indent="6"/>
    </xf>
    <xf numFmtId="4" fontId="23" fillId="39" borderId="14" xfId="0" applyFont="1" applyFill="1" applyBorder="1" applyNumberFormat="1">
      <alignment horizontal="right" vertical="center" wrapText="1"/>
      <protection locked="0"/>
    </xf>
    <xf numFmtId="4" fontId="23" fillId="0" borderId="14" xfId="0" applyFont="1" applyBorder="1" applyNumberFormat="1">
      <alignment horizontal="right" vertical="center" wrapText="1"/>
    </xf>
    <xf numFmtId="164" fontId="23" fillId="39" borderId="14" xfId="0" applyFont="1" applyFill="1" applyBorder="1" applyNumberFormat="1">
      <alignment horizontal="right" vertical="center" wrapText="1"/>
      <protection locked="0"/>
    </xf>
    <xf numFmtId="167" fontId="0" fillId="42" borderId="14" xfId="0" applyFont="1" applyFill="1" applyBorder="1" applyNumberFormat="1">
      <alignment horizontal="center" vertical="center" wrapText="1"/>
      <protection locked="0"/>
    </xf>
    <xf numFmtId="0" fontId="53" fillId="0" borderId="19" xfId="0" applyFont="1" applyBorder="1" applyNumberFormat="1">
      <alignment horizontal="left" vertical="top" wrapText="1"/>
    </xf>
    <xf numFmtId="49" fontId="23" fillId="0" borderId="14" xfId="0" applyFont="1" applyBorder="1" applyNumberFormat="1">
      <alignment horizontal="left" vertical="center" wrapText="1"/>
    </xf>
    <xf numFmtId="4" fontId="55" fillId="0" borderId="14" xfId="0" applyFont="1" applyBorder="1" applyNumberFormat="1">
      <alignment horizontal="center" vertical="center" wrapText="1"/>
    </xf>
    <xf numFmtId="49" fontId="0" fillId="42" borderId="14" xfId="0" applyFont="1" applyFill="1" applyBorder="1" applyNumberFormat="1">
      <alignment horizontal="center" vertical="center" wrapText="1"/>
      <protection locked="0"/>
    </xf>
    <xf numFmtId="0" fontId="53" fillId="0" borderId="38" xfId="0" applyFont="1" applyBorder="1" applyNumberFormat="1">
      <alignment horizontal="left" vertical="top" wrapText="1"/>
    </xf>
    <xf numFmtId="49" fontId="78" fillId="40" borderId="16" xfId="0" applyFont="1" applyFill="1" applyBorder="1" applyNumberFormat="1">
      <alignment horizontal="left" vertical="center"/>
    </xf>
    <xf numFmtId="49" fontId="48" fillId="40" borderId="17" xfId="0" applyFont="1" applyFill="1" applyBorder="1" applyNumberFormat="1">
      <alignment horizontal="left" vertical="center" indent="6"/>
    </xf>
    <xf numFmtId="49" fontId="23" fillId="40" borderId="15" xfId="0" applyFont="1" applyFill="1" applyBorder="1" applyNumberFormat="1">
      <alignment horizontal="center" vertical="center" wrapText="1"/>
    </xf>
    <xf numFmtId="0" fontId="53" fillId="0" borderId="25" xfId="0" applyFont="1" applyBorder="1" applyNumberFormat="1">
      <alignment horizontal="left" vertical="top" wrapText="1"/>
    </xf>
    <xf numFmtId="49" fontId="48" fillId="40" borderId="17" xfId="0" applyFont="1" applyFill="1" applyBorder="1" applyNumberFormat="1">
      <alignment horizontal="left" vertical="center" indent="5"/>
    </xf>
    <xf numFmtId="49" fontId="0" fillId="40" borderId="17" xfId="0" applyFont="1" applyFill="1" applyBorder="1" applyNumberFormat="1">
      <alignment horizontal="center" vertical="center" wrapText="1"/>
    </xf>
    <xf numFmtId="49" fontId="0" fillId="40" borderId="15" xfId="0" applyFont="1" applyFill="1" applyBorder="1" applyNumberFormat="1">
      <alignment horizontal="center" vertical="center" wrapText="1"/>
    </xf>
    <xf numFmtId="49" fontId="47" fillId="0" borderId="0" xfId="0" applyFont="1" applyNumberFormat="1">
      <alignment vertical="top"/>
    </xf>
    <xf numFmtId="49" fontId="48" fillId="40" borderId="17" xfId="0" applyFont="1" applyFill="1" applyBorder="1" applyNumberFormat="1">
      <alignment horizontal="left" vertical="center" indent="4"/>
    </xf>
    <xf numFmtId="0" fontId="55" fillId="0" borderId="0" xfId="0" applyFont="1" applyNumberFormat="1">
      <alignment vertical="center" wrapText="1"/>
    </xf>
    <xf numFmtId="0" fontId="55" fillId="0" borderId="0" xfId="0" applyFont="1" applyNumberFormat="1">
      <alignment horizontal="left" vertical="center" indent="1"/>
    </xf>
    <xf numFmtId="0" fontId="55" fillId="0" borderId="0" xfId="0" applyFont="1" applyNumberFormat="1">
      <alignment horizontal="center" vertical="center"/>
    </xf>
    <xf numFmtId="0" fontId="55" fillId="0" borderId="0" xfId="0" applyFont="1" applyNumberFormat="1">
      <alignment horizontal="left" vertical="center" wrapText="1"/>
    </xf>
    <xf numFmtId="49" fontId="55" fillId="0" borderId="0" xfId="0" applyFont="1" applyNumberFormat="1">
      <alignment vertical="top"/>
    </xf>
    <xf numFmtId="49" fontId="112" fillId="0" borderId="0" xfId="0" applyFont="1" applyNumberFormat="1">
      <alignment vertical="top"/>
    </xf>
    <xf numFmtId="49" fontId="102" fillId="0" borderId="21" xfId="0" applyFont="1" applyBorder="1" applyNumberFormat="1">
      <alignment horizontal="left" vertical="center"/>
    </xf>
    <xf numFmtId="49" fontId="55" fillId="0" borderId="21" xfId="0" applyFont="1" applyBorder="1" applyNumberFormat="1">
      <alignment horizontal="left" vertical="center" indent="3"/>
    </xf>
    <xf numFmtId="49" fontId="55" fillId="0" borderId="21" xfId="0" applyFont="1" applyBorder="1" applyNumberFormat="1">
      <alignment horizontal="center" vertical="center" wrapText="1"/>
    </xf>
    <xf numFmtId="49" fontId="55" fillId="0" borderId="0" xfId="0" applyFont="1" applyNumberFormat="1">
      <alignment horizontal="left" vertical="center"/>
    </xf>
    <xf numFmtId="49" fontId="102" fillId="0" borderId="0" xfId="0" applyFont="1" applyNumberFormat="1">
      <alignment horizontal="left" vertical="center"/>
    </xf>
    <xf numFmtId="49" fontId="55" fillId="0" borderId="0" xfId="0" applyFont="1" applyNumberFormat="1">
      <alignment horizontal="left" vertical="center" indent="2"/>
    </xf>
    <xf numFmtId="49" fontId="55" fillId="0" borderId="0" xfId="0" applyFont="1" applyNumberFormat="1">
      <alignment horizontal="center" vertical="center" wrapText="1"/>
    </xf>
    <xf numFmtId="49" fontId="55" fillId="0" borderId="0" xfId="0" applyFont="1" applyNumberFormat="1">
      <alignment horizontal="left" vertical="center" indent="1"/>
    </xf>
    <xf numFmtId="49" fontId="23" fillId="0" borderId="0" xfId="0" applyFont="1" applyNumberFormat="1">
      <alignment vertical="center" wrapText="1"/>
    </xf>
    <xf numFmtId="4" fontId="54" fillId="0" borderId="14" xfId="0" applyFont="1" applyBorder="1" applyNumberFormat="1">
      <alignment horizontal="right" vertical="center" wrapText="1"/>
    </xf>
    <xf numFmtId="164" fontId="54" fillId="0" borderId="14" xfId="0" applyFont="1" applyBorder="1" applyNumberFormat="1">
      <alignment horizontal="right" vertical="center" wrapText="1"/>
    </xf>
    <xf numFmtId="167" fontId="54" fillId="0" borderId="14" xfId="0" applyFont="1" applyBorder="1" applyNumberFormat="1">
      <alignment horizontal="center" vertical="center" wrapText="1"/>
    </xf>
    <xf numFmtId="49" fontId="54" fillId="0" borderId="14" xfId="0" applyFont="1" applyBorder="1" applyNumberFormat="1">
      <alignment horizontal="center" vertical="center" wrapText="1"/>
    </xf>
    <xf numFmtId="0" fontId="54" fillId="0" borderId="0" xfId="0" applyFont="1" applyNumberFormat="1">
      <alignment vertical="center" wrapText="1"/>
    </xf>
    <xf numFmtId="0" fontId="54" fillId="0" borderId="0" xfId="0" applyFont="1" applyNumberFormat="1">
      <alignment horizontal="center" vertical="center" wrapText="1"/>
    </xf>
    <xf numFmtId="49" fontId="54" fillId="0" borderId="0" xfId="0" applyFont="1" applyNumberFormat="1">
      <alignment vertical="center" wrapText="1"/>
    </xf>
    <xf numFmtId="49" fontId="54" fillId="0" borderId="14" xfId="0" applyFont="1" applyBorder="1" applyNumberFormat="1">
      <alignment vertical="center" wrapText="1"/>
    </xf>
    <xf numFmtId="0" fontId="74" fillId="0" borderId="0" xfId="0" applyFont="1" applyNumberFormat="1">
      <alignment vertical="center" wrapText="1"/>
    </xf>
    <xf numFmtId="0" fontId="54" fillId="0" borderId="0" xfId="0" applyFont="1" applyNumberFormat="1">
      <alignment horizontal="left" vertical="center" wrapText="1"/>
    </xf>
    <xf numFmtId="0" fontId="54" fillId="0" borderId="0" xfId="0" applyFont="1" applyNumberFormat="1">
      <alignment vertical="center" wrapText="1"/>
    </xf>
    <xf numFmtId="0" fontId="47" fillId="37" borderId="0" xfId="0" applyFont="1" applyFill="1" applyNumberFormat="1">
      <alignment vertical="center" wrapText="1"/>
    </xf>
    <xf numFmtId="0" fontId="23" fillId="37" borderId="0" xfId="0" applyFont="1" applyFill="1" applyNumberFormat="1">
      <alignment horizontal="left" vertical="center" wrapText="1"/>
    </xf>
    <xf numFmtId="0" fontId="23" fillId="37" borderId="0" xfId="0" applyFont="1" applyFill="1" applyNumberFormat="1">
      <alignment vertical="center" wrapText="1"/>
    </xf>
    <xf numFmtId="0" fontId="23" fillId="0" borderId="21" xfId="0" applyFont="1" applyBorder="1" applyNumberFormat="1">
      <alignment horizontal="left" vertical="top" wrapText="1" indent="1"/>
    </xf>
    <xf numFmtId="0" fontId="22" fillId="0" borderId="0" xfId="0" applyFont="1" applyNumberFormat="1">
      <alignment vertical="center" wrapText="1"/>
    </xf>
    <xf numFmtId="0" fontId="23" fillId="0" borderId="29" xfId="0" applyFont="1" applyBorder="1" applyNumberFormat="1">
      <alignment horizontal="left" vertical="center" wrapText="1" indent="1"/>
    </xf>
    <xf numFmtId="0" fontId="36" fillId="37" borderId="0" xfId="0" applyFont="1" applyFill="1" applyNumberFormat="1">
      <alignment horizontal="center" vertical="center" wrapText="1"/>
    </xf>
    <xf numFmtId="0" fontId="0" fillId="0" borderId="0" xfId="0" applyFont="1" applyNumberFormat="1">
      <alignment vertical="center"/>
    </xf>
    <xf numFmtId="0" fontId="54" fillId="0" borderId="0" xfId="0" applyFont="1" applyNumberFormat="1">
      <alignment vertical="center"/>
    </xf>
    <xf numFmtId="0" fontId="54" fillId="0" borderId="0" xfId="0" applyFont="1" applyNumberFormat="1">
      <alignment horizontal="center" vertical="center"/>
    </xf>
    <xf numFmtId="0" fontId="0" fillId="37" borderId="14" xfId="0" applyFont="1" applyFill="1" applyBorder="1" applyNumberFormat="1">
      <alignment horizontal="right" vertical="center" wrapText="1" indent="1"/>
    </xf>
    <xf numFmtId="0" fontId="0" fillId="0" borderId="17" xfId="0" applyFont="1" applyBorder="1" applyNumberFormat="1">
      <alignment vertical="center"/>
    </xf>
    <xf numFmtId="0" fontId="23" fillId="38" borderId="14" xfId="0" applyFont="1" applyFill="1" applyBorder="1" applyNumberFormat="1">
      <alignment horizontal="left" vertical="center" wrapText="1" indent="1"/>
    </xf>
    <xf numFmtId="0" fontId="23" fillId="0" borderId="0" xfId="0" applyFont="1" applyNumberFormat="1">
      <alignment vertical="center" wrapText="1"/>
    </xf>
    <xf numFmtId="0" fontId="73" fillId="0" borderId="0" xfId="0" applyFont="1" applyNumberFormat="1">
      <alignment vertical="center"/>
    </xf>
    <xf numFmtId="0" fontId="55" fillId="0" borderId="0" xfId="0" applyFont="1" applyNumberFormat="1">
      <alignment vertical="center"/>
    </xf>
    <xf numFmtId="167" fontId="23" fillId="38" borderId="14" xfId="0" applyFont="1" applyFill="1" applyBorder="1" applyNumberFormat="1">
      <alignment horizontal="left" vertical="center" wrapText="1" indent="1"/>
    </xf>
    <xf numFmtId="49" fontId="23" fillId="0" borderId="0" xfId="0" applyFont="1" applyNumberFormat="1">
      <alignment vertical="center" wrapText="1"/>
    </xf>
    <xf numFmtId="0" fontId="23" fillId="0" borderId="0" xfId="0" applyFont="1" applyNumberFormat="1">
      <alignment horizontal="right" vertical="center" wrapText="1"/>
    </xf>
    <xf numFmtId="0" fontId="55" fillId="0" borderId="0" xfId="0" applyFont="1" applyNumberFormat="1">
      <alignment vertical="center" wrapText="1"/>
    </xf>
    <xf numFmtId="0" fontId="23" fillId="37" borderId="29" xfId="0" applyFont="1" applyFill="1" applyBorder="1" applyNumberFormat="1">
      <alignment vertical="center" wrapText="1"/>
    </xf>
    <xf numFmtId="0" fontId="45" fillId="0" borderId="29" xfId="0" applyFont="1" applyBorder="1" applyNumberFormat="1">
      <alignment horizontal="center" vertical="center" wrapText="1"/>
    </xf>
    <xf numFmtId="0" fontId="23" fillId="37" borderId="14" xfId="0" applyFont="1" applyFill="1" applyBorder="1" applyNumberFormat="1">
      <alignment horizontal="left" vertical="center" wrapText="1"/>
    </xf>
    <xf numFmtId="0" fontId="23" fillId="0" borderId="19" xfId="0" applyFont="1" applyBorder="1" applyNumberFormat="1">
      <alignment vertical="center" wrapText="1"/>
    </xf>
    <xf numFmtId="0" fontId="0" fillId="37" borderId="16" xfId="0" applyFont="1" applyFill="1" applyBorder="1" applyNumberFormat="1">
      <alignment horizontal="center" vertical="center" wrapText="1"/>
    </xf>
    <xf numFmtId="0" fontId="0" fillId="37" borderId="17" xfId="0" applyFont="1" applyFill="1" applyBorder="1" applyNumberFormat="1">
      <alignment horizontal="center" vertical="center" wrapText="1"/>
    </xf>
    <xf numFmtId="0" fontId="0" fillId="37" borderId="15" xfId="0" applyFont="1" applyFill="1" applyBorder="1" applyNumberFormat="1">
      <alignment horizontal="center" vertical="center" wrapText="1"/>
    </xf>
    <xf numFmtId="0" fontId="23" fillId="37" borderId="19" xfId="0" applyFont="1" applyFill="1" applyBorder="1" applyNumberFormat="1">
      <alignment horizontal="center" vertical="center" wrapText="1"/>
    </xf>
    <xf numFmtId="49" fontId="48" fillId="40" borderId="19" xfId="0" applyFont="1" applyFill="1" applyBorder="1" applyNumberFormat="1">
      <alignment horizontal="center" vertical="center" textRotation="90" wrapText="1"/>
    </xf>
    <xf numFmtId="0" fontId="23" fillId="0" borderId="38" xfId="0" applyFont="1" applyBorder="1" applyNumberFormat="1">
      <alignment vertical="center" wrapText="1"/>
    </xf>
    <xf numFmtId="0" fontId="23" fillId="0" borderId="19" xfId="0" applyFont="1" applyBorder="1" applyNumberFormat="1">
      <alignment horizontal="center" vertical="center" wrapText="1"/>
    </xf>
    <xf numFmtId="0" fontId="54" fillId="0" borderId="19" xfId="0" applyFont="1" applyBorder="1" applyNumberFormat="1">
      <alignment horizontal="center" vertical="center" wrapText="1"/>
    </xf>
    <xf numFmtId="0" fontId="23" fillId="0" borderId="16" xfId="0" applyFont="1" applyBorder="1" applyNumberFormat="1">
      <alignment horizontal="center" vertical="center" wrapText="1"/>
    </xf>
    <xf numFmtId="0" fontId="23" fillId="0" borderId="15" xfId="0" applyFont="1" applyBorder="1" applyNumberFormat="1">
      <alignment horizontal="center" vertical="center" wrapText="1"/>
    </xf>
    <xf numFmtId="0" fontId="23" fillId="0" borderId="17" xfId="0" applyFont="1" applyBorder="1" applyNumberFormat="1">
      <alignment horizontal="center" vertical="center" wrapText="1"/>
    </xf>
    <xf numFmtId="0" fontId="23" fillId="37" borderId="38" xfId="0" applyFont="1" applyFill="1" applyBorder="1" applyNumberFormat="1">
      <alignment horizontal="center" vertical="center" wrapText="1"/>
    </xf>
    <xf numFmtId="49" fontId="48" fillId="40" borderId="38" xfId="0" applyFont="1" applyFill="1" applyBorder="1" applyNumberFormat="1">
      <alignment horizontal="center" vertical="center" textRotation="90" wrapText="1"/>
    </xf>
    <xf numFmtId="0" fontId="54" fillId="0" borderId="0" xfId="0" applyFont="1" applyNumberFormat="1">
      <alignment vertical="center"/>
    </xf>
    <xf numFmtId="0" fontId="23" fillId="0" borderId="25" xfId="0" applyFont="1" applyBorder="1" applyNumberFormat="1">
      <alignment vertical="center" wrapText="1"/>
    </xf>
    <xf numFmtId="0" fontId="23" fillId="0" borderId="25" xfId="0" applyFont="1" applyBorder="1" applyNumberFormat="1">
      <alignment horizontal="center" vertical="center" wrapText="1"/>
    </xf>
    <xf numFmtId="0" fontId="54" fillId="0" borderId="25" xfId="0" applyFont="1" applyBorder="1" applyNumberFormat="1">
      <alignment horizontal="center" vertical="center" wrapText="1"/>
    </xf>
    <xf numFmtId="0" fontId="0" fillId="0" borderId="14" xfId="0" applyFont="1" applyBorder="1" applyNumberFormat="1">
      <alignment horizontal="center" vertical="center" wrapText="1"/>
    </xf>
    <xf numFmtId="0" fontId="0" fillId="0" borderId="14" xfId="0" applyFont="1" applyBorder="1" applyNumberFormat="1">
      <alignment horizontal="center" vertical="center" wrapText="1"/>
    </xf>
    <xf numFmtId="0" fontId="0" fillId="0" borderId="16" xfId="0" applyFont="1" applyBorder="1" applyNumberFormat="1">
      <alignment horizontal="center" vertical="center" wrapText="1"/>
    </xf>
    <xf numFmtId="0" fontId="0" fillId="0" borderId="15" xfId="0" applyFont="1" applyBorder="1" applyNumberFormat="1">
      <alignment horizontal="center" vertical="center" wrapText="1"/>
    </xf>
    <xf numFmtId="0" fontId="23" fillId="37" borderId="25" xfId="0" applyFont="1" applyFill="1" applyBorder="1" applyNumberFormat="1">
      <alignment horizontal="center" vertical="center" wrapText="1"/>
    </xf>
    <xf numFmtId="0" fontId="0" fillId="0" borderId="14" xfId="0" applyFont="1" applyBorder="1" applyNumberFormat="1">
      <alignment horizontal="center" vertical="center" wrapText="1"/>
    </xf>
    <xf numFmtId="49" fontId="48" fillId="40" borderId="25" xfId="0" applyFont="1" applyFill="1" applyBorder="1" applyNumberFormat="1">
      <alignment horizontal="center" vertical="center" textRotation="90" wrapText="1"/>
    </xf>
    <xf numFmtId="49" fontId="77" fillId="0" borderId="0" xfId="0" applyFont="1" applyNumberFormat="1">
      <alignment vertical="center" wrapText="1"/>
    </xf>
    <xf numFmtId="0" fontId="111" fillId="37" borderId="0" xfId="0" applyFont="1" applyFill="1" applyNumberFormat="1">
      <alignment vertical="center" wrapText="1"/>
    </xf>
    <xf numFmtId="0" fontId="112" fillId="37" borderId="0" xfId="0" applyFont="1" applyFill="1" applyNumberFormat="1">
      <alignment vertical="center" wrapText="1"/>
    </xf>
    <xf numFmtId="49" fontId="85" fillId="37" borderId="21" xfId="0" applyFont="1" applyFill="1" applyBorder="1" applyNumberFormat="1">
      <alignment horizontal="left" vertical="center" wrapText="1"/>
    </xf>
    <xf numFmtId="49" fontId="85" fillId="37" borderId="21" xfId="0" applyFont="1" applyFill="1" applyBorder="1" applyNumberFormat="1">
      <alignment horizontal="center" vertical="center" wrapText="1"/>
    </xf>
    <xf numFmtId="0" fontId="55" fillId="37" borderId="21" xfId="0" applyFont="1" applyFill="1" applyBorder="1" applyNumberFormat="1">
      <alignment horizontal="center" vertical="center" wrapText="1"/>
    </xf>
    <xf numFmtId="0" fontId="85" fillId="37" borderId="21" xfId="0" applyFont="1" applyFill="1" applyBorder="1" applyNumberFormat="1">
      <alignment horizontal="center" vertical="center" wrapText="1"/>
    </xf>
    <xf numFmtId="0" fontId="85" fillId="37" borderId="21" xfId="0" applyFont="1" applyFill="1" applyBorder="1" applyNumberFormat="1">
      <alignment horizontal="center" vertical="center" wrapText="1"/>
    </xf>
    <xf numFmtId="0" fontId="85" fillId="37" borderId="21" xfId="0" applyFont="1" applyFill="1" applyBorder="1" applyNumberFormat="1">
      <alignment horizontal="center" vertical="center" wrapText="1"/>
    </xf>
    <xf numFmtId="0" fontId="23" fillId="37" borderId="14" xfId="0" applyFont="1" applyFill="1" applyBorder="1" applyNumberFormat="1">
      <alignment horizontal="left" vertical="center" wrapText="1"/>
    </xf>
    <xf numFmtId="0" fontId="23" fillId="0" borderId="0" xfId="0" applyFont="1" applyNumberFormat="1">
      <alignment horizontal="center" vertical="center" wrapText="1"/>
    </xf>
    <xf numFmtId="0" fontId="55" fillId="0" borderId="0" xfId="0" applyFont="1" applyNumberFormat="1">
      <alignment horizontal="center" vertical="center" wrapText="1"/>
    </xf>
    <xf numFmtId="167" fontId="0" fillId="42" borderId="19" xfId="0" applyFont="1" applyFill="1" applyBorder="1" applyNumberFormat="1">
      <alignment horizontal="center" vertical="center" wrapText="1"/>
      <protection locked="0"/>
    </xf>
    <xf numFmtId="4" fontId="23" fillId="0" borderId="19" xfId="0" applyFont="1" applyBorder="1" applyNumberFormat="1">
      <alignment horizontal="right" vertical="center" wrapText="1"/>
    </xf>
    <xf numFmtId="49" fontId="23" fillId="0" borderId="14" xfId="0" applyFont="1" applyBorder="1" applyNumberFormat="1">
      <alignment horizontal="left" vertical="center" wrapText="1"/>
    </xf>
    <xf numFmtId="49" fontId="0" fillId="42" borderId="25" xfId="0" applyFont="1" applyFill="1" applyBorder="1" applyNumberFormat="1">
      <alignment horizontal="center" vertical="center" wrapText="1"/>
      <protection locked="0"/>
    </xf>
    <xf numFmtId="4" fontId="23" fillId="0" borderId="25" xfId="0" applyFont="1" applyBorder="1" applyNumberFormat="1">
      <alignment horizontal="right" vertical="center" wrapText="1"/>
    </xf>
    <xf numFmtId="0" fontId="55" fillId="0" borderId="0" xfId="0" applyFont="1" applyNumberFormat="1">
      <alignment horizontal="left" vertical="center" indent="1"/>
    </xf>
    <xf numFmtId="0" fontId="55" fillId="0" borderId="0" xfId="0" applyFont="1" applyNumberFormat="1">
      <alignment vertical="center" wrapText="1"/>
    </xf>
    <xf numFmtId="0" fontId="55" fillId="0" borderId="0" xfId="0" applyFont="1" applyNumberFormat="1">
      <alignment horizontal="center" vertical="center"/>
    </xf>
    <xf numFmtId="0" fontId="55" fillId="0" borderId="0" xfId="0" applyFont="1" applyNumberFormat="1">
      <alignment vertical="center" wrapText="1"/>
    </xf>
    <xf numFmtId="49" fontId="55" fillId="0" borderId="0" xfId="0" applyFont="1" applyNumberFormat="1">
      <alignment vertical="top"/>
    </xf>
    <xf numFmtId="49" fontId="112" fillId="0" borderId="0" xfId="0" applyFont="1" applyNumberFormat="1">
      <alignment vertical="top"/>
    </xf>
    <xf numFmtId="0" fontId="23" fillId="0" borderId="0" xfId="0" applyFont="1" applyNumberFormat="1">
      <alignment horizontal="right" vertical="top" wrapText="1"/>
    </xf>
    <xf numFmtId="0" fontId="23" fillId="0" borderId="0" xfId="0" applyFont="1" applyNumberFormat="1">
      <alignment horizontal="left" vertical="top" wrapText="1"/>
    </xf>
    <xf numFmtId="49" fontId="23" fillId="0" borderId="0" xfId="0" applyFont="1" applyNumberFormat="1">
      <alignment vertical="center" wrapText="1"/>
    </xf>
    <xf numFmtId="0" fontId="54" fillId="0" borderId="0" xfId="0" applyFont="1" applyNumberFormat="1">
      <alignment horizontal="center" vertical="center" wrapText="1"/>
    </xf>
    <xf numFmtId="49" fontId="54" fillId="0" borderId="0" xfId="0" applyFont="1" applyNumberFormat="1">
      <alignment vertical="center" wrapText="1"/>
    </xf>
    <xf numFmtId="49" fontId="23" fillId="0" borderId="0" xfId="0" applyFont="1" applyNumberFormat="1">
      <alignment vertical="center" wrapText="1"/>
    </xf>
    <xf numFmtId="0" fontId="47" fillId="0" borderId="0" xfId="0" applyFont="1" applyNumberFormat="1">
      <alignment vertical="center" wrapText="1"/>
    </xf>
    <xf numFmtId="0" fontId="23" fillId="0" borderId="0" xfId="0" applyFont="1" applyNumberFormat="1">
      <alignment horizontal="left" vertical="center" wrapText="1"/>
    </xf>
    <xf numFmtId="0" fontId="23" fillId="0" borderId="0" xfId="0" applyFont="1" applyNumberFormat="1">
      <alignment vertical="center" wrapText="1"/>
    </xf>
    <xf numFmtId="0" fontId="23" fillId="37" borderId="14" xfId="0" applyFont="1" applyFill="1" applyBorder="1" applyNumberFormat="1">
      <alignment horizontal="left" vertical="center" wrapText="1"/>
    </xf>
    <xf numFmtId="0" fontId="23" fillId="0" borderId="0" xfId="0" applyFont="1" applyNumberFormat="1">
      <alignment horizontal="center" vertical="center" wrapText="1"/>
    </xf>
    <xf numFmtId="0" fontId="55" fillId="0" borderId="0" xfId="0" applyFont="1" applyNumberFormat="1">
      <alignment horizontal="center" vertical="center" wrapText="1"/>
    </xf>
    <xf numFmtId="49" fontId="23" fillId="0" borderId="14" xfId="0" applyFont="1" applyBorder="1" applyNumberFormat="1">
      <alignment horizontal="left" vertical="center" wrapText="1"/>
    </xf>
    <xf numFmtId="0" fontId="23" fillId="0" borderId="0" xfId="0" applyFont="1" applyNumberFormat="1">
      <alignment horizontal="right" vertical="center" wrapText="1"/>
    </xf>
    <xf numFmtId="0" fontId="0" fillId="0" borderId="14" xfId="0" applyFont="1" applyBorder="1" applyNumberFormat="1">
      <alignment horizontal="center" vertical="center" wrapText="1"/>
    </xf>
    <xf numFmtId="0" fontId="85" fillId="37" borderId="21" xfId="0" applyFont="1" applyFill="1" applyBorder="1" applyNumberFormat="1">
      <alignment horizontal="center" vertical="center" wrapText="1"/>
    </xf>
    <xf numFmtId="49" fontId="23" fillId="0" borderId="0" xfId="0" applyFont="1" applyNumberFormat="1">
      <alignment vertical="center" wrapText="1"/>
    </xf>
    <xf numFmtId="0" fontId="23" fillId="0" borderId="14" xfId="0" applyFont="1" applyBorder="1" applyNumberFormat="1">
      <alignment horizontal="center" vertical="center"/>
    </xf>
    <xf numFmtId="0" fontId="23" fillId="0" borderId="0" xfId="0" applyFont="1" applyNumberFormat="1">
      <alignment horizontal="center" vertical="center"/>
    </xf>
    <xf numFmtId="0" fontId="23" fillId="37" borderId="14" xfId="0" applyFont="1" applyFill="1" applyBorder="1" applyNumberFormat="1">
      <alignment horizontal="left" vertical="center" wrapText="1"/>
    </xf>
    <xf numFmtId="0" fontId="23" fillId="0" borderId="14" xfId="0" applyFont="1" applyBorder="1" applyNumberFormat="1">
      <alignment vertical="center" wrapText="1"/>
    </xf>
    <xf numFmtId="0" fontId="23" fillId="0" borderId="16" xfId="0" applyFont="1" applyBorder="1" applyNumberFormat="1">
      <alignment horizontal="center" vertical="center"/>
    </xf>
    <xf numFmtId="0" fontId="23" fillId="0" borderId="0" xfId="0" applyFont="1" applyNumberFormat="1">
      <alignment horizontal="center" vertical="center" wrapText="1"/>
    </xf>
    <xf numFmtId="0" fontId="23" fillId="37" borderId="14" xfId="0" applyFont="1" applyFill="1" applyBorder="1" applyNumberFormat="1">
      <alignment horizontal="left" vertical="center" wrapText="1" indent="1"/>
    </xf>
    <xf numFmtId="0" fontId="23" fillId="0" borderId="0" xfId="0" applyFont="1" applyNumberFormat="1">
      <alignment vertical="center" wrapText="1"/>
    </xf>
    <xf numFmtId="0" fontId="55" fillId="0" borderId="0" xfId="0" applyFont="1" applyNumberFormat="1">
      <alignment horizontal="center" vertical="center" wrapText="1"/>
    </xf>
    <xf numFmtId="0" fontId="55" fillId="0" borderId="0" xfId="0" applyFont="1" applyNumberFormat="1">
      <alignment vertical="center" wrapText="1"/>
    </xf>
    <xf numFmtId="49" fontId="23" fillId="0" borderId="14" xfId="0" applyFont="1" applyBorder="1" applyNumberFormat="1">
      <alignment horizontal="left" vertical="center" wrapText="1"/>
    </xf>
    <xf numFmtId="0" fontId="55" fillId="0" borderId="0" xfId="0" applyFont="1" applyNumberFormat="1">
      <alignment vertical="center" wrapText="1"/>
    </xf>
    <xf numFmtId="0" fontId="77" fillId="0" borderId="0" xfId="0" applyFont="1" applyNumberFormat="1">
      <alignment horizontal="left" vertical="center" indent="1"/>
    </xf>
    <xf numFmtId="0" fontId="77" fillId="0" borderId="0" xfId="0" applyFont="1" applyNumberFormat="1">
      <alignment horizontal="center" vertical="center"/>
    </xf>
    <xf numFmtId="0" fontId="77" fillId="0" borderId="0" xfId="0" applyFont="1" applyNumberFormat="1">
      <alignment horizontal="left" vertical="center" wrapText="1"/>
    </xf>
    <xf numFmtId="0" fontId="77" fillId="0" borderId="0" xfId="0" applyFont="1" applyNumberFormat="1">
      <alignment vertical="center" wrapText="1"/>
    </xf>
    <xf numFmtId="0" fontId="55" fillId="0" borderId="0" xfId="0" applyFont="1" applyNumberFormat="1">
      <alignment vertical="center"/>
    </xf>
    <xf numFmtId="49" fontId="77" fillId="0" borderId="0" xfId="0" applyFont="1" applyNumberFormat="1">
      <alignment horizontal="left" vertical="center"/>
    </xf>
    <xf numFmtId="0" fontId="54" fillId="0" borderId="0" xfId="0" applyFont="1" applyNumberFormat="1">
      <alignment vertical="center" wrapText="1"/>
    </xf>
    <xf numFmtId="0" fontId="23" fillId="0" borderId="0" xfId="0" applyFont="1" applyNumberFormat="1">
      <alignment horizontal="center" vertical="center" wrapText="1"/>
    </xf>
    <xf numFmtId="49" fontId="23" fillId="0" borderId="0" xfId="0" applyFont="1" applyNumberFormat="1">
      <alignment vertical="center" wrapText="1"/>
    </xf>
    <xf numFmtId="49" fontId="23" fillId="0" borderId="14" xfId="0" applyFont="1" applyBorder="1" applyNumberFormat="1">
      <alignment vertical="center" wrapText="1"/>
    </xf>
    <xf numFmtId="0" fontId="23" fillId="0" borderId="0" xfId="0" applyFont="1" applyNumberFormat="1">
      <alignment vertical="center"/>
    </xf>
    <xf numFmtId="0" fontId="23" fillId="0" borderId="0" xfId="0" applyFont="1" applyNumberFormat="1">
      <alignment horizontal="center" vertical="center"/>
    </xf>
    <xf numFmtId="0" fontId="23" fillId="0" borderId="0" xfId="0" applyFont="1" applyNumberFormat="1">
      <alignment horizontal="right" vertical="center" wrapText="1"/>
    </xf>
    <xf numFmtId="0" fontId="55" fillId="0" borderId="0" xfId="0" applyFont="1" applyNumberFormat="1">
      <alignment vertical="center" wrapText="1"/>
    </xf>
    <xf numFmtId="0" fontId="23" fillId="0" borderId="19" xfId="0" applyFont="1" applyBorder="1" applyNumberFormat="1">
      <alignment vertical="center" wrapText="1"/>
    </xf>
    <xf numFmtId="0" fontId="0" fillId="0" borderId="14" xfId="0" applyFont="1" applyBorder="1" applyNumberFormat="1">
      <alignment horizontal="center" vertical="center" wrapText="1"/>
    </xf>
    <xf numFmtId="0" fontId="77" fillId="0" borderId="0" xfId="0" applyFont="1" applyNumberFormat="1">
      <alignment vertical="center" wrapText="1"/>
    </xf>
    <xf numFmtId="0" fontId="85" fillId="37" borderId="21" xfId="0" applyFont="1" applyFill="1" applyBorder="1" applyNumberFormat="1">
      <alignment horizontal="center" vertical="center" wrapText="1"/>
    </xf>
    <xf numFmtId="0" fontId="77" fillId="0" borderId="0" xfId="0" applyFont="1" applyNumberFormat="1">
      <alignment horizontal="left" vertical="center" indent="1"/>
    </xf>
    <xf numFmtId="0" fontId="55" fillId="0" borderId="0" xfId="0" applyFont="1" applyNumberFormat="1">
      <alignment vertical="center" wrapText="1"/>
    </xf>
    <xf numFmtId="0" fontId="77" fillId="0" borderId="0" xfId="0" applyFont="1" applyNumberFormat="1">
      <alignment horizontal="center" vertical="center"/>
    </xf>
    <xf numFmtId="0" fontId="23" fillId="0" borderId="0" xfId="0" applyFont="1" applyNumberFormat="1">
      <alignment vertical="center" wrapText="1"/>
    </xf>
    <xf numFmtId="0" fontId="23" fillId="0" borderId="0" xfId="0" applyFont="1" applyNumberFormat="1">
      <alignment horizontal="center" vertical="center" wrapText="1"/>
    </xf>
    <xf numFmtId="49" fontId="23" fillId="0" borderId="0" xfId="0" applyFont="1" applyNumberFormat="1">
      <alignment vertical="center" wrapText="1"/>
    </xf>
    <xf numFmtId="0" fontId="23" fillId="0" borderId="0" xfId="0" applyFont="1" applyNumberFormat="1">
      <alignment horizontal="left" vertical="center" indent="1"/>
    </xf>
    <xf numFmtId="49" fontId="23" fillId="0" borderId="0" xfId="0" applyFont="1" applyNumberFormat="1">
      <alignment horizontal="left" vertical="center"/>
    </xf>
    <xf numFmtId="164" fontId="23" fillId="0" borderId="14" xfId="0" applyFont="1" applyBorder="1" applyNumberFormat="1">
      <alignment horizontal="right" vertical="center" wrapText="1"/>
    </xf>
    <xf numFmtId="0" fontId="0" fillId="37" borderId="21" xfId="0" applyFont="1" applyFill="1" applyBorder="1" applyNumberFormat="1">
      <alignment horizontal="center" vertical="center" wrapText="1"/>
    </xf>
    <xf numFmtId="0" fontId="55" fillId="0" borderId="19" xfId="0" applyFont="1" applyBorder="1" applyNumberFormat="1">
      <alignment horizontal="center" vertical="center" wrapText="1"/>
    </xf>
    <xf numFmtId="0" fontId="23" fillId="0" borderId="39" xfId="0" applyFont="1" applyBorder="1" applyNumberFormat="1">
      <alignment horizontal="center" vertical="center" wrapText="1"/>
    </xf>
    <xf numFmtId="0" fontId="55" fillId="0" borderId="14" xfId="0" applyFont="1" applyBorder="1" applyNumberFormat="1">
      <alignment vertical="center" wrapText="1"/>
    </xf>
    <xf numFmtId="0" fontId="23" fillId="0" borderId="0" xfId="0" applyFont="1" applyNumberFormat="1">
      <alignment vertical="center"/>
    </xf>
    <xf numFmtId="0" fontId="55" fillId="0" borderId="25" xfId="0" applyFont="1" applyBorder="1" applyNumberFormat="1">
      <alignment horizontal="center" vertical="center" wrapText="1"/>
    </xf>
    <xf numFmtId="0" fontId="23" fillId="0" borderId="32" xfId="0" applyFont="1" applyBorder="1" applyNumberFormat="1">
      <alignment horizontal="center" vertical="center" wrapText="1"/>
    </xf>
    <xf numFmtId="0" fontId="55" fillId="0" borderId="14" xfId="0" applyFont="1" applyBorder="1" applyNumberFormat="1">
      <alignment horizontal="center" vertical="center" wrapText="1"/>
    </xf>
    <xf numFmtId="0" fontId="0" fillId="0" borderId="15" xfId="0" applyFont="1" applyBorder="1" applyNumberFormat="1">
      <alignment horizontal="center" vertical="center" wrapText="1"/>
    </xf>
    <xf numFmtId="0" fontId="85" fillId="37" borderId="0" xfId="0" applyFont="1" applyFill="1" applyNumberFormat="1">
      <alignment horizontal="center" vertical="center" wrapText="1"/>
    </xf>
    <xf numFmtId="0" fontId="55" fillId="0" borderId="14" xfId="0" applyFont="1" applyBorder="1" applyNumberFormat="1">
      <alignment horizontal="left" vertical="center" wrapText="1"/>
    </xf>
    <xf numFmtId="0" fontId="55" fillId="0" borderId="14" xfId="0" applyFont="1" applyBorder="1" applyNumberFormat="1">
      <alignment horizontal="left" vertical="center" wrapText="1" indent="4"/>
    </xf>
    <xf numFmtId="0" fontId="55" fillId="0" borderId="14" xfId="0" applyFont="1" applyBorder="1" applyNumberFormat="1">
      <alignment horizontal="left" vertical="center" wrapText="1" indent="6"/>
    </xf>
    <xf numFmtId="0" fontId="55" fillId="0" borderId="16" xfId="0" applyFont="1" applyBorder="1" applyNumberFormat="1">
      <alignment horizontal="left" vertical="center" wrapText="1"/>
    </xf>
    <xf numFmtId="0" fontId="55" fillId="0" borderId="17" xfId="0" applyFont="1" applyBorder="1" applyNumberFormat="1">
      <alignment horizontal="left" vertical="center" wrapText="1"/>
    </xf>
    <xf numFmtId="0" fontId="55" fillId="0" borderId="15" xfId="0" applyFont="1" applyBorder="1" applyNumberFormat="1">
      <alignment horizontal="left" vertical="center" wrapText="1"/>
    </xf>
    <xf numFmtId="0" fontId="55" fillId="0" borderId="14" xfId="0" applyFont="1" applyBorder="1" applyNumberFormat="1">
      <alignment vertical="top" wrapText="1"/>
    </xf>
    <xf numFmtId="49" fontId="102" fillId="0" borderId="16" xfId="0" applyFont="1" applyBorder="1" applyNumberFormat="1">
      <alignment horizontal="left" vertical="center"/>
    </xf>
    <xf numFmtId="49" fontId="55" fillId="0" borderId="17" xfId="0" applyFont="1" applyBorder="1" applyNumberFormat="1">
      <alignment horizontal="left" vertical="center" indent="4"/>
    </xf>
    <xf numFmtId="49" fontId="55" fillId="0" borderId="17" xfId="0" applyFont="1" applyBorder="1" applyNumberFormat="1">
      <alignment horizontal="center" vertical="center" wrapText="1"/>
    </xf>
    <xf numFmtId="49" fontId="55" fillId="0" borderId="15" xfId="0" applyFont="1" applyBorder="1" applyNumberFormat="1">
      <alignment horizontal="center" vertical="center" wrapText="1"/>
    </xf>
    <xf numFmtId="49" fontId="55" fillId="0" borderId="0" xfId="0" applyFont="1" applyNumberFormat="1">
      <alignment vertical="center" wrapText="1"/>
    </xf>
    <xf numFmtId="0" fontId="0" fillId="0" borderId="0" xfId="0" applyFont="1" applyNumberFormat="1">
      <alignment horizontal="left" vertical="top" wrapText="1"/>
    </xf>
    <xf numFmtId="0" fontId="54" fillId="0" borderId="0" xfId="0" applyFont="1" applyNumberFormat="1">
      <alignment vertical="top" wrapText="1"/>
    </xf>
    <xf numFmtId="0" fontId="23" fillId="0" borderId="21" xfId="0" applyFont="1" applyBorder="1" applyNumberFormat="1">
      <alignment horizontal="left" vertical="center" wrapText="1" indent="1"/>
    </xf>
    <xf numFmtId="0" fontId="23" fillId="0" borderId="0" xfId="0" applyFont="1" applyNumberFormat="1">
      <alignment horizontal="left" vertical="center" wrapText="1"/>
    </xf>
    <xf numFmtId="0" fontId="23" fillId="43" borderId="22" xfId="0" applyFont="1" applyFill="1" applyBorder="1" applyNumberFormat="1">
      <alignment horizontal="left" vertical="center" wrapText="1"/>
    </xf>
    <xf numFmtId="0" fontId="23" fillId="0" borderId="0" xfId="0" applyFont="1" applyNumberFormat="1">
      <alignment horizontal="center" vertical="center" wrapText="1"/>
    </xf>
    <xf numFmtId="164" fontId="23" fillId="39" borderId="16" xfId="0" applyFont="1" applyFill="1" applyBorder="1" applyNumberFormat="1">
      <alignment horizontal="right" vertical="center" wrapText="1"/>
      <protection locked="0"/>
    </xf>
    <xf numFmtId="4" fontId="23" fillId="39" borderId="15" xfId="0" applyFont="1" applyFill="1" applyBorder="1" applyNumberFormat="1">
      <alignment horizontal="right" vertical="center" wrapText="1"/>
      <protection locked="0"/>
    </xf>
    <xf numFmtId="0" fontId="53" fillId="0" borderId="19" xfId="0" applyFont="1" applyBorder="1" applyNumberFormat="1">
      <alignment vertical="top" wrapText="1"/>
    </xf>
    <xf numFmtId="0" fontId="23" fillId="39" borderId="14" xfId="0" applyFont="1" applyFill="1" applyBorder="1" applyNumberFormat="1">
      <alignment horizontal="left" vertical="center" wrapText="1" indent="7"/>
      <protection locked="0"/>
    </xf>
    <xf numFmtId="49" fontId="0" fillId="42" borderId="14" xfId="0" applyFont="1" applyFill="1" applyBorder="1" applyNumberFormat="1">
      <alignment horizontal="center" vertical="center" wrapText="1"/>
      <protection locked="0"/>
    </xf>
    <xf numFmtId="4" fontId="55" fillId="0" borderId="16" xfId="0" applyFont="1" applyBorder="1" applyNumberFormat="1">
      <alignment horizontal="center" vertical="center" wrapText="1"/>
    </xf>
    <xf numFmtId="4" fontId="23" fillId="0" borderId="15" xfId="0" applyFont="1" applyBorder="1" applyNumberFormat="1">
      <alignment horizontal="right" vertical="center" wrapText="1"/>
    </xf>
    <xf numFmtId="0" fontId="23" fillId="40" borderId="17" xfId="0" applyFont="1" applyFill="1" applyBorder="1" applyNumberFormat="1">
      <alignment horizontal="left" vertical="center" wrapText="1" indent="6"/>
    </xf>
    <xf numFmtId="4" fontId="23" fillId="40" borderId="17" xfId="0" applyFont="1" applyFill="1" applyBorder="1" applyNumberFormat="1">
      <alignment horizontal="right" vertical="center" wrapText="1"/>
    </xf>
    <xf numFmtId="4" fontId="55" fillId="40" borderId="17" xfId="0" applyFont="1" applyFill="1" applyBorder="1" applyNumberFormat="1">
      <alignment horizontal="center" vertical="center" wrapText="1"/>
    </xf>
    <xf numFmtId="4" fontId="23" fillId="40" borderId="15" xfId="0" applyFont="1" applyFill="1" applyBorder="1" applyNumberFormat="1">
      <alignment horizontal="right" vertical="center" wrapText="1"/>
    </xf>
    <xf numFmtId="49" fontId="23" fillId="40" borderId="29" xfId="0" applyFont="1" applyFill="1" applyBorder="1" applyNumberFormat="1">
      <alignment horizontal="center" vertical="center" wrapText="1"/>
    </xf>
    <xf numFmtId="0" fontId="23" fillId="0" borderId="0" xfId="0" applyFont="1" applyNumberFormat="1">
      <alignment horizontal="center" vertical="center" wrapText="1"/>
    </xf>
    <xf numFmtId="0" fontId="23" fillId="0" borderId="14" xfId="0" applyFont="1" applyBorder="1" applyNumberFormat="1">
      <alignment horizontal="center" vertical="center" wrapText="1"/>
    </xf>
    <xf numFmtId="0" fontId="23" fillId="0" borderId="21" xfId="0" applyFont="1" applyBorder="1" applyNumberFormat="1">
      <alignment horizontal="center" vertical="center" wrapText="1"/>
    </xf>
    <xf numFmtId="0" fontId="23" fillId="0" borderId="22" xfId="0" applyFont="1" applyBorder="1" applyNumberFormat="1">
      <alignment horizontal="center" vertical="center" wrapText="1"/>
    </xf>
    <xf numFmtId="0" fontId="23" fillId="0" borderId="24" xfId="0" applyFont="1" applyBorder="1" applyNumberFormat="1">
      <alignment horizontal="center" vertical="center" wrapText="1"/>
    </xf>
    <xf numFmtId="0" fontId="0" fillId="0" borderId="19" xfId="0" applyFont="1" applyBorder="1" applyNumberFormat="1">
      <alignment horizontal="center" vertical="center" wrapText="1"/>
    </xf>
    <xf numFmtId="0" fontId="0" fillId="0" borderId="17" xfId="0" applyFont="1" applyBorder="1" applyNumberFormat="1">
      <alignment horizontal="center" vertical="center" wrapText="1"/>
    </xf>
    <xf numFmtId="0" fontId="23" fillId="0" borderId="29" xfId="0" applyFont="1" applyBorder="1" applyNumberFormat="1">
      <alignment horizontal="center" vertical="center" wrapText="1"/>
    </xf>
    <xf numFmtId="0" fontId="23" fillId="0" borderId="31" xfId="0" applyFont="1" applyBorder="1" applyNumberFormat="1">
      <alignment horizontal="center" vertical="center" wrapText="1"/>
    </xf>
    <xf numFmtId="0" fontId="0" fillId="0" borderId="38" xfId="0" applyFont="1" applyBorder="1" applyNumberFormat="1">
      <alignment horizontal="center" vertical="center" wrapText="1"/>
    </xf>
    <xf numFmtId="0" fontId="0" fillId="0" borderId="39" xfId="0" applyFont="1" applyBorder="1" applyNumberFormat="1">
      <alignment horizontal="center" vertical="center" wrapText="1"/>
    </xf>
    <xf numFmtId="0" fontId="0" fillId="0" borderId="22" xfId="0" applyFont="1" applyBorder="1" applyNumberFormat="1">
      <alignment horizontal="center" vertical="center" wrapText="1"/>
    </xf>
    <xf numFmtId="0" fontId="0" fillId="0" borderId="25" xfId="0" applyFont="1" applyBorder="1" applyNumberFormat="1">
      <alignment horizontal="center" vertical="center" wrapText="1"/>
    </xf>
    <xf numFmtId="0" fontId="0" fillId="0" borderId="32" xfId="0" applyFont="1" applyBorder="1" applyNumberFormat="1">
      <alignment horizontal="center" vertical="center" wrapText="1"/>
    </xf>
    <xf numFmtId="0" fontId="0" fillId="0" borderId="31" xfId="0" applyFont="1" applyBorder="1" applyNumberFormat="1">
      <alignment horizontal="center" vertical="center" wrapText="1"/>
    </xf>
    <xf numFmtId="0" fontId="23" fillId="0" borderId="14" xfId="0" applyFont="1" applyBorder="1" applyNumberFormat="1">
      <alignment horizontal="center" vertical="center"/>
    </xf>
    <xf numFmtId="0" fontId="23" fillId="0" borderId="16" xfId="0" applyFont="1" applyBorder="1" applyNumberFormat="1">
      <alignment horizontal="center" vertical="center"/>
    </xf>
    <xf numFmtId="0" fontId="23" fillId="0" borderId="0" xfId="0" applyFont="1" applyNumberFormat="1">
      <alignment horizontal="center" vertical="center" wrapText="1"/>
    </xf>
    <xf numFmtId="49" fontId="54" fillId="0" borderId="0" xfId="0" applyFont="1" applyNumberFormat="1">
      <alignment vertical="center" wrapText="1"/>
    </xf>
    <xf numFmtId="0" fontId="54" fillId="0" borderId="0" xfId="0" applyFont="1" applyNumberFormat="1">
      <alignment horizontal="center" vertical="center" wrapText="1"/>
    </xf>
    <xf numFmtId="0" fontId="61" fillId="37" borderId="0" xfId="0" applyFont="1" applyFill="1" applyNumberFormat="1">
      <alignment horizontal="center" vertical="center" wrapText="1"/>
    </xf>
    <xf numFmtId="0" fontId="61" fillId="0" borderId="0" xfId="0" applyFont="1" applyNumberFormat="1">
      <alignment vertical="center" wrapText="1"/>
    </xf>
    <xf numFmtId="0" fontId="55" fillId="0" borderId="14" xfId="0" applyFont="1" applyBorder="1" applyNumberFormat="1">
      <alignment horizontal="left" vertical="center" wrapText="1" indent="5"/>
    </xf>
    <xf numFmtId="0" fontId="55" fillId="0" borderId="26" xfId="0" applyFont="1" applyBorder="1" applyNumberFormat="1">
      <alignment horizontal="center" vertical="top" wrapText="1"/>
    </xf>
    <xf numFmtId="0" fontId="23" fillId="37" borderId="19" xfId="0" applyFont="1" applyFill="1" applyBorder="1" applyNumberFormat="1">
      <alignment horizontal="left" vertical="center" wrapText="1"/>
    </xf>
    <xf numFmtId="49" fontId="23" fillId="42" borderId="19" xfId="0" applyFont="1" applyFill="1" applyBorder="1" applyNumberFormat="1">
      <alignment horizontal="left" vertical="center" wrapText="1" indent="6"/>
      <protection locked="0"/>
    </xf>
    <xf numFmtId="0" fontId="45" fillId="0" borderId="14" xfId="0" applyFont="1" applyBorder="1" applyNumberFormat="1">
      <alignment horizontal="center" vertical="center" wrapText="1"/>
    </xf>
    <xf numFmtId="49" fontId="23" fillId="43" borderId="14" xfId="0" applyFont="1" applyFill="1" applyBorder="1" applyNumberFormat="1">
      <alignment horizontal="left" vertical="center" wrapText="1" indent="1"/>
    </xf>
    <xf numFmtId="0" fontId="23" fillId="0" borderId="14" xfId="0" applyFont="1" applyBorder="1" applyNumberFormat="1">
      <alignment horizontal="left" vertical="center" wrapText="1" indent="4"/>
    </xf>
    <xf numFmtId="49" fontId="23" fillId="37" borderId="14" xfId="0" applyFont="1" applyFill="1" applyBorder="1" applyNumberFormat="1">
      <alignment horizontal="center" vertical="center" wrapText="1"/>
    </xf>
    <xf numFmtId="0" fontId="23" fillId="43" borderId="14" xfId="0" applyFont="1" applyFill="1" applyBorder="1" applyNumberFormat="1">
      <alignment horizontal="left" vertical="center" wrapText="1" indent="1"/>
    </xf>
    <xf numFmtId="167" fontId="0" fillId="42" borderId="14" xfId="0" applyFont="1" applyFill="1" applyBorder="1" applyNumberFormat="1">
      <alignment horizontal="center" vertical="center" wrapText="1"/>
      <protection locked="0"/>
    </xf>
    <xf numFmtId="49" fontId="23" fillId="43" borderId="14" xfId="0" applyFont="1" applyFill="1" applyBorder="1" applyNumberFormat="1">
      <alignment horizontal="center" vertical="center" wrapText="1"/>
    </xf>
    <xf numFmtId="0" fontId="23" fillId="37" borderId="38" xfId="0" applyFont="1" applyFill="1" applyBorder="1" applyNumberFormat="1">
      <alignment horizontal="left" vertical="center" wrapText="1"/>
    </xf>
    <xf numFmtId="49" fontId="23" fillId="42" borderId="38" xfId="0" applyFont="1" applyFill="1" applyBorder="1" applyNumberFormat="1">
      <alignment horizontal="left" vertical="center" wrapText="1" indent="6"/>
      <protection locked="0"/>
    </xf>
    <xf numFmtId="164" fontId="23" fillId="40" borderId="15" xfId="0" applyFont="1" applyFill="1" applyBorder="1" applyNumberFormat="1">
      <alignment horizontal="right" vertical="center" wrapText="1"/>
    </xf>
    <xf numFmtId="49" fontId="48" fillId="40" borderId="16" xfId="0" applyFont="1" applyFill="1" applyBorder="1" applyNumberFormat="1">
      <alignment horizontal="left" vertical="center"/>
    </xf>
    <xf numFmtId="164" fontId="23" fillId="40" borderId="17" xfId="0" applyFont="1" applyFill="1" applyBorder="1" applyNumberFormat="1">
      <alignment horizontal="right" vertical="center" wrapText="1"/>
    </xf>
    <xf numFmtId="4" fontId="23" fillId="0" borderId="38" xfId="0" applyFont="1" applyBorder="1" applyNumberFormat="1">
      <alignment horizontal="right" vertical="center" wrapText="1"/>
    </xf>
    <xf numFmtId="49" fontId="48" fillId="40" borderId="16" xfId="0" applyFont="1" applyFill="1" applyBorder="1" applyNumberFormat="1">
      <alignment horizontal="left" vertical="center" indent="1"/>
    </xf>
    <xf numFmtId="0" fontId="23" fillId="37" borderId="25" xfId="0" applyFont="1" applyFill="1" applyBorder="1" applyNumberFormat="1">
      <alignment horizontal="left" vertical="center" wrapText="1"/>
    </xf>
    <xf numFmtId="49" fontId="23" fillId="42" borderId="25" xfId="0" applyFont="1" applyFill="1" applyBorder="1" applyNumberFormat="1">
      <alignment horizontal="left" vertical="center" wrapText="1" indent="6"/>
      <protection locked="0"/>
    </xf>
    <xf numFmtId="4" fontId="55" fillId="40" borderId="15" xfId="0" applyFont="1" applyFill="1" applyBorder="1" applyNumberFormat="1">
      <alignment horizontal="center" vertical="center" wrapText="1"/>
    </xf>
    <xf numFmtId="49" fontId="48" fillId="40" borderId="16" xfId="0" applyFont="1" applyFill="1" applyBorder="1" applyNumberFormat="1">
      <alignment vertical="center" wrapText="1"/>
    </xf>
    <xf numFmtId="49" fontId="48" fillId="40" borderId="17" xfId="0" applyFont="1" applyFill="1" applyBorder="1" applyNumberFormat="1">
      <alignment vertical="center" wrapText="1"/>
    </xf>
    <xf numFmtId="49" fontId="55" fillId="0" borderId="26" xfId="0" applyFont="1" applyBorder="1" applyNumberFormat="1">
      <alignment vertical="top"/>
    </xf>
    <xf numFmtId="0" fontId="116" fillId="0" borderId="0" xfId="0" applyFont="1" applyNumberFormat="1">
      <alignment horizontal="center" vertical="center" wrapText="1"/>
    </xf>
    <xf numFmtId="49" fontId="55" fillId="0" borderId="0" xfId="0" applyFont="1" applyNumberFormat="1">
      <alignment horizontal="center" vertical="center" wrapText="1"/>
    </xf>
    <xf numFmtId="49" fontId="55" fillId="0" borderId="0" xfId="0" applyFont="1" applyNumberFormat="1">
      <alignment horizontal="left" vertical="center" wrapText="1" indent="1"/>
    </xf>
    <xf numFmtId="0" fontId="55" fillId="0" borderId="0" xfId="0" applyFont="1" applyNumberFormat="1">
      <alignment horizontal="left" vertical="center" wrapText="1" indent="4"/>
    </xf>
    <xf numFmtId="0" fontId="55" fillId="0" borderId="26" xfId="0" applyFont="1" applyBorder="1" applyNumberFormat="1">
      <alignment horizontal="left" vertical="center" wrapText="1" indent="1"/>
    </xf>
    <xf numFmtId="4" fontId="55" fillId="0" borderId="14" xfId="0" applyFont="1" applyBorder="1" applyNumberFormat="1">
      <alignment horizontal="right" vertical="center" wrapText="1"/>
    </xf>
    <xf numFmtId="164" fontId="55" fillId="0" borderId="14" xfId="0" applyFont="1" applyBorder="1" applyNumberFormat="1">
      <alignment horizontal="right" vertical="center" wrapText="1"/>
    </xf>
    <xf numFmtId="167" fontId="55" fillId="0" borderId="14" xfId="0" applyFont="1" applyBorder="1" applyNumberFormat="1">
      <alignment horizontal="center" vertical="center" wrapText="1"/>
    </xf>
    <xf numFmtId="49" fontId="55" fillId="0" borderId="14" xfId="0" applyFont="1" applyBorder="1" applyNumberFormat="1">
      <alignment horizontal="center" vertical="center" wrapText="1"/>
    </xf>
    <xf numFmtId="0" fontId="54" fillId="0" borderId="0" xfId="0" applyFont="1" applyNumberFormat="1">
      <alignment horizontal="left" vertical="center"/>
    </xf>
    <xf numFmtId="49" fontId="54" fillId="0" borderId="0" xfId="0" applyFont="1" applyNumberFormat="1">
      <alignment horizontal="left" vertical="center"/>
    </xf>
    <xf numFmtId="0" fontId="54" fillId="0" borderId="0" xfId="0" applyFont="1" applyNumberFormat="1">
      <alignment horizontal="left" vertical="center"/>
    </xf>
    <xf numFmtId="0" fontId="74" fillId="0" borderId="0" xfId="0" applyFont="1" applyNumberFormat="1">
      <alignment horizontal="left" vertical="center"/>
    </xf>
    <xf numFmtId="0" fontId="54" fillId="0" borderId="0" xfId="0" applyFont="1" applyNumberFormat="1">
      <alignment horizontal="left" vertical="center"/>
    </xf>
    <xf numFmtId="0" fontId="55" fillId="0" borderId="0" xfId="0" applyFont="1" applyNumberFormat="1">
      <alignment horizontal="left" vertical="center"/>
    </xf>
    <xf numFmtId="0" fontId="74" fillId="37" borderId="0" xfId="0" applyFont="1" applyFill="1" applyNumberFormat="1">
      <alignment vertical="center" wrapText="1"/>
    </xf>
    <xf numFmtId="0" fontId="23" fillId="37" borderId="39" xfId="0" applyFont="1" applyFill="1" applyBorder="1" applyNumberFormat="1">
      <alignment horizontal="center" vertical="center" wrapText="1"/>
    </xf>
    <xf numFmtId="0" fontId="0" fillId="37" borderId="39" xfId="0" applyFont="1" applyFill="1" applyBorder="1" applyNumberFormat="1">
      <alignment horizontal="center" vertical="center" wrapText="1"/>
    </xf>
    <xf numFmtId="0" fontId="0" fillId="37" borderId="22" xfId="0" applyFont="1" applyFill="1" applyBorder="1" applyNumberFormat="1">
      <alignment horizontal="center" vertical="center" wrapText="1"/>
    </xf>
    <xf numFmtId="0" fontId="23" fillId="37" borderId="24" xfId="0" applyFont="1" applyFill="1" applyBorder="1" applyNumberFormat="1">
      <alignment horizontal="center" vertical="center" wrapText="1"/>
    </xf>
    <xf numFmtId="0" fontId="0" fillId="37" borderId="24" xfId="0" applyFont="1" applyFill="1" applyBorder="1" applyNumberFormat="1">
      <alignment horizontal="center" vertical="center" wrapText="1"/>
    </xf>
    <xf numFmtId="0" fontId="0" fillId="37" borderId="0" xfId="0" applyFont="1" applyFill="1" applyNumberFormat="1">
      <alignment horizontal="center" vertical="center" wrapText="1"/>
    </xf>
    <xf numFmtId="0" fontId="0" fillId="37" borderId="26" xfId="0" applyFont="1" applyFill="1" applyBorder="1" applyNumberFormat="1">
      <alignment horizontal="center" vertical="center" wrapText="1"/>
    </xf>
    <xf numFmtId="0" fontId="23" fillId="42" borderId="14" xfId="0" applyFont="1" applyFill="1" applyBorder="1" applyNumberFormat="1">
      <alignment horizontal="center" vertical="center" wrapText="1"/>
      <protection locked="0"/>
    </xf>
    <xf numFmtId="0" fontId="23" fillId="37" borderId="14" xfId="0" applyFont="1" applyFill="1" applyBorder="1" applyNumberFormat="1">
      <alignment horizontal="center" vertical="center" wrapText="1"/>
    </xf>
    <xf numFmtId="0" fontId="23" fillId="37" borderId="32" xfId="0" applyFont="1" applyFill="1" applyBorder="1" applyNumberFormat="1">
      <alignment horizontal="center" vertical="center" wrapText="1"/>
    </xf>
    <xf numFmtId="0" fontId="0" fillId="37" borderId="32" xfId="0" applyFont="1" applyFill="1" applyBorder="1" applyNumberFormat="1">
      <alignment horizontal="center" vertical="center" wrapText="1"/>
    </xf>
    <xf numFmtId="0" fontId="0" fillId="37" borderId="29" xfId="0" applyFont="1" applyFill="1" applyBorder="1" applyNumberFormat="1">
      <alignment horizontal="center" vertical="center" wrapText="1"/>
    </xf>
    <xf numFmtId="0" fontId="0" fillId="37" borderId="31" xfId="0" applyFont="1" applyFill="1" applyBorder="1" applyNumberFormat="1">
      <alignment horizontal="center" vertical="center" wrapText="1"/>
    </xf>
    <xf numFmtId="0" fontId="23" fillId="37" borderId="25" xfId="0" applyFont="1" applyFill="1" applyBorder="1" applyNumberFormat="1">
      <alignment horizontal="center" vertical="center" wrapText="1"/>
    </xf>
    <xf numFmtId="49" fontId="23" fillId="0" borderId="14" xfId="0" applyFont="1" applyBorder="1" applyNumberFormat="1">
      <alignment horizontal="left" vertical="center" wrapText="1" indent="1"/>
    </xf>
    <xf numFmtId="0" fontId="23" fillId="0" borderId="14" xfId="0" applyFont="1" applyBorder="1" applyNumberFormat="1">
      <alignment horizontal="left" vertical="center" wrapText="1" indent="1"/>
    </xf>
    <xf numFmtId="49" fontId="23" fillId="40" borderId="16" xfId="0" applyFont="1" applyFill="1" applyBorder="1" applyNumberFormat="1">
      <alignment horizontal="center" vertical="center" wrapText="1"/>
    </xf>
    <xf numFmtId="49" fontId="77" fillId="0" borderId="26" xfId="0" applyFont="1" applyBorder="1" applyNumberFormat="1">
      <alignment vertical="top"/>
    </xf>
    <xf numFmtId="0" fontId="23" fillId="0" borderId="0" xfId="0" applyFont="1" applyNumberFormat="1">
      <alignment horizontal="left" vertical="top" wrapText="1"/>
    </xf>
    <xf numFmtId="0" fontId="74" fillId="0" borderId="0" xfId="0" applyFont="1" applyNumberFormat="1">
      <alignment vertical="center" wrapText="1"/>
    </xf>
    <xf numFmtId="0" fontId="23" fillId="37" borderId="14" xfId="0" applyFont="1" applyFill="1" applyBorder="1" applyNumberFormat="1">
      <alignment horizontal="left" vertical="center" wrapText="1"/>
    </xf>
    <xf numFmtId="0" fontId="23" fillId="0" borderId="0" xfId="0" applyFont="1" applyNumberFormat="1">
      <alignment horizontal="center" vertical="center" wrapText="1"/>
    </xf>
    <xf numFmtId="0" fontId="55" fillId="0" borderId="0" xfId="0" applyFont="1" applyNumberFormat="1">
      <alignment horizontal="center" vertical="center" wrapText="1"/>
    </xf>
    <xf numFmtId="0" fontId="23" fillId="39" borderId="16" xfId="0" applyFont="1" applyFill="1" applyBorder="1" applyNumberFormat="1">
      <alignment horizontal="left" vertical="center" wrapText="1"/>
      <protection locked="0"/>
    </xf>
    <xf numFmtId="0" fontId="23" fillId="39" borderId="17" xfId="0" applyFont="1" applyFill="1" applyBorder="1" applyNumberFormat="1">
      <alignment horizontal="left" vertical="center" wrapText="1"/>
      <protection locked="0"/>
    </xf>
    <xf numFmtId="0" fontId="23" fillId="39" borderId="15" xfId="0" applyFont="1" applyFill="1" applyBorder="1" applyNumberFormat="1">
      <alignment horizontal="left" vertical="center" wrapText="1"/>
      <protection locked="0"/>
    </xf>
    <xf numFmtId="49" fontId="23" fillId="39" borderId="16" xfId="0" applyFont="1" applyFill="1" applyBorder="1" applyNumberFormat="1">
      <alignment horizontal="left" vertical="center" wrapText="1"/>
      <protection locked="0"/>
    </xf>
    <xf numFmtId="49" fontId="23" fillId="39" borderId="17" xfId="0" applyFont="1" applyFill="1" applyBorder="1" applyNumberFormat="1">
      <alignment horizontal="left" vertical="center" wrapText="1"/>
      <protection locked="0"/>
    </xf>
    <xf numFmtId="49" fontId="23" fillId="39" borderId="15" xfId="0" applyFont="1" applyFill="1" applyBorder="1" applyNumberFormat="1">
      <alignment horizontal="left" vertical="center" wrapText="1"/>
      <protection locked="0"/>
    </xf>
    <xf numFmtId="49" fontId="23" fillId="39" borderId="14" xfId="0" applyFont="1" applyFill="1" applyBorder="1" applyNumberFormat="1">
      <alignment horizontal="left" vertical="center" wrapText="1" indent="6"/>
      <protection locked="0"/>
    </xf>
    <xf numFmtId="4" fontId="23" fillId="0" borderId="39" xfId="0" applyFont="1" applyBorder="1" applyNumberFormat="1">
      <alignment horizontal="right" vertical="center" wrapText="1"/>
    </xf>
    <xf numFmtId="0" fontId="53" fillId="0" borderId="14" xfId="0" applyFont="1" applyBorder="1" applyNumberFormat="1">
      <alignment horizontal="left" vertical="top" wrapText="1"/>
    </xf>
    <xf numFmtId="49" fontId="23" fillId="0" borderId="14" xfId="0" applyFont="1" applyBorder="1" applyNumberFormat="1">
      <alignment horizontal="left" vertical="center" wrapText="1"/>
    </xf>
    <xf numFmtId="4" fontId="23" fillId="0" borderId="32" xfId="0" applyFont="1" applyBorder="1" applyNumberFormat="1">
      <alignment horizontal="right" vertical="center" wrapText="1"/>
    </xf>
    <xf numFmtId="49" fontId="0" fillId="40" borderId="31" xfId="0" applyFont="1" applyFill="1" applyBorder="1" applyNumberFormat="1">
      <alignment horizontal="center" vertical="center" wrapText="1"/>
    </xf>
    <xf numFmtId="49" fontId="48" fillId="40" borderId="17" xfId="0" applyFont="1" applyFill="1" applyBorder="1" applyNumberFormat="1">
      <alignment horizontal="left" vertical="center" indent="3"/>
    </xf>
    <xf numFmtId="0" fontId="55" fillId="0" borderId="0" xfId="0" applyFont="1" applyNumberFormat="1">
      <alignment horizontal="center" vertical="center"/>
    </xf>
    <xf numFmtId="0" fontId="54" fillId="0" borderId="0" xfId="0" applyFont="1" applyNumberFormat="1">
      <alignment horizontal="center" vertical="center" wrapText="1"/>
    </xf>
    <xf numFmtId="0" fontId="115" fillId="0" borderId="0" xfId="0" applyFont="1" applyNumberFormat="1">
      <alignment vertical="center" wrapText="1"/>
    </xf>
    <xf numFmtId="0" fontId="23" fillId="0" borderId="0" xfId="0" applyFont="1" applyNumberFormat="1">
      <alignment horizontal="right" vertical="center" wrapText="1"/>
    </xf>
    <xf numFmtId="0" fontId="23" fillId="0" borderId="19" xfId="0" applyFont="1" applyBorder="1" applyNumberFormat="1">
      <alignment horizontal="center" vertical="center" wrapText="1"/>
    </xf>
    <xf numFmtId="0" fontId="0" fillId="0" borderId="14" xfId="0" applyFont="1" applyBorder="1" applyNumberFormat="1">
      <alignment horizontal="center" vertical="center" wrapText="1"/>
    </xf>
    <xf numFmtId="0" fontId="85" fillId="37" borderId="21" xfId="0" applyFont="1" applyFill="1" applyBorder="1" applyNumberFormat="1">
      <alignment horizontal="center" vertical="center" wrapText="1"/>
    </xf>
    <xf numFmtId="0" fontId="23" fillId="37" borderId="14" xfId="0" applyFont="1" applyFill="1" applyBorder="1" applyNumberFormat="1">
      <alignment horizontal="left" vertical="center" wrapText="1"/>
    </xf>
    <xf numFmtId="0" fontId="23" fillId="0" borderId="0" xfId="0" applyFont="1" applyNumberFormat="1">
      <alignment horizontal="center" vertical="center" wrapText="1"/>
    </xf>
    <xf numFmtId="0" fontId="55" fillId="0" borderId="0" xfId="0" applyFont="1" applyNumberFormat="1">
      <alignment horizontal="center" vertical="center" wrapText="1"/>
    </xf>
    <xf numFmtId="49" fontId="23" fillId="0" borderId="14" xfId="0" applyFont="1" applyBorder="1" applyNumberFormat="1">
      <alignment horizontal="left" vertical="center" wrapText="1"/>
    </xf>
    <xf numFmtId="0" fontId="54" fillId="0" borderId="0" xfId="0" applyFont="1" applyNumberFormat="1">
      <alignment horizontal="center" vertical="center" wrapText="1"/>
    </xf>
    <xf numFmtId="49" fontId="23" fillId="0" borderId="0" xfId="0" applyFont="1" applyNumberFormat="1">
      <alignment vertical="center" wrapText="1"/>
    </xf>
    <xf numFmtId="0" fontId="23" fillId="37" borderId="14" xfId="0" applyFont="1" applyFill="1" applyBorder="1" applyNumberFormat="1">
      <alignment horizontal="left" vertical="center" wrapText="1"/>
    </xf>
    <xf numFmtId="0" fontId="23" fillId="0" borderId="0" xfId="0" applyFont="1" applyNumberFormat="1">
      <alignment horizontal="center" vertical="center" wrapText="1"/>
    </xf>
    <xf numFmtId="0" fontId="55" fillId="0" borderId="0" xfId="0" applyFont="1" applyNumberFormat="1">
      <alignment horizontal="center" vertical="center" wrapText="1"/>
    </xf>
    <xf numFmtId="49" fontId="23" fillId="0" borderId="14" xfId="0" applyFont="1" applyBorder="1" applyNumberFormat="1">
      <alignment horizontal="left" vertical="center" wrapText="1"/>
    </xf>
    <xf numFmtId="0" fontId="55" fillId="0" borderId="0" xfId="0" applyFont="1" applyNumberFormat="1">
      <alignment horizontal="center" vertical="center"/>
    </xf>
    <xf numFmtId="0" fontId="54" fillId="0" borderId="0" xfId="0" applyFont="1" applyNumberFormat="1">
      <alignment horizontal="center" vertical="center" wrapText="1"/>
    </xf>
    <xf numFmtId="0" fontId="23" fillId="0" borderId="0" xfId="0" applyFont="1" applyNumberFormat="1">
      <alignment horizontal="right" vertical="center" wrapText="1"/>
    </xf>
    <xf numFmtId="0" fontId="23" fillId="0" borderId="19" xfId="0" applyFont="1" applyBorder="1" applyNumberFormat="1">
      <alignment horizontal="center" vertical="center" wrapText="1"/>
    </xf>
    <xf numFmtId="0" fontId="0" fillId="0" borderId="14" xfId="0" applyFont="1" applyBorder="1" applyNumberFormat="1">
      <alignment horizontal="center" vertical="center" wrapText="1"/>
    </xf>
    <xf numFmtId="0" fontId="85" fillId="37" borderId="21" xfId="0" applyFont="1" applyFill="1" applyBorder="1" applyNumberFormat="1">
      <alignment horizontal="center" vertical="center" wrapText="1"/>
    </xf>
    <xf numFmtId="0" fontId="54" fillId="0" borderId="0" xfId="0" applyFont="1" applyNumberFormat="1">
      <alignment horizontal="center" vertical="center" wrapText="1"/>
    </xf>
    <xf numFmtId="49" fontId="23" fillId="0" borderId="0" xfId="0" applyFont="1" applyNumberFormat="1">
      <alignment vertical="center" wrapText="1"/>
    </xf>
    <xf numFmtId="0" fontId="23" fillId="38" borderId="17" xfId="0" applyFont="1" applyFill="1" applyBorder="1" applyNumberFormat="1">
      <alignment horizontal="left" vertical="center" wrapText="1"/>
    </xf>
    <xf numFmtId="0" fontId="54" fillId="0" borderId="0" xfId="0" applyFont="1" applyNumberFormat="1">
      <alignment horizontal="center" vertical="center" wrapText="1"/>
    </xf>
    <xf numFmtId="0" fontId="55" fillId="0" borderId="17" xfId="0" applyFont="1" applyBorder="1" applyNumberFormat="1">
      <alignment horizontal="left" vertical="center" wrapText="1"/>
    </xf>
    <xf numFmtId="49" fontId="23" fillId="43" borderId="14" xfId="0" applyFont="1" applyFill="1" applyBorder="1" applyNumberFormat="1">
      <alignment horizontal="center" vertical="center" wrapText="1"/>
    </xf>
    <xf numFmtId="167" fontId="0" fillId="42" borderId="14" xfId="0" applyFont="1" applyFill="1" applyBorder="1" applyNumberFormat="1">
      <alignment horizontal="center" vertical="center" wrapText="1"/>
      <protection locked="0"/>
    </xf>
    <xf numFmtId="49" fontId="23" fillId="43" borderId="17" xfId="0" applyFont="1" applyFill="1" applyBorder="1" applyNumberFormat="1">
      <alignment horizontal="center" vertical="center" wrapText="1"/>
    </xf>
    <xf numFmtId="49" fontId="55" fillId="0" borderId="14" xfId="0" applyFont="1" applyBorder="1" applyNumberFormat="1">
      <alignment horizontal="center" vertical="center" wrapText="1"/>
    </xf>
    <xf numFmtId="0" fontId="77" fillId="0" borderId="0" xfId="0" applyFont="1" applyNumberFormat="1">
      <alignment vertical="center" wrapText="1"/>
    </xf>
    <xf numFmtId="0" fontId="23" fillId="0" borderId="0" xfId="0" applyFont="1" applyNumberFormat="1">
      <alignment horizontal="left" vertical="center"/>
    </xf>
    <xf numFmtId="49" fontId="23" fillId="0" borderId="0" xfId="0" applyFont="1" applyNumberFormat="1">
      <alignment horizontal="left" vertical="center"/>
    </xf>
    <xf numFmtId="0" fontId="23" fillId="0" borderId="0" xfId="0" applyFont="1" applyNumberFormat="1">
      <alignment horizontal="left" vertical="center"/>
    </xf>
    <xf numFmtId="0" fontId="45" fillId="0" borderId="29" xfId="0" applyFont="1" applyBorder="1" applyNumberFormat="1">
      <alignment horizontal="center" vertical="center" wrapText="1"/>
    </xf>
    <xf numFmtId="0" fontId="23" fillId="42" borderId="15" xfId="0" applyFont="1" applyFill="1" applyBorder="1" applyNumberFormat="1">
      <alignment horizontal="center" vertical="center" wrapText="1"/>
      <protection locked="0"/>
    </xf>
    <xf numFmtId="0" fontId="23" fillId="37" borderId="14" xfId="0" applyFont="1" applyFill="1" applyBorder="1" applyNumberFormat="1">
      <alignment horizontal="center" vertical="center" wrapText="1"/>
    </xf>
    <xf numFmtId="0" fontId="23" fillId="37" borderId="31" xfId="0" applyFont="1" applyFill="1" applyBorder="1" applyNumberFormat="1">
      <alignment horizontal="center" vertical="center" wrapText="1"/>
    </xf>
    <xf numFmtId="0" fontId="23" fillId="37" borderId="25" xfId="0" applyFont="1" applyFill="1" applyBorder="1" applyNumberFormat="1">
      <alignment horizontal="center" vertical="center" wrapText="1"/>
    </xf>
    <xf numFmtId="0" fontId="23" fillId="0" borderId="14" xfId="0" applyFont="1" applyBorder="1" applyNumberFormat="1">
      <alignment horizontal="center" vertical="center" wrapText="1"/>
    </xf>
    <xf numFmtId="0" fontId="23" fillId="37" borderId="19" xfId="0" applyFont="1" applyFill="1" applyBorder="1" applyNumberFormat="1">
      <alignment horizontal="left" vertical="center" wrapText="1"/>
    </xf>
    <xf numFmtId="49" fontId="23" fillId="42" borderId="19" xfId="0" applyFont="1" applyFill="1" applyBorder="1" applyNumberFormat="1">
      <alignment horizontal="left" vertical="center" wrapText="1" indent="6"/>
      <protection locked="0"/>
    </xf>
    <xf numFmtId="49" fontId="23" fillId="39" borderId="19" xfId="0" applyFont="1" applyFill="1" applyBorder="1" applyNumberFormat="1">
      <alignment horizontal="left" vertical="center" wrapText="1" indent="6"/>
      <protection locked="0"/>
    </xf>
    <xf numFmtId="4" fontId="23" fillId="42" borderId="14" xfId="0" applyFont="1" applyFill="1" applyBorder="1" applyNumberFormat="1">
      <alignment horizontal="left" vertical="center" wrapText="1" indent="1"/>
      <protection locked="0"/>
    </xf>
    <xf numFmtId="0" fontId="23" fillId="0" borderId="0" xfId="0" applyFont="1" applyNumberFormat="1">
      <alignment horizontal="left" vertical="top" wrapText="1"/>
    </xf>
    <xf numFmtId="0" fontId="23" fillId="37" borderId="14" xfId="0" applyFont="1" applyFill="1" applyBorder="1" applyNumberFormat="1">
      <alignment horizontal="left" vertical="center" wrapText="1"/>
    </xf>
    <xf numFmtId="0" fontId="116" fillId="0" borderId="0" xfId="0" applyFont="1" applyNumberFormat="1">
      <alignment vertical="center" wrapText="1"/>
    </xf>
    <xf numFmtId="0" fontId="116" fillId="37" borderId="0" xfId="0" applyFont="1" applyFill="1" applyNumberFormat="1">
      <alignment horizontal="center" vertical="center" wrapText="1"/>
    </xf>
    <xf numFmtId="0" fontId="55" fillId="37" borderId="14" xfId="0" applyFont="1" applyFill="1" applyBorder="1" applyNumberFormat="1">
      <alignment horizontal="left" vertical="center" wrapText="1" indent="3"/>
    </xf>
    <xf numFmtId="0" fontId="55" fillId="0" borderId="0" xfId="0" applyFont="1" applyNumberFormat="1">
      <alignment horizontal="center" vertical="center" wrapText="1"/>
    </xf>
    <xf numFmtId="49" fontId="23" fillId="39" borderId="19" xfId="0" applyFont="1" applyFill="1" applyBorder="1" applyNumberFormat="1">
      <alignment horizontal="left" vertical="center" wrapText="1" indent="6"/>
      <protection locked="0"/>
    </xf>
    <xf numFmtId="4" fontId="23" fillId="42" borderId="14" xfId="0" applyFont="1" applyFill="1" applyBorder="1" applyNumberFormat="1">
      <alignment horizontal="left" vertical="center" wrapText="1" indent="1"/>
      <protection locked="0"/>
    </xf>
    <xf numFmtId="49" fontId="23" fillId="43" borderId="14" xfId="0" applyFont="1" applyFill="1" applyBorder="1" applyNumberFormat="1">
      <alignment horizontal="left" vertical="center" wrapText="1" indent="1"/>
      <protection locked="0"/>
    </xf>
    <xf numFmtId="4" fontId="23" fillId="42" borderId="14" xfId="0" applyFont="1" applyFill="1" applyBorder="1" applyNumberFormat="1">
      <alignment horizontal="center" vertical="center" wrapText="1"/>
      <protection locked="0"/>
    </xf>
    <xf numFmtId="49" fontId="23" fillId="43" borderId="22" xfId="0" applyFont="1" applyFill="1" applyBorder="1" applyNumberFormat="1">
      <alignment horizontal="center" vertical="center" wrapText="1"/>
    </xf>
    <xf numFmtId="49" fontId="23" fillId="37" borderId="14" xfId="0" applyFont="1" applyFill="1" applyBorder="1" applyNumberFormat="1">
      <alignment horizontal="center" vertical="center" wrapText="1"/>
    </xf>
    <xf numFmtId="49" fontId="23" fillId="42" borderId="14" xfId="0" applyFont="1" applyFill="1" applyBorder="1" applyNumberFormat="1">
      <alignment horizontal="left" vertical="center" wrapText="1" indent="1"/>
      <protection locked="0"/>
    </xf>
    <xf numFmtId="49" fontId="23" fillId="39" borderId="38" xfId="0" applyFont="1" applyFill="1" applyBorder="1" applyNumberFormat="1">
      <alignment horizontal="left" vertical="center" wrapText="1" indent="6"/>
      <protection locked="0"/>
    </xf>
    <xf numFmtId="49" fontId="23" fillId="43" borderId="31" xfId="0" applyFont="1" applyFill="1" applyBorder="1" applyNumberFormat="1">
      <alignment horizontal="center" vertical="center" wrapText="1"/>
    </xf>
    <xf numFmtId="49" fontId="48" fillId="40" borderId="29" xfId="0" applyFont="1" applyFill="1" applyBorder="1" applyNumberFormat="1">
      <alignment horizontal="left" vertical="center"/>
    </xf>
    <xf numFmtId="49" fontId="23" fillId="39" borderId="25" xfId="0" applyFont="1" applyFill="1" applyBorder="1" applyNumberFormat="1">
      <alignment horizontal="left" vertical="center" wrapText="1" indent="6"/>
      <protection locked="0"/>
    </xf>
    <xf numFmtId="0" fontId="55" fillId="0" borderId="0" xfId="0" applyFont="1" applyNumberFormat="1">
      <alignment horizontal="center" vertical="center"/>
    </xf>
    <xf numFmtId="0" fontId="55" fillId="0" borderId="0" xfId="0" applyFont="1" applyNumberFormat="1">
      <alignment horizontal="left" vertical="center" wrapText="1" indent="1"/>
    </xf>
    <xf numFmtId="0" fontId="23" fillId="37" borderId="14" xfId="0" applyFont="1" applyFill="1" applyBorder="1" applyNumberFormat="1">
      <alignment horizontal="center" vertical="center" wrapText="1"/>
    </xf>
    <xf numFmtId="0" fontId="55" fillId="0" borderId="21" xfId="0" applyFont="1" applyBorder="1" applyNumberFormat="1">
      <alignment horizontal="left" vertical="center" wrapText="1"/>
    </xf>
    <xf numFmtId="0" fontId="23" fillId="0" borderId="0" xfId="0" applyFont="1" applyNumberFormat="1">
      <alignment horizontal="left" vertical="top" wrapText="1"/>
    </xf>
    <xf numFmtId="0" fontId="54" fillId="0" borderId="0" xfId="0" applyFont="1" applyNumberFormat="1">
      <alignment horizontal="center" vertical="center" wrapText="1"/>
    </xf>
    <xf numFmtId="0" fontId="23" fillId="37" borderId="14" xfId="0" applyFont="1" applyFill="1" applyBorder="1" applyNumberFormat="1">
      <alignment horizontal="left" vertical="center" wrapText="1"/>
    </xf>
    <xf numFmtId="0" fontId="23" fillId="0" borderId="0" xfId="0" applyFont="1" applyNumberFormat="1">
      <alignment horizontal="center" vertical="center" wrapText="1"/>
    </xf>
    <xf numFmtId="0" fontId="55" fillId="0" borderId="0" xfId="0" applyFont="1" applyNumberFormat="1">
      <alignment horizontal="center" vertical="center" wrapText="1"/>
    </xf>
    <xf numFmtId="49" fontId="23" fillId="0" borderId="14" xfId="0" applyFont="1" applyBorder="1" applyNumberFormat="1">
      <alignment horizontal="left" vertical="center" wrapText="1"/>
    </xf>
    <xf numFmtId="0" fontId="55" fillId="0" borderId="0" xfId="0" applyFont="1" applyNumberFormat="1">
      <alignment horizontal="center" vertical="center"/>
    </xf>
    <xf numFmtId="0" fontId="54" fillId="0" borderId="0" xfId="0" applyFont="1" applyNumberFormat="1">
      <alignment horizontal="center" vertical="center" wrapText="1"/>
    </xf>
    <xf numFmtId="0" fontId="23" fillId="0" borderId="0" xfId="0" applyFont="1" applyNumberFormat="1">
      <alignment horizontal="right" vertical="center" wrapText="1"/>
    </xf>
    <xf numFmtId="0" fontId="23" fillId="0" borderId="19" xfId="0" applyFont="1" applyBorder="1" applyNumberFormat="1">
      <alignment horizontal="center" vertical="center" wrapText="1"/>
    </xf>
    <xf numFmtId="0" fontId="0" fillId="0" borderId="14" xfId="0" applyFont="1" applyBorder="1" applyNumberFormat="1">
      <alignment horizontal="center" vertical="center" wrapText="1"/>
    </xf>
    <xf numFmtId="0" fontId="85" fillId="37" borderId="21" xfId="0" applyFont="1" applyFill="1" applyBorder="1" applyNumberFormat="1">
      <alignment horizontal="center" vertical="center" wrapText="1"/>
    </xf>
    <xf numFmtId="0" fontId="54" fillId="0" borderId="0" xfId="0" applyFont="1" applyNumberFormat="1">
      <alignment horizontal="center" vertical="center" wrapText="1"/>
    </xf>
    <xf numFmtId="49" fontId="23" fillId="0" borderId="0" xfId="0" applyFont="1" applyNumberFormat="1">
      <alignment vertical="center" wrapText="1"/>
    </xf>
    <xf numFmtId="49" fontId="23" fillId="43" borderId="14" xfId="0" applyFont="1" applyFill="1" applyBorder="1" applyNumberFormat="1">
      <alignment horizontal="center" vertical="center" wrapText="1"/>
    </xf>
    <xf numFmtId="49" fontId="23" fillId="37" borderId="14" xfId="0" applyFont="1" applyFill="1" applyBorder="1" applyNumberFormat="1">
      <alignment horizontal="center" vertical="center" wrapText="1"/>
    </xf>
    <xf numFmtId="49" fontId="23" fillId="42" borderId="14" xfId="0" applyFont="1" applyFill="1" applyBorder="1" applyNumberFormat="1">
      <alignment horizontal="left" vertical="center" wrapText="1" indent="1"/>
      <protection locked="0"/>
    </xf>
    <xf numFmtId="49" fontId="55" fillId="0" borderId="14" xfId="0" applyFont="1" applyBorder="1" applyNumberFormat="1">
      <alignment horizontal="center" vertical="center" wrapText="1"/>
    </xf>
    <xf numFmtId="0" fontId="23" fillId="37" borderId="14" xfId="0" applyFont="1" applyFill="1" applyBorder="1" applyNumberFormat="1">
      <alignment horizontal="center" vertical="center" wrapText="1"/>
    </xf>
    <xf numFmtId="0" fontId="23" fillId="0" borderId="0" xfId="0" applyFont="1" applyNumberFormat="1">
      <alignment horizontal="left" vertical="top" wrapText="1"/>
    </xf>
    <xf numFmtId="0" fontId="23" fillId="0" borderId="14" xfId="0" applyFont="1" applyBorder="1" applyNumberFormat="1">
      <alignment horizontal="center" vertical="center" wrapText="1"/>
    </xf>
    <xf numFmtId="49" fontId="23" fillId="37" borderId="14" xfId="0" applyFont="1" applyFill="1" applyBorder="1" applyNumberFormat="1">
      <alignment horizontal="center" vertical="center" wrapText="1"/>
    </xf>
    <xf numFmtId="0" fontId="54" fillId="0" borderId="0" xfId="0" applyFont="1" applyNumberFormat="1">
      <alignment horizontal="center" vertical="center" wrapText="1"/>
    </xf>
    <xf numFmtId="49" fontId="23" fillId="37" borderId="14" xfId="0" applyFont="1" applyFill="1" applyBorder="1" applyNumberFormat="1">
      <alignment horizontal="center" vertical="center" wrapText="1"/>
    </xf>
    <xf numFmtId="167" fontId="0" fillId="42" borderId="14" xfId="0" applyFont="1" applyFill="1" applyBorder="1" applyNumberFormat="1">
      <alignment horizontal="center" vertical="center" wrapText="1"/>
      <protection locked="0"/>
    </xf>
    <xf numFmtId="167" fontId="0" fillId="42" borderId="19" xfId="0" applyFont="1" applyFill="1" applyBorder="1" applyNumberFormat="1">
      <alignment horizontal="center" vertical="center" wrapText="1"/>
      <protection locked="0"/>
    </xf>
    <xf numFmtId="49" fontId="0" fillId="0" borderId="0" xfId="0" applyFont="1" applyNumberFormat="1">
      <alignment vertical="top"/>
    </xf>
    <xf numFmtId="0" fontId="54" fillId="0" borderId="0" xfId="0" applyFont="1" applyNumberFormat="1">
      <alignment horizontal="left" vertical="center" indent="1"/>
    </xf>
    <xf numFmtId="0" fontId="54" fillId="0" borderId="16" xfId="0" applyFont="1" applyBorder="1" applyNumberFormat="1">
      <alignment horizontal="center" vertical="center"/>
    </xf>
    <xf numFmtId="0" fontId="54" fillId="0" borderId="16" xfId="0" applyFont="1" applyBorder="1" applyNumberFormat="1">
      <alignment horizontal="center" vertical="center" wrapText="1"/>
    </xf>
    <xf numFmtId="0" fontId="54" fillId="0" borderId="14" xfId="0" applyFont="1" applyBorder="1" applyNumberFormat="1">
      <alignment horizontal="center" vertical="center" wrapText="1"/>
    </xf>
    <xf numFmtId="0" fontId="54" fillId="0" borderId="0" xfId="0" applyFont="1" applyNumberFormat="1">
      <alignment horizontal="center" vertical="center"/>
    </xf>
    <xf numFmtId="49" fontId="54" fillId="0" borderId="0" xfId="0" applyFont="1" applyNumberFormat="1">
      <alignment vertical="center" wrapText="1"/>
    </xf>
    <xf numFmtId="0" fontId="55" fillId="0" borderId="0" xfId="0" applyFont="1" applyNumberFormat="1">
      <alignment horizontal="center" vertical="center" wrapText="1"/>
    </xf>
    <xf numFmtId="0" fontId="44" fillId="0" borderId="0" xfId="0" applyFont="1" applyNumberFormat="1">
      <alignment horizontal="center" vertical="center" wrapText="1"/>
    </xf>
    <xf numFmtId="0" fontId="55" fillId="0" borderId="26" xfId="0" applyFont="1" applyBorder="1" applyNumberFormat="1">
      <alignment vertical="center" wrapText="1"/>
    </xf>
    <xf numFmtId="0" fontId="23" fillId="37" borderId="14" xfId="0" applyFont="1" applyFill="1" applyBorder="1" applyNumberFormat="1">
      <alignment horizontal="left" vertical="center" wrapText="1"/>
    </xf>
    <xf numFmtId="0" fontId="23" fillId="37" borderId="14" xfId="0" applyFont="1" applyFill="1" applyBorder="1" applyNumberFormat="1">
      <alignment horizontal="left" vertical="center" wrapText="1" indent="5"/>
    </xf>
    <xf numFmtId="0" fontId="23" fillId="0" borderId="14" xfId="0" applyFont="1" applyBorder="1" applyNumberFormat="1">
      <alignment horizontal="left" vertical="center" wrapText="1" indent="6"/>
    </xf>
    <xf numFmtId="0" fontId="23" fillId="43" borderId="16" xfId="0" applyFont="1" applyFill="1" applyBorder="1" applyNumberFormat="1">
      <alignment horizontal="left" vertical="center" wrapText="1"/>
    </xf>
    <xf numFmtId="0" fontId="23" fillId="43" borderId="17" xfId="0" applyFont="1" applyFill="1" applyBorder="1" applyNumberFormat="1">
      <alignment horizontal="left" vertical="center" wrapText="1"/>
    </xf>
    <xf numFmtId="0" fontId="23" fillId="43" borderId="15" xfId="0" applyFont="1" applyFill="1" applyBorder="1" applyNumberFormat="1">
      <alignment horizontal="left" vertical="center" wrapText="1"/>
    </xf>
    <xf numFmtId="0" fontId="53" fillId="0" borderId="19" xfId="0" applyFont="1" applyBorder="1" applyNumberFormat="1">
      <alignment vertical="top" wrapText="1"/>
    </xf>
    <xf numFmtId="0" fontId="55" fillId="0" borderId="0" xfId="0" applyFont="1" applyNumberFormat="1">
      <alignment vertical="center" wrapText="1"/>
    </xf>
    <xf numFmtId="0" fontId="55" fillId="0" borderId="0" xfId="0" applyFont="1" applyNumberFormat="1">
      <alignment vertical="center"/>
    </xf>
    <xf numFmtId="49" fontId="0" fillId="0" borderId="0" xfId="0" applyFont="1" applyNumberFormat="1">
      <alignment vertical="top"/>
    </xf>
    <xf numFmtId="49" fontId="23" fillId="39" borderId="14" xfId="0" applyFont="1" applyFill="1" applyBorder="1" applyNumberFormat="1">
      <alignment horizontal="left" vertical="center" wrapText="1" indent="6"/>
      <protection locked="0"/>
    </xf>
    <xf numFmtId="4" fontId="23" fillId="39" borderId="14" xfId="0" applyFont="1" applyFill="1" applyBorder="1" applyNumberFormat="1">
      <alignment horizontal="right" vertical="center" wrapText="1"/>
      <protection locked="0"/>
    </xf>
    <xf numFmtId="49" fontId="23" fillId="43" borderId="14" xfId="0" applyFont="1" applyFill="1" applyBorder="1" applyNumberFormat="1">
      <alignment horizontal="center" vertical="center" wrapText="1"/>
    </xf>
    <xf numFmtId="4" fontId="23" fillId="0" borderId="39" xfId="0" applyFont="1" applyBorder="1" applyNumberFormat="1">
      <alignment horizontal="right" vertical="center" wrapText="1"/>
    </xf>
    <xf numFmtId="0" fontId="53" fillId="0" borderId="14" xfId="0" applyFont="1" applyBorder="1" applyNumberFormat="1">
      <alignment horizontal="left" vertical="top" wrapText="1"/>
    </xf>
    <xf numFmtId="49" fontId="0" fillId="0" borderId="0" xfId="0" applyFont="1" applyNumberFormat="1">
      <alignment vertical="top"/>
    </xf>
    <xf numFmtId="49" fontId="23" fillId="0" borderId="14" xfId="0" applyFont="1" applyBorder="1" applyNumberFormat="1">
      <alignment horizontal="left" vertical="center" wrapText="1"/>
    </xf>
    <xf numFmtId="4" fontId="23" fillId="0" borderId="14" xfId="0" applyFont="1" applyBorder="1" applyNumberFormat="1">
      <alignment horizontal="right" vertical="center" wrapText="1"/>
    </xf>
    <xf numFmtId="49" fontId="0" fillId="42" borderId="14" xfId="0" applyFont="1" applyFill="1" applyBorder="1" applyNumberFormat="1">
      <alignment horizontal="center" vertical="center" wrapText="1"/>
      <protection locked="0"/>
    </xf>
    <xf numFmtId="49" fontId="0" fillId="42" borderId="25" xfId="0" applyFont="1" applyFill="1" applyBorder="1" applyNumberFormat="1">
      <alignment horizontal="center" vertical="center" wrapText="1"/>
      <protection locked="0"/>
    </xf>
    <xf numFmtId="4" fontId="23" fillId="0" borderId="32" xfId="0" applyFont="1" applyBorder="1" applyNumberFormat="1">
      <alignment horizontal="right" vertical="center" wrapText="1"/>
    </xf>
    <xf numFmtId="49" fontId="0" fillId="0" borderId="0" xfId="0" applyFont="1" applyNumberFormat="1">
      <alignment vertical="top"/>
    </xf>
    <xf numFmtId="0" fontId="55" fillId="0" borderId="26" xfId="0" applyFont="1" applyBorder="1" applyNumberFormat="1">
      <alignment horizontal="center" vertical="center" wrapText="1"/>
    </xf>
    <xf numFmtId="49" fontId="78" fillId="40" borderId="16" xfId="0" applyFont="1" applyFill="1" applyBorder="1" applyNumberFormat="1">
      <alignment horizontal="left" vertical="center"/>
    </xf>
    <xf numFmtId="49" fontId="48" fillId="40" borderId="17" xfId="0" applyFont="1" applyFill="1" applyBorder="1" applyNumberFormat="1">
      <alignment horizontal="left" vertical="center" indent="5"/>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0" fontId="53" fillId="0" borderId="14" xfId="0" applyFont="1" applyBorder="1" applyNumberFormat="1">
      <alignment vertical="top" wrapText="1"/>
    </xf>
    <xf numFmtId="49" fontId="0" fillId="0" borderId="0" xfId="0" applyFont="1" applyNumberFormat="1">
      <alignment vertical="top"/>
    </xf>
    <xf numFmtId="49" fontId="0" fillId="0" borderId="0" xfId="0" applyFont="1" applyNumberFormat="1">
      <alignment vertical="top"/>
    </xf>
    <xf numFmtId="49" fontId="0" fillId="0" borderId="0" xfId="0" applyFont="1" applyNumberFormat="1">
      <alignment vertical="top"/>
    </xf>
    <xf numFmtId="49" fontId="0" fillId="0" borderId="0" xfId="0" applyFont="1" applyNumberFormat="1">
      <alignment vertical="top"/>
    </xf>
    <xf numFmtId="49" fontId="78" fillId="40" borderId="16" xfId="0" applyFont="1" applyFill="1" applyBorder="1" applyNumberFormat="1">
      <alignment horizontal="left" vertical="center"/>
    </xf>
    <xf numFmtId="49" fontId="48" fillId="40" borderId="17" xfId="0" applyFont="1" applyFill="1" applyBorder="1" applyNumberFormat="1">
      <alignment horizontal="left" vertical="center" indent="5"/>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0" fillId="0" borderId="0" xfId="0" applyFont="1" applyNumberFormat="1">
      <alignment vertical="top"/>
    </xf>
    <xf numFmtId="49" fontId="0" fillId="0" borderId="0" xfId="0" applyFont="1" applyNumberFormat="1">
      <alignment vertical="top"/>
    </xf>
    <xf numFmtId="49" fontId="0" fillId="0" borderId="0" xfId="0" applyFont="1" applyNumberFormat="1">
      <alignment vertical="top"/>
    </xf>
    <xf numFmtId="49" fontId="0" fillId="0" borderId="0" xfId="0" applyFont="1" applyNumberFormat="1">
      <alignment vertical="top"/>
    </xf>
    <xf numFmtId="49" fontId="78" fillId="40" borderId="16" xfId="0" applyFont="1" applyFill="1" applyBorder="1" applyNumberFormat="1">
      <alignment horizontal="left" vertical="center"/>
    </xf>
    <xf numFmtId="49" fontId="48" fillId="40" borderId="17" xfId="0" applyFont="1" applyFill="1" applyBorder="1" applyNumberFormat="1">
      <alignment horizontal="left" vertical="center" indent="5"/>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0" fontId="54" fillId="0" borderId="0" xfId="0" applyFont="1" applyNumberFormat="1">
      <alignment horizontal="center" vertical="center" wrapText="1"/>
    </xf>
    <xf numFmtId="49" fontId="23" fillId="0" borderId="0" xfId="0" applyFont="1" applyNumberFormat="1">
      <alignment vertical="center" wrapText="1"/>
    </xf>
    <xf numFmtId="0" fontId="85" fillId="37" borderId="21" xfId="0" applyFont="1" applyFill="1" applyBorder="1" applyNumberFormat="1">
      <alignment horizontal="center" vertical="center" wrapText="1"/>
    </xf>
    <xf numFmtId="49" fontId="55" fillId="0" borderId="0" xfId="0" applyFont="1" applyNumberFormat="1">
      <alignment horizontal="center" vertical="center" wrapText="1"/>
    </xf>
    <xf numFmtId="49" fontId="23" fillId="0" borderId="0" xfId="0" applyFont="1" applyNumberFormat="1">
      <alignment horizontal="center" vertical="center" wrapText="1"/>
    </xf>
    <xf numFmtId="0" fontId="23" fillId="0" borderId="30" xfId="0" applyFont="1" applyBorder="1" applyNumberFormat="1">
      <alignment horizontal="center" vertical="center" wrapText="1"/>
    </xf>
    <xf numFmtId="0" fontId="23" fillId="42" borderId="14" xfId="0" applyFont="1" applyFill="1" applyBorder="1" applyNumberFormat="1">
      <alignment horizontal="left" vertical="center" wrapText="1" indent="2"/>
      <protection locked="0"/>
    </xf>
    <xf numFmtId="0" fontId="23" fillId="0" borderId="14" xfId="0" applyFont="1" applyBorder="1" applyNumberFormat="1">
      <alignment horizontal="center" vertical="center" wrapText="1"/>
    </xf>
    <xf numFmtId="0" fontId="23" fillId="0" borderId="14" xfId="0" applyFont="1" applyBorder="1" applyNumberFormat="1">
      <alignment vertical="center" wrapText="1"/>
    </xf>
    <xf numFmtId="0" fontId="89" fillId="0" borderId="0" xfId="0" applyFont="1" applyNumberFormat="1">
      <alignment vertical="center" wrapText="1"/>
    </xf>
    <xf numFmtId="0" fontId="55" fillId="0" borderId="30" xfId="0" applyFont="1" applyBorder="1" applyNumberFormat="1">
      <alignment horizontal="center" vertical="center" wrapText="1"/>
    </xf>
    <xf numFmtId="0" fontId="55" fillId="0" borderId="14" xfId="0" applyFont="1" applyBorder="1" applyNumberFormat="1">
      <alignment horizontal="left" vertical="center" wrapText="1" indent="2"/>
    </xf>
    <xf numFmtId="0" fontId="55" fillId="0" borderId="14" xfId="0" applyFont="1" applyBorder="1" applyNumberFormat="1">
      <alignment horizontal="center" vertical="center" wrapText="1"/>
    </xf>
    <xf numFmtId="0" fontId="55" fillId="0" borderId="14" xfId="0" applyFont="1" applyBorder="1" applyNumberFormat="1">
      <alignment vertical="center" wrapText="1"/>
    </xf>
    <xf numFmtId="0" fontId="23" fillId="0" borderId="14" xfId="0" applyFont="1" applyBorder="1" applyNumberFormat="1">
      <alignment horizontal="left" vertical="center" wrapText="1" indent="3"/>
    </xf>
    <xf numFmtId="49" fontId="23" fillId="42" borderId="14" xfId="0" applyFont="1" applyFill="1" applyBorder="1" applyNumberFormat="1">
      <alignment horizontal="center" vertical="center" wrapText="1"/>
      <protection locked="0"/>
    </xf>
    <xf numFmtId="4" fontId="23" fillId="39" borderId="14" xfId="0" applyFont="1" applyFill="1" applyBorder="1" applyNumberFormat="1">
      <alignment horizontal="right" vertical="center" wrapText="1"/>
      <protection locked="0"/>
    </xf>
    <xf numFmtId="0" fontId="23" fillId="39" borderId="14" xfId="0" applyFont="1" applyFill="1" applyBorder="1" applyNumberFormat="1">
      <alignment horizontal="left" vertical="center" wrapText="1"/>
      <protection locked="0"/>
    </xf>
    <xf numFmtId="49" fontId="96" fillId="0" borderId="0" xfId="0" applyFont="1" applyNumberFormat="1">
      <alignment horizontal="center" vertical="center" wrapText="1"/>
    </xf>
    <xf numFmtId="49" fontId="23" fillId="0" borderId="0" xfId="0" applyFont="1" applyNumberFormat="1">
      <alignment horizontal="center" vertical="top" wrapText="1"/>
    </xf>
    <xf numFmtId="0" fontId="23" fillId="0" borderId="14" xfId="0" applyFont="1" applyBorder="1" applyNumberFormat="1">
      <alignment horizontal="center" vertical="center" wrapText="1"/>
    </xf>
    <xf numFmtId="0" fontId="23" fillId="0" borderId="15" xfId="0" applyFont="1" applyBorder="1" applyNumberFormat="1">
      <alignment vertical="top" wrapText="1"/>
    </xf>
    <xf numFmtId="0" fontId="59" fillId="0" borderId="0" xfId="0" applyFont="1" applyNumberFormat="1">
      <alignment vertical="center" wrapText="1"/>
    </xf>
    <xf numFmtId="0" fontId="23" fillId="0" borderId="15" xfId="0" applyFont="1" applyBorder="1" applyNumberFormat="1">
      <alignment horizontal="center" vertical="center" wrapText="1"/>
    </xf>
    <xf numFmtId="166" fontId="23" fillId="39" borderId="14" xfId="0" applyFont="1" applyFill="1" applyBorder="1" applyNumberFormat="1">
      <alignment horizontal="right" vertical="center" wrapText="1"/>
      <protection locked="0"/>
    </xf>
    <xf numFmtId="0" fontId="23" fillId="0" borderId="22" xfId="0" applyFont="1" applyBorder="1" applyNumberFormat="1">
      <alignment vertical="center" wrapText="1"/>
    </xf>
    <xf numFmtId="0" fontId="40" fillId="0" borderId="0" xfId="0" applyFont="1" applyNumberFormat="1">
      <alignment vertical="center" wrapText="1"/>
    </xf>
    <xf numFmtId="0" fontId="40" fillId="0" borderId="0" xfId="0" applyFont="1" applyNumberFormat="1">
      <alignment vertical="center" wrapText="1"/>
    </xf>
    <xf numFmtId="0" fontId="22" fillId="0" borderId="0" xfId="0" applyFont="1" applyNumberFormat="1">
      <alignment vertical="center" wrapText="1"/>
    </xf>
    <xf numFmtId="0" fontId="23" fillId="0" borderId="0" xfId="0" applyFont="1" applyNumberFormat="1">
      <alignment horizontal="left" vertical="center" wrapText="1" indent="3"/>
    </xf>
    <xf numFmtId="0" fontId="102" fillId="37" borderId="0" xfId="0" applyFont="1" applyFill="1" applyNumberFormat="1">
      <alignment horizontal="right" vertical="center"/>
    </xf>
    <xf numFmtId="0" fontId="23" fillId="0" borderId="16" xfId="0" applyFont="1" applyBorder="1" applyNumberFormat="1">
      <alignment vertical="center" wrapText="1"/>
    </xf>
    <xf numFmtId="0" fontId="23" fillId="0" borderId="17" xfId="0" applyFont="1" applyBorder="1" applyNumberFormat="1">
      <alignment horizontal="right" vertical="center" wrapText="1" indent="1"/>
    </xf>
    <xf numFmtId="0" fontId="23" fillId="0" borderId="15" xfId="0" applyFont="1" applyBorder="1" applyNumberFormat="1">
      <alignment horizontal="right" vertical="center" wrapText="1" indent="1"/>
    </xf>
    <xf numFmtId="0" fontId="23" fillId="38" borderId="16" xfId="0" applyFont="1" applyFill="1" applyBorder="1" applyNumberFormat="1">
      <alignment horizontal="left" vertical="top" wrapText="1"/>
    </xf>
    <xf numFmtId="0" fontId="23" fillId="0" borderId="16" xfId="0" applyFont="1" applyBorder="1" applyNumberFormat="1">
      <alignment horizontal="right" vertical="center" wrapText="1"/>
    </xf>
    <xf numFmtId="0" fontId="23" fillId="0" borderId="17" xfId="0" applyFont="1" applyBorder="1" applyNumberFormat="1">
      <alignment horizontal="right" vertical="center" wrapText="1"/>
    </xf>
    <xf numFmtId="0" fontId="23" fillId="0" borderId="17" xfId="0" applyFont="1" applyBorder="1" applyNumberFormat="1">
      <alignment horizontal="right" vertical="center" wrapText="1" indent="1"/>
    </xf>
    <xf numFmtId="0" fontId="23" fillId="0" borderId="14" xfId="0" applyFont="1" applyBorder="1" applyNumberFormat="1">
      <alignment horizontal="center" vertical="center" wrapText="1"/>
    </xf>
    <xf numFmtId="0" fontId="23" fillId="0" borderId="14" xfId="0" applyFont="1" applyBorder="1" applyNumberFormat="1">
      <alignment horizontal="left" vertical="center" wrapText="1"/>
    </xf>
    <xf numFmtId="0" fontId="23" fillId="0" borderId="14" xfId="0" applyFont="1" applyBorder="1" applyNumberFormat="1">
      <alignment horizontal="center" vertical="center" wrapText="1"/>
    </xf>
    <xf numFmtId="4" fontId="23" fillId="42" borderId="14" xfId="0" applyFont="1" applyFill="1" applyBorder="1" applyNumberFormat="1">
      <alignment horizontal="right" vertical="center" wrapText="1"/>
      <protection locked="0"/>
    </xf>
    <xf numFmtId="4" fontId="23" fillId="38" borderId="14" xfId="0" applyFont="1" applyFill="1" applyBorder="1" applyNumberFormat="1">
      <alignment horizontal="right" vertical="center" wrapText="1"/>
    </xf>
    <xf numFmtId="0" fontId="23" fillId="0" borderId="14" xfId="0" applyFont="1" applyBorder="1" applyNumberFormat="1">
      <alignment horizontal="left" vertical="center" wrapText="1" indent="1"/>
    </xf>
    <xf numFmtId="49" fontId="96" fillId="48" borderId="0" xfId="0" applyFont="1" applyFill="1" applyNumberFormat="1">
      <alignment horizontal="center" vertical="center" textRotation="90" wrapText="1"/>
    </xf>
    <xf numFmtId="0" fontId="77" fillId="0" borderId="0" xfId="0" applyFont="1" applyNumberFormat="1">
      <alignment horizontal="center" vertical="center" wrapText="1"/>
    </xf>
    <xf numFmtId="49" fontId="77" fillId="0" borderId="0" xfId="0" applyFont="1" applyNumberFormat="1">
      <alignment horizontal="center" vertical="center" wrapText="1"/>
    </xf>
    <xf numFmtId="49" fontId="77" fillId="0" borderId="30" xfId="0" applyFont="1" applyBorder="1" applyNumberFormat="1">
      <alignment horizontal="center" vertical="center" wrapText="1"/>
    </xf>
    <xf numFmtId="0" fontId="77" fillId="0" borderId="14" xfId="0" applyFont="1" applyBorder="1" applyNumberFormat="1">
      <alignment horizontal="left" vertical="center" wrapText="1" indent="2"/>
    </xf>
    <xf numFmtId="0" fontId="77" fillId="0" borderId="14" xfId="0" applyFont="1" applyBorder="1" applyNumberFormat="1">
      <alignment horizontal="center" vertical="center" wrapText="1"/>
    </xf>
    <xf numFmtId="0" fontId="77" fillId="0" borderId="14" xfId="0" applyFont="1" applyBorder="1" applyNumberFormat="1">
      <alignment vertical="center" wrapText="1"/>
    </xf>
    <xf numFmtId="0" fontId="90" fillId="0" borderId="0" xfId="0" applyFont="1" applyNumberFormat="1">
      <alignment vertical="center" wrapText="1"/>
    </xf>
    <xf numFmtId="0" fontId="68" fillId="0" borderId="0" xfId="0" applyFont="1" applyNumberFormat="1">
      <alignment vertical="center" wrapText="1"/>
    </xf>
    <xf numFmtId="0" fontId="77" fillId="0" borderId="30" xfId="0" applyFont="1" applyBorder="1" applyNumberFormat="1">
      <alignment horizontal="center" vertical="center" wrapText="1"/>
    </xf>
    <xf numFmtId="0" fontId="77" fillId="0" borderId="14" xfId="0" applyFont="1" applyBorder="1" applyNumberFormat="1">
      <alignment horizontal="left" vertical="center" wrapText="1" indent="3"/>
    </xf>
    <xf numFmtId="4" fontId="77" fillId="0" borderId="14" xfId="0" applyFont="1" applyBorder="1" applyNumberFormat="1">
      <alignment horizontal="right" vertical="center" wrapText="1"/>
    </xf>
    <xf numFmtId="0" fontId="45" fillId="0" borderId="0" xfId="0" applyFont="1" applyNumberFormat="1">
      <alignment horizontal="center" vertical="center" wrapText="1"/>
    </xf>
    <xf numFmtId="49" fontId="23" fillId="40" borderId="16" xfId="0" applyFont="1" applyFill="1" applyBorder="1" applyNumberFormat="1">
      <alignment vertical="center" wrapText="1"/>
    </xf>
    <xf numFmtId="0" fontId="23" fillId="40" borderId="17" xfId="0" applyFont="1" applyFill="1" applyBorder="1" applyNumberFormat="1">
      <alignment vertical="center" wrapText="1"/>
    </xf>
    <xf numFmtId="0" fontId="54" fillId="40" borderId="15" xfId="0" applyFont="1" applyFill="1" applyBorder="1" applyNumberFormat="1">
      <alignment vertical="center" wrapText="1"/>
    </xf>
    <xf numFmtId="0" fontId="23" fillId="0" borderId="14" xfId="0" applyFont="1" applyBorder="1" applyNumberFormat="1">
      <alignment horizontal="left" vertical="center" wrapText="1" indent="2"/>
    </xf>
    <xf numFmtId="14" fontId="23" fillId="0" borderId="0" xfId="0" applyFont="1" applyNumberFormat="1">
      <alignment horizontal="center" vertical="center" wrapText="1"/>
    </xf>
    <xf numFmtId="49" fontId="96" fillId="48" borderId="0" xfId="0" applyFont="1" applyFill="1" applyNumberFormat="1">
      <alignment horizontal="center" vertical="center" wrapText="1"/>
    </xf>
    <xf numFmtId="49" fontId="36" fillId="0" borderId="0" xfId="0" applyFont="1" applyNumberFormat="1">
      <alignment horizontal="center" vertical="center"/>
    </xf>
    <xf numFmtId="166" fontId="23" fillId="42" borderId="14" xfId="0" applyFont="1" applyFill="1" applyBorder="1" applyNumberFormat="1">
      <alignment horizontal="right" vertical="center" wrapText="1"/>
      <protection locked="0"/>
    </xf>
    <xf numFmtId="0" fontId="54" fillId="0" borderId="0" xfId="0" applyFont="1" applyNumberFormat="1">
      <alignment horizontal="left" vertical="center" wrapText="1"/>
    </xf>
    <xf numFmtId="49" fontId="96" fillId="0" borderId="0" xfId="0" applyFont="1" applyNumberFormat="1">
      <alignment horizontal="left" vertical="center" wrapText="1"/>
    </xf>
    <xf numFmtId="0" fontId="55" fillId="0" borderId="0" xfId="0" applyFont="1" applyNumberFormat="1">
      <alignment horizontal="left" vertical="center" wrapText="1"/>
    </xf>
    <xf numFmtId="49" fontId="23" fillId="0" borderId="0" xfId="0" applyFont="1" applyNumberFormat="1">
      <alignment horizontal="left" vertical="center" wrapText="1"/>
    </xf>
    <xf numFmtId="0" fontId="59" fillId="0" borderId="0" xfId="0" applyFont="1" applyNumberFormat="1">
      <alignment horizontal="left" vertical="center" wrapText="1"/>
    </xf>
    <xf numFmtId="0" fontId="40" fillId="0" borderId="0" xfId="0" applyFont="1" applyNumberFormat="1">
      <alignment horizontal="left" vertical="center" wrapText="1"/>
    </xf>
    <xf numFmtId="49" fontId="23" fillId="43" borderId="14" xfId="0" applyFont="1" applyFill="1" applyBorder="1" applyNumberFormat="1">
      <alignment horizontal="left" vertical="center" wrapText="1"/>
    </xf>
    <xf numFmtId="0" fontId="23" fillId="0" borderId="19" xfId="0" applyFont="1" applyBorder="1" applyNumberFormat="1">
      <alignment horizontal="center" vertical="center" wrapText="1"/>
    </xf>
    <xf numFmtId="4" fontId="23" fillId="38" borderId="19" xfId="0" applyFont="1" applyFill="1" applyBorder="1" applyNumberFormat="1">
      <alignment horizontal="right" vertical="center" wrapText="1"/>
    </xf>
    <xf numFmtId="0" fontId="55" fillId="0" borderId="14" xfId="0" applyFont="1" applyBorder="1" applyNumberFormat="1">
      <alignment horizontal="left" vertical="center" wrapText="1" indent="3"/>
    </xf>
    <xf numFmtId="49" fontId="55" fillId="0" borderId="14" xfId="0" applyFont="1" applyBorder="1" applyNumberFormat="1">
      <alignment vertical="center" wrapText="1"/>
    </xf>
    <xf numFmtId="0" fontId="55" fillId="0" borderId="19" xfId="0" applyFont="1" applyBorder="1" applyNumberFormat="1">
      <alignment vertical="top" wrapText="1"/>
    </xf>
    <xf numFmtId="4" fontId="23" fillId="42" borderId="15" xfId="0" applyFont="1" applyFill="1" applyBorder="1" applyNumberFormat="1">
      <alignment horizontal="right" vertical="center" wrapText="1"/>
      <protection locked="0"/>
    </xf>
    <xf numFmtId="49" fontId="34" fillId="39" borderId="15" xfId="0" applyFont="1" applyFill="1" applyBorder="1" applyNumberFormat="1">
      <alignment horizontal="left" vertical="center" wrapText="1"/>
      <protection locked="0"/>
    </xf>
    <xf numFmtId="49" fontId="34" fillId="39" borderId="14" xfId="0" applyFont="1" applyFill="1" applyBorder="1" applyNumberFormat="1">
      <alignment horizontal="left" vertical="center" wrapText="1"/>
      <protection locked="0"/>
    </xf>
    <xf numFmtId="0" fontId="54" fillId="0" borderId="0" xfId="0" applyFont="1" applyNumberFormat="1">
      <alignment vertical="center" wrapText="1"/>
    </xf>
    <xf numFmtId="0" fontId="55" fillId="0" borderId="0" xfId="0" applyFont="1" applyNumberFormat="1">
      <alignment vertical="center" wrapText="1"/>
    </xf>
    <xf numFmtId="49" fontId="23" fillId="0" borderId="0" xfId="0" applyFont="1" applyNumberFormat="1">
      <alignment horizontal="center" vertical="center" wrapText="1"/>
    </xf>
    <xf numFmtId="0" fontId="23" fillId="0" borderId="14" xfId="0" applyFont="1" applyBorder="1" applyNumberFormat="1">
      <alignment horizontal="center" vertical="center" wrapText="1"/>
    </xf>
    <xf numFmtId="166" fontId="23" fillId="42" borderId="15" xfId="0" applyFont="1" applyFill="1" applyBorder="1" applyNumberFormat="1">
      <alignment horizontal="right" vertical="center" wrapText="1"/>
      <protection locked="0"/>
    </xf>
    <xf numFmtId="0" fontId="89" fillId="0" borderId="0" xfId="0" applyFont="1" applyNumberFormat="1">
      <alignment vertical="center" wrapText="1"/>
    </xf>
    <xf numFmtId="0" fontId="59" fillId="0" borderId="0" xfId="0" applyFont="1" applyNumberFormat="1">
      <alignment vertical="center" wrapText="1"/>
    </xf>
    <xf numFmtId="0" fontId="40" fillId="0" borderId="0" xfId="0" applyFont="1" applyNumberFormat="1">
      <alignment vertical="center" wrapText="1"/>
    </xf>
    <xf numFmtId="49" fontId="36" fillId="0" borderId="0" xfId="0" applyFont="1" applyNumberFormat="1">
      <alignment horizontal="center" vertical="center"/>
    </xf>
    <xf numFmtId="0" fontId="23" fillId="0" borderId="0" xfId="0" applyFont="1" applyNumberFormat="1">
      <alignment vertical="center" wrapText="1"/>
    </xf>
    <xf numFmtId="0" fontId="54" fillId="0" borderId="0" xfId="0" applyFont="1" applyNumberFormat="1">
      <alignment vertical="center" wrapText="1"/>
    </xf>
    <xf numFmtId="166" fontId="23" fillId="38" borderId="15" xfId="0" applyFont="1" applyFill="1" applyBorder="1" applyNumberFormat="1">
      <alignment horizontal="right" vertical="center" wrapText="1"/>
    </xf>
    <xf numFmtId="166" fontId="23" fillId="38" borderId="14" xfId="0" applyFont="1" applyFill="1" applyBorder="1" applyNumberFormat="1">
      <alignment horizontal="right" vertical="center" wrapText="1"/>
    </xf>
    <xf numFmtId="49" fontId="96" fillId="48" borderId="0" xfId="0" applyFont="1" applyFill="1" applyNumberFormat="1">
      <alignment horizontal="center" vertical="center" textRotation="90" wrapText="1"/>
    </xf>
    <xf numFmtId="0" fontId="23" fillId="42" borderId="14" xfId="0" applyFont="1" applyFill="1" applyBorder="1" applyNumberFormat="1">
      <alignment horizontal="center" vertical="center" wrapText="1"/>
      <protection locked="0"/>
    </xf>
    <xf numFmtId="4" fontId="23" fillId="42" borderId="31" xfId="0" applyFont="1" applyFill="1" applyBorder="1" applyNumberFormat="1">
      <alignment horizontal="right" vertical="center" wrapText="1"/>
      <protection locked="0"/>
    </xf>
    <xf numFmtId="4" fontId="23" fillId="42" borderId="25" xfId="0" applyFont="1" applyFill="1" applyBorder="1" applyNumberFormat="1">
      <alignment horizontal="right" vertical="center" wrapText="1"/>
      <protection locked="0"/>
    </xf>
    <xf numFmtId="0" fontId="55" fillId="0" borderId="38" xfId="0" applyFont="1" applyBorder="1" applyNumberFormat="1">
      <alignment horizontal="left" vertical="center" wrapText="1" indent="1"/>
    </xf>
    <xf numFmtId="0" fontId="55" fillId="0" borderId="38" xfId="0" applyFont="1" applyBorder="1" applyNumberFormat="1">
      <alignment horizontal="center" vertical="center" wrapText="1"/>
    </xf>
    <xf numFmtId="0" fontId="55" fillId="0" borderId="19" xfId="0" applyFont="1" applyBorder="1" applyNumberFormat="1">
      <alignment vertical="center" wrapText="1"/>
    </xf>
    <xf numFmtId="49" fontId="23" fillId="40" borderId="39" xfId="0" applyFont="1" applyFill="1" applyBorder="1" applyNumberFormat="1">
      <alignment vertical="center" wrapText="1"/>
    </xf>
    <xf numFmtId="49" fontId="48" fillId="40" borderId="21" xfId="0" applyFont="1" applyFill="1" applyBorder="1" applyNumberFormat="1">
      <alignment horizontal="left" vertical="center" indent="1"/>
    </xf>
    <xf numFmtId="0" fontId="23" fillId="0" borderId="25" xfId="0" applyFont="1" applyBorder="1" applyNumberFormat="1">
      <alignment vertical="top" wrapText="1"/>
    </xf>
    <xf numFmtId="0" fontId="23" fillId="0" borderId="15" xfId="0" applyFont="1" applyBorder="1" applyNumberFormat="1">
      <alignment horizontal="center" vertical="center" wrapText="1"/>
    </xf>
    <xf numFmtId="0" fontId="23" fillId="0" borderId="15" xfId="0" applyFont="1" applyBorder="1" applyNumberFormat="1">
      <alignment horizontal="center" vertical="center" wrapText="1"/>
    </xf>
    <xf numFmtId="0" fontId="23" fillId="0" borderId="22" xfId="0" applyFont="1" applyBorder="1" applyNumberFormat="1">
      <alignment horizontal="center" vertical="center" wrapText="1"/>
    </xf>
    <xf numFmtId="166" fontId="23" fillId="42" borderId="19" xfId="0" applyFont="1" applyFill="1" applyBorder="1" applyNumberFormat="1">
      <alignment horizontal="right" vertical="center" wrapText="1"/>
      <protection locked="0"/>
    </xf>
    <xf numFmtId="0" fontId="55" fillId="0" borderId="25" xfId="0" applyFont="1" applyBorder="1" applyNumberFormat="1">
      <alignment horizontal="left" vertical="center" wrapText="1" indent="1"/>
    </xf>
    <xf numFmtId="0" fontId="55" fillId="0" borderId="19" xfId="0" applyFont="1" applyBorder="1" applyNumberFormat="1">
      <alignment horizontal="center" vertical="center" wrapText="1"/>
    </xf>
    <xf numFmtId="0" fontId="45" fillId="0" borderId="0" xfId="0" applyFont="1" applyNumberFormat="1">
      <alignment horizontal="center" vertical="center" wrapText="1"/>
    </xf>
    <xf numFmtId="49" fontId="23" fillId="40" borderId="39" xfId="0" applyFont="1" applyFill="1" applyBorder="1" applyNumberFormat="1">
      <alignment vertical="center" wrapText="1"/>
    </xf>
    <xf numFmtId="49" fontId="48" fillId="40" borderId="21" xfId="0" applyFont="1" applyFill="1" applyBorder="1" applyNumberFormat="1">
      <alignment horizontal="left" vertical="center" indent="1"/>
    </xf>
    <xf numFmtId="0" fontId="23" fillId="40" borderId="17" xfId="0" applyFont="1" applyFill="1" applyBorder="1" applyNumberFormat="1">
      <alignment vertical="center" wrapText="1"/>
    </xf>
    <xf numFmtId="0" fontId="54" fillId="40" borderId="15" xfId="0" applyFont="1" applyFill="1" applyBorder="1" applyNumberFormat="1">
      <alignment vertical="center" wrapText="1"/>
    </xf>
    <xf numFmtId="0" fontId="23" fillId="0" borderId="25" xfId="0" applyFont="1" applyBorder="1" applyNumberFormat="1">
      <alignment vertical="top" wrapText="1"/>
    </xf>
    <xf numFmtId="0" fontId="55" fillId="0" borderId="19" xfId="0" applyFont="1" applyBorder="1" applyNumberFormat="1">
      <alignment horizontal="left" vertical="center" wrapText="1" indent="1"/>
    </xf>
    <xf numFmtId="49" fontId="34" fillId="39" borderId="14" xfId="0" applyFont="1" applyFill="1" applyBorder="1" applyNumberFormat="1">
      <alignment horizontal="left" vertical="center" wrapText="1"/>
      <protection locked="0"/>
    </xf>
    <xf numFmtId="0" fontId="23" fillId="0" borderId="0" xfId="0" applyFont="1" applyNumberFormat="1">
      <alignment vertical="top" wrapText="1"/>
    </xf>
    <xf numFmtId="0" fontId="23" fillId="0" borderId="0" xfId="0" applyFont="1" applyNumberFormat="1">
      <alignment horizontal="left" vertical="top" wrapText="1"/>
    </xf>
    <xf numFmtId="0" fontId="23" fillId="0" borderId="0" xfId="0" applyFont="1" applyNumberFormat="1">
      <alignment horizontal="left" vertical="center" wrapText="1"/>
    </xf>
    <xf numFmtId="0" fontId="59" fillId="0" borderId="0" xfId="0" applyFont="1" applyNumberFormat="1">
      <alignment vertical="center"/>
    </xf>
    <xf numFmtId="0" fontId="96" fillId="0" borderId="0" xfId="0" applyFont="1" applyNumberFormat="1">
      <alignment vertical="center" wrapText="1"/>
    </xf>
    <xf numFmtId="49" fontId="96" fillId="0" borderId="0" xfId="0" applyFont="1" applyNumberFormat="1">
      <alignment horizontal="center" vertical="center" wrapText="1"/>
    </xf>
    <xf numFmtId="0" fontId="23" fillId="0" borderId="0" xfId="0" applyFont="1" applyNumberFormat="1">
      <alignment vertical="center" wrapText="1"/>
    </xf>
    <xf numFmtId="0" fontId="59" fillId="0" borderId="0" xfId="0" applyFont="1" applyNumberFormat="1">
      <alignment vertical="center" wrapText="1"/>
    </xf>
    <xf numFmtId="0" fontId="23" fillId="0" borderId="21" xfId="0" applyFont="1" applyBorder="1" applyNumberFormat="1">
      <alignment vertical="center" wrapText="1"/>
    </xf>
    <xf numFmtId="0" fontId="23" fillId="0" borderId="0" xfId="0" applyFont="1" applyNumberFormat="1">
      <alignment horizontal="center" vertical="center" wrapText="1"/>
    </xf>
    <xf numFmtId="49" fontId="40" fillId="0" borderId="0" xfId="0" applyFont="1" applyNumberFormat="1">
      <alignment horizontal="center" vertical="center" wrapText="1"/>
    </xf>
    <xf numFmtId="0" fontId="23" fillId="0" borderId="29" xfId="0" applyFont="1" applyBorder="1" applyNumberFormat="1">
      <alignment vertical="center" wrapText="1"/>
    </xf>
    <xf numFmtId="0" fontId="55" fillId="0" borderId="0" xfId="0" applyFont="1" applyNumberFormat="1">
      <alignment vertical="center" wrapText="1"/>
    </xf>
    <xf numFmtId="0" fontId="40" fillId="0" borderId="0" xfId="0" applyFont="1" applyNumberFormat="1">
      <alignment vertical="center" wrapText="1"/>
    </xf>
    <xf numFmtId="0" fontId="36" fillId="0" borderId="0" xfId="0" applyFont="1" applyNumberFormat="1">
      <alignment horizontal="center" vertical="center" wrapText="1"/>
    </xf>
    <xf numFmtId="49" fontId="68" fillId="0" borderId="0" xfId="0" applyFont="1" applyNumberFormat="1">
      <alignment horizontal="center" vertical="center" wrapText="1"/>
    </xf>
    <xf numFmtId="0" fontId="77" fillId="0" borderId="0" xfId="0" applyFont="1" applyNumberFormat="1">
      <alignment horizontal="center" vertical="center" wrapText="1"/>
    </xf>
    <xf numFmtId="0" fontId="105" fillId="0" borderId="0" xfId="0" applyFont="1" applyNumberFormat="1">
      <alignment horizontal="center" vertical="center" wrapText="1"/>
    </xf>
    <xf numFmtId="0" fontId="106" fillId="37" borderId="0" xfId="0" applyFont="1" applyFill="1" applyNumberFormat="1">
      <alignment horizontal="right" vertical="center"/>
    </xf>
    <xf numFmtId="0" fontId="68" fillId="0" borderId="0" xfId="0" applyFont="1" applyNumberFormat="1">
      <alignment vertical="center" wrapText="1"/>
    </xf>
    <xf numFmtId="0" fontId="76" fillId="0" borderId="0" xfId="0" applyFont="1" applyNumberFormat="1">
      <alignment vertical="center" wrapText="1"/>
    </xf>
    <xf numFmtId="0" fontId="23" fillId="0" borderId="14" xfId="0" applyFont="1" applyBorder="1" applyNumberFormat="1">
      <alignment horizontal="center" vertical="center" wrapText="1"/>
    </xf>
    <xf numFmtId="49" fontId="55" fillId="0" borderId="0" xfId="0" applyFont="1" applyNumberFormat="1">
      <alignment horizontal="center" vertical="center" wrapText="1"/>
    </xf>
    <xf numFmtId="49" fontId="55" fillId="0" borderId="0" xfId="0" applyFont="1" applyNumberFormat="1">
      <alignment horizontal="center" vertical="center" wrapText="1"/>
    </xf>
    <xf numFmtId="0" fontId="23" fillId="0" borderId="0" xfId="0" applyFont="1" applyNumberFormat="1">
      <alignment vertical="center" wrapText="1"/>
    </xf>
    <xf numFmtId="49" fontId="40" fillId="0" borderId="0" xfId="0" applyFont="1" applyNumberFormat="1">
      <alignment horizontal="center" vertical="center" wrapText="1"/>
    </xf>
    <xf numFmtId="49" fontId="23" fillId="0" borderId="0" xfId="0" applyFont="1" applyNumberFormat="1">
      <alignment horizontal="center" vertical="center" wrapText="1"/>
    </xf>
    <xf numFmtId="4" fontId="23" fillId="0" borderId="0" xfId="0" applyFont="1" applyNumberFormat="1">
      <alignment horizontal="right" vertical="center" wrapText="1"/>
    </xf>
    <xf numFmtId="9" fontId="36" fillId="0" borderId="0" xfId="0" applyFont="1" applyNumberFormat="1">
      <alignment horizontal="center" vertical="center" wrapText="1"/>
    </xf>
    <xf numFmtId="0" fontId="76" fillId="0" borderId="0" xfId="0" applyFont="1" applyNumberFormat="1">
      <alignment vertical="center" wrapText="1"/>
    </xf>
    <xf numFmtId="0" fontId="55" fillId="0" borderId="0" xfId="0" applyFont="1" applyNumberFormat="1">
      <alignment vertical="center" wrapText="1"/>
    </xf>
    <xf numFmtId="0" fontId="40" fillId="0" borderId="0" xfId="0" applyFont="1" applyNumberFormat="1">
      <alignment vertical="center" wrapText="1"/>
    </xf>
    <xf numFmtId="0" fontId="0" fillId="0" borderId="0" xfId="0" applyFont="1" applyNumberFormat="1">
      <alignment vertical="top"/>
    </xf>
    <xf numFmtId="49" fontId="0" fillId="0" borderId="0" xfId="0" applyFont="1" applyNumberFormat="1">
      <alignment vertical="top"/>
    </xf>
    <xf numFmtId="49" fontId="55" fillId="0" borderId="19" xfId="0" applyFont="1" applyBorder="1" applyNumberFormat="1">
      <alignment horizontal="center" vertical="center" wrapText="1"/>
    </xf>
    <xf numFmtId="0" fontId="0" fillId="0" borderId="16" xfId="0" applyFont="1" applyBorder="1" applyNumberFormat="1">
      <alignment horizontal="right" vertical="center" wrapText="1" indent="1"/>
    </xf>
    <xf numFmtId="0" fontId="0" fillId="0" borderId="17" xfId="0" applyFont="1" applyBorder="1" applyNumberFormat="1">
      <alignment horizontal="right" vertical="center" wrapText="1" indent="1"/>
    </xf>
    <xf numFmtId="0" fontId="0" fillId="0" borderId="15" xfId="0" applyFont="1" applyBorder="1" applyNumberFormat="1">
      <alignment horizontal="right" vertical="center" wrapText="1" indent="1"/>
    </xf>
    <xf numFmtId="0" fontId="0" fillId="38" borderId="14" xfId="0" applyFont="1" applyFill="1" applyBorder="1" applyNumberFormat="1">
      <alignment horizontal="left" vertical="center" wrapText="1" indent="1"/>
    </xf>
    <xf numFmtId="0" fontId="23" fillId="0" borderId="15" xfId="0" applyFont="1" applyBorder="1" applyNumberFormat="1">
      <alignment horizontal="left" vertical="center" wrapText="1" indent="1"/>
    </xf>
    <xf numFmtId="49" fontId="55" fillId="0" borderId="24" xfId="0" applyFont="1" applyBorder="1" applyNumberFormat="1">
      <alignment vertical="top"/>
    </xf>
    <xf numFmtId="49" fontId="55" fillId="0" borderId="0" xfId="0" applyFont="1" applyNumberFormat="1">
      <alignment vertical="top"/>
    </xf>
    <xf numFmtId="49" fontId="54" fillId="0" borderId="0" xfId="0" applyFont="1" applyNumberFormat="1">
      <alignment vertical="top"/>
    </xf>
    <xf numFmtId="49" fontId="55" fillId="0" borderId="0" xfId="0" applyFont="1" applyNumberFormat="1">
      <alignment vertical="top"/>
    </xf>
    <xf numFmtId="49" fontId="54" fillId="0" borderId="0" xfId="0" applyFont="1" applyNumberFormat="1">
      <alignment vertical="top"/>
    </xf>
    <xf numFmtId="0" fontId="54" fillId="0" borderId="0" xfId="0" applyFont="1" applyNumberFormat="1">
      <alignment horizontal="center" vertical="top"/>
    </xf>
    <xf numFmtId="49" fontId="54" fillId="0" borderId="0" xfId="0" applyFont="1" applyNumberFormat="1">
      <alignment vertical="top"/>
    </xf>
    <xf numFmtId="0" fontId="54" fillId="0" borderId="0" xfId="0" applyFont="1" applyNumberFormat="1">
      <alignment vertical="top"/>
    </xf>
    <xf numFmtId="0" fontId="79" fillId="0" borderId="0" xfId="0" applyFont="1" applyNumberFormat="1">
      <alignment vertical="top"/>
    </xf>
    <xf numFmtId="0" fontId="92" fillId="0" borderId="0" xfId="0" applyFont="1" applyNumberFormat="1">
      <alignment vertical="top"/>
    </xf>
    <xf numFmtId="49" fontId="55" fillId="0" borderId="38" xfId="0" applyFont="1" applyBorder="1" applyNumberFormat="1">
      <alignment horizontal="center" vertical="center" wrapText="1"/>
    </xf>
    <xf numFmtId="0" fontId="54" fillId="0" borderId="0" xfId="0" applyFont="1" applyNumberFormat="1">
      <alignment horizontal="center" vertical="center" wrapText="1"/>
    </xf>
    <xf numFmtId="0" fontId="23" fillId="0" borderId="25" xfId="0" applyFont="1" applyBorder="1" applyNumberFormat="1">
      <alignment horizontal="left" vertical="center" wrapText="1"/>
    </xf>
    <xf numFmtId="2" fontId="23" fillId="0" borderId="25" xfId="0" applyFont="1" applyBorder="1" applyNumberFormat="1">
      <alignment horizontal="center" vertical="center" wrapText="1"/>
    </xf>
    <xf numFmtId="0" fontId="23" fillId="0" borderId="14" xfId="0" applyFont="1" applyBorder="1" applyNumberFormat="1">
      <alignment horizontal="left" vertical="center" wrapText="1"/>
    </xf>
    <xf numFmtId="49" fontId="55" fillId="0" borderId="24" xfId="0" applyFont="1" applyBorder="1" applyNumberFormat="1">
      <alignment vertical="top"/>
    </xf>
    <xf numFmtId="0" fontId="55" fillId="0" borderId="0" xfId="0" applyFont="1" applyNumberFormat="1">
      <alignment horizontal="center" vertical="center" wrapText="1"/>
    </xf>
    <xf numFmtId="0" fontId="55" fillId="0" borderId="0" xfId="0" applyFont="1" applyNumberFormat="1">
      <alignment horizontal="center" vertical="center" wrapText="1"/>
    </xf>
    <xf numFmtId="0" fontId="55" fillId="0" borderId="14" xfId="0" applyFont="1" applyBorder="1" applyNumberFormat="1">
      <alignment horizontal="left" vertical="center" wrapText="1"/>
    </xf>
    <xf numFmtId="0" fontId="55" fillId="0" borderId="14" xfId="0" applyFont="1" applyBorder="1" applyNumberFormat="1">
      <alignment vertical="center" wrapText="1"/>
    </xf>
    <xf numFmtId="0" fontId="55" fillId="0" borderId="24" xfId="0" applyFont="1" applyBorder="1" applyNumberFormat="1">
      <alignment vertical="center" wrapText="1"/>
    </xf>
    <xf numFmtId="49" fontId="48" fillId="40" borderId="16" xfId="0" applyFont="1" applyFill="1" applyBorder="1" applyNumberFormat="1">
      <alignment horizontal="left" vertical="center"/>
    </xf>
    <xf numFmtId="49" fontId="48" fillId="40" borderId="17" xfId="0" applyFont="1" applyFill="1" applyBorder="1" applyNumberFormat="1">
      <alignment horizontal="left" vertical="center" indent="1"/>
    </xf>
    <xf numFmtId="49" fontId="48" fillId="40" borderId="17" xfId="0" applyFont="1" applyFill="1" applyBorder="1" applyNumberFormat="1">
      <alignment horizontal="left" vertical="center"/>
    </xf>
    <xf numFmtId="49" fontId="48" fillId="40" borderId="15" xfId="0" applyFont="1" applyFill="1" applyBorder="1" applyNumberFormat="1">
      <alignment horizontal="left" vertical="center" indent="1"/>
    </xf>
    <xf numFmtId="0" fontId="23" fillId="0" borderId="25" xfId="0" applyFont="1" applyBorder="1" applyNumberFormat="1">
      <alignment horizontal="left" vertical="center" wrapText="1"/>
    </xf>
    <xf numFmtId="0" fontId="23" fillId="0" borderId="14" xfId="0" applyFont="1" applyBorder="1" applyNumberFormat="1">
      <alignment horizontal="left" vertical="center" wrapText="1"/>
    </xf>
    <xf numFmtId="0" fontId="54" fillId="0" borderId="0" xfId="0" applyFont="1" applyNumberFormat="1">
      <alignment horizontal="center" vertical="top"/>
    </xf>
    <xf numFmtId="0" fontId="55" fillId="0" borderId="0" xfId="0" applyFont="1" applyNumberFormat="1">
      <alignment horizontal="center" vertical="center" wrapText="1"/>
    </xf>
    <xf numFmtId="49" fontId="55" fillId="0" borderId="25" xfId="0" applyFont="1" applyBorder="1" applyNumberFormat="1">
      <alignment horizontal="center" vertical="center" wrapText="1"/>
    </xf>
    <xf numFmtId="49" fontId="48" fillId="0" borderId="21" xfId="0" applyFont="1" applyBorder="1" applyNumberFormat="1">
      <alignment horizontal="right" vertical="center"/>
    </xf>
    <xf numFmtId="0" fontId="23" fillId="0" borderId="0" xfId="0" applyFont="1" applyNumberFormat="1">
      <alignment horizontal="right" vertical="center" wrapText="1"/>
    </xf>
    <xf numFmtId="0" fontId="0" fillId="0" borderId="0" xfId="0" applyFont="1" applyNumberFormat="1">
      <alignment vertical="center"/>
    </xf>
    <xf numFmtId="0" fontId="53" fillId="0" borderId="0" xfId="0" applyFont="1" applyNumberFormat="1">
      <alignment horizontal="right" vertical="top" wrapText="1"/>
    </xf>
    <xf numFmtId="0" fontId="53" fillId="0" borderId="0" xfId="0" applyFont="1" applyNumberFormat="1">
      <alignment horizontal="left" vertical="top" wrapText="1"/>
    </xf>
    <xf numFmtId="49" fontId="40" fillId="0" borderId="0" xfId="0" applyFont="1" applyNumberFormat="1">
      <alignment horizontal="center" vertical="center" wrapText="1"/>
    </xf>
    <xf numFmtId="0" fontId="55" fillId="0" borderId="0" xfId="0" applyFont="1" applyNumberFormat="1">
      <alignment vertical="center" wrapText="1"/>
    </xf>
    <xf numFmtId="0" fontId="40" fillId="0" borderId="0" xfId="0" applyFont="1" applyNumberFormat="1">
      <alignment vertical="center" wrapText="1"/>
    </xf>
    <xf numFmtId="0" fontId="23" fillId="0" borderId="14" xfId="0" applyFont="1" applyBorder="1" applyNumberFormat="1">
      <alignment horizontal="center" vertical="center" wrapText="1"/>
    </xf>
    <xf numFmtId="0" fontId="23" fillId="0" borderId="14" xfId="0" applyFont="1" applyBorder="1" applyNumberFormat="1">
      <alignment horizontal="center" vertical="center" wrapText="1"/>
    </xf>
    <xf numFmtId="0" fontId="23" fillId="38" borderId="16" xfId="0" applyFont="1" applyFill="1" applyBorder="1" applyNumberFormat="1">
      <alignment horizontal="left" vertical="top" wrapText="1"/>
    </xf>
    <xf numFmtId="0" fontId="55" fillId="0" borderId="16" xfId="0" applyFont="1" applyBorder="1" applyNumberFormat="1">
      <alignment vertical="center" wrapText="1"/>
    </xf>
    <xf numFmtId="0" fontId="55" fillId="0" borderId="17" xfId="0" applyFont="1" applyBorder="1" applyNumberFormat="1">
      <alignment horizontal="right" vertical="center" wrapText="1" indent="1"/>
    </xf>
    <xf numFmtId="0" fontId="55" fillId="0" borderId="15" xfId="0" applyFont="1" applyBorder="1" applyNumberFormat="1">
      <alignment horizontal="right" vertical="center" wrapText="1" indent="1"/>
    </xf>
    <xf numFmtId="0" fontId="55" fillId="0" borderId="16" xfId="0" applyFont="1" applyBorder="1" applyNumberFormat="1">
      <alignment horizontal="left" vertical="top" wrapText="1"/>
    </xf>
    <xf numFmtId="0" fontId="23" fillId="0" borderId="17" xfId="0" applyFont="1" applyBorder="1" applyNumberFormat="1">
      <alignment horizontal="right" vertical="center" wrapText="1" indent="1"/>
    </xf>
    <xf numFmtId="0" fontId="23" fillId="0" borderId="14" xfId="0" applyFont="1" applyBorder="1" applyNumberFormat="1">
      <alignment horizontal="center" vertical="center" wrapText="1"/>
    </xf>
    <xf numFmtId="49" fontId="23" fillId="0" borderId="30" xfId="0" applyFont="1" applyBorder="1" applyNumberFormat="1">
      <alignment horizontal="center" vertical="center" wrapText="1"/>
    </xf>
    <xf numFmtId="0" fontId="23" fillId="0" borderId="14" xfId="0" applyFont="1" applyBorder="1" applyNumberFormat="1">
      <alignment horizontal="left" vertical="center" wrapText="1"/>
    </xf>
    <xf numFmtId="49" fontId="23" fillId="0" borderId="61" xfId="0" applyFont="1" applyBorder="1" applyNumberFormat="1">
      <alignment horizontal="center" vertical="center" wrapText="1"/>
    </xf>
    <xf numFmtId="0" fontId="23" fillId="0" borderId="14" xfId="0" applyFont="1" applyBorder="1" applyNumberFormat="1">
      <alignment horizontal="left" vertical="center" wrapText="1" indent="1"/>
    </xf>
    <xf numFmtId="0" fontId="23" fillId="0" borderId="15" xfId="0" applyFont="1" applyBorder="1" applyNumberFormat="1">
      <alignment horizontal="center" vertical="center" wrapText="1"/>
    </xf>
    <xf numFmtId="49" fontId="23" fillId="0" borderId="62" xfId="0" applyFont="1" applyBorder="1" applyNumberFormat="1">
      <alignment horizontal="center" vertical="center" wrapText="1"/>
    </xf>
    <xf numFmtId="0" fontId="23" fillId="0" borderId="15" xfId="0" applyFont="1" applyBorder="1" applyNumberFormat="1">
      <alignment horizontal="center" vertical="center" wrapText="1"/>
    </xf>
    <xf numFmtId="4" fontId="23" fillId="42" borderId="19" xfId="0" applyFont="1" applyFill="1" applyBorder="1" applyNumberFormat="1">
      <alignment horizontal="right" vertical="center" wrapText="1"/>
      <protection locked="0"/>
    </xf>
    <xf numFmtId="0" fontId="23" fillId="0" borderId="19" xfId="0" applyFont="1" applyBorder="1" applyNumberFormat="1">
      <alignment horizontal="center" vertical="center" wrapText="1"/>
    </xf>
    <xf numFmtId="49" fontId="48" fillId="40" borderId="21" xfId="0" applyFont="1" applyFill="1" applyBorder="1" applyNumberFormat="1">
      <alignment horizontal="left" vertical="center" indent="2"/>
    </xf>
    <xf numFmtId="0" fontId="23" fillId="0" borderId="14" xfId="0" applyFont="1" applyBorder="1" applyNumberFormat="1">
      <alignment horizontal="center" vertical="center" wrapText="1"/>
    </xf>
    <xf numFmtId="0" fontId="23" fillId="0" borderId="14" xfId="0" applyFont="1" applyBorder="1" applyNumberFormat="1">
      <alignment horizontal="center" vertical="center" wrapText="1"/>
    </xf>
    <xf numFmtId="0" fontId="23" fillId="38" borderId="16" xfId="0" applyFont="1" applyFill="1" applyBorder="1" applyNumberFormat="1">
      <alignment horizontal="left" vertical="top" wrapText="1"/>
    </xf>
    <xf numFmtId="0" fontId="23" fillId="0" borderId="17" xfId="0" applyFont="1" applyBorder="1" applyNumberFormat="1">
      <alignment horizontal="right" vertical="center" wrapText="1" indent="1"/>
    </xf>
    <xf numFmtId="0" fontId="23" fillId="0" borderId="14" xfId="0" applyFont="1" applyBorder="1" applyNumberFormat="1">
      <alignment horizontal="center" vertical="center" wrapText="1"/>
    </xf>
    <xf numFmtId="0" fontId="23" fillId="0" borderId="19" xfId="0" applyFont="1" applyBorder="1" applyNumberFormat="1">
      <alignment horizontal="left" vertical="center" wrapText="1"/>
    </xf>
    <xf numFmtId="49" fontId="0" fillId="0" borderId="14" xfId="0" applyFont="1" applyBorder="1" applyNumberFormat="1">
      <alignment horizontal="left" vertical="center" wrapText="1" indent="1"/>
    </xf>
    <xf numFmtId="49" fontId="0" fillId="0" borderId="14" xfId="0" applyFont="1" applyBorder="1" applyNumberFormat="1">
      <alignment horizontal="left" vertical="center" wrapText="1" indent="2"/>
    </xf>
    <xf numFmtId="49" fontId="23" fillId="0" borderId="60" xfId="0" applyFont="1" applyBorder="1" applyNumberFormat="1">
      <alignment horizontal="center" vertical="center" wrapText="1"/>
    </xf>
    <xf numFmtId="0" fontId="23" fillId="0" borderId="19" xfId="0" applyFont="1" applyBorder="1" applyNumberFormat="1">
      <alignment horizontal="left" vertical="center" wrapText="1" indent="1"/>
    </xf>
    <xf numFmtId="0" fontId="23" fillId="0" borderId="19" xfId="0" applyFont="1" applyBorder="1" applyNumberFormat="1">
      <alignment horizontal="center" vertical="center" wrapText="1"/>
    </xf>
    <xf numFmtId="49" fontId="0" fillId="0" borderId="14" xfId="0" applyFont="1" applyBorder="1" applyNumberFormat="1">
      <alignment vertical="center" wrapText="1"/>
    </xf>
    <xf numFmtId="49" fontId="0" fillId="0" borderId="14" xfId="0" applyFont="1" applyBorder="1" applyNumberFormat="1">
      <alignment horizontal="left" vertical="center" wrapText="1" indent="1"/>
    </xf>
    <xf numFmtId="49" fontId="54" fillId="0" borderId="0" xfId="0" applyFont="1" applyNumberFormat="1">
      <alignment horizontal="center" vertical="center" wrapText="1"/>
    </xf>
    <xf numFmtId="49" fontId="54" fillId="0" borderId="0" xfId="0" applyFont="1" applyNumberFormat="1">
      <alignment horizontal="center" vertical="center" wrapText="1"/>
    </xf>
    <xf numFmtId="0" fontId="55" fillId="0" borderId="29" xfId="0" applyFont="1" applyBorder="1" applyNumberFormat="1">
      <alignment vertical="center" wrapText="1"/>
    </xf>
    <xf numFmtId="0" fontId="23" fillId="38" borderId="16" xfId="0" applyFont="1" applyFill="1" applyBorder="1" applyNumberFormat="1">
      <alignment horizontal="left" vertical="top" wrapText="1"/>
    </xf>
    <xf numFmtId="0" fontId="23" fillId="38" borderId="15" xfId="0" applyFont="1" applyFill="1" applyBorder="1" applyNumberFormat="1">
      <alignment horizontal="left" vertical="top" wrapText="1"/>
    </xf>
    <xf numFmtId="49" fontId="54" fillId="0" borderId="0" xfId="0" applyFont="1" applyNumberFormat="1">
      <alignment horizontal="center" vertical="center" wrapText="1"/>
    </xf>
    <xf numFmtId="49" fontId="54" fillId="0" borderId="0" xfId="0" applyFont="1" applyNumberFormat="1">
      <alignment horizontal="center" vertical="center" wrapText="1"/>
    </xf>
    <xf numFmtId="0" fontId="23" fillId="0" borderId="0" xfId="0" applyFont="1" applyNumberFormat="1">
      <alignment horizontal="left" vertical="top" wrapText="1"/>
    </xf>
    <xf numFmtId="0" fontId="23" fillId="0" borderId="0" xfId="0" applyFont="1" applyNumberFormat="1">
      <alignment vertical="top" wrapText="1"/>
    </xf>
    <xf numFmtId="0" fontId="23" fillId="0" borderId="14" xfId="0" applyFont="1" applyBorder="1" applyNumberFormat="1">
      <alignment horizontal="center" vertical="center" wrapText="1"/>
    </xf>
    <xf numFmtId="0" fontId="23" fillId="0" borderId="14" xfId="0" applyFont="1" applyBorder="1" applyNumberFormat="1">
      <alignment horizontal="center" vertical="center" wrapText="1"/>
    </xf>
    <xf numFmtId="0" fontId="23" fillId="0" borderId="14" xfId="0" applyFont="1" applyBorder="1" applyNumberFormat="1">
      <alignment horizontal="center" vertical="center" wrapText="1"/>
    </xf>
    <xf numFmtId="0" fontId="23" fillId="0" borderId="16" xfId="0" applyFont="1" applyBorder="1" applyNumberFormat="1">
      <alignment horizontal="center" vertical="center" wrapText="1"/>
    </xf>
    <xf numFmtId="0" fontId="23" fillId="0" borderId="0" xfId="0" applyFont="1" applyNumberFormat="1">
      <alignment horizontal="left" vertical="top" wrapText="1"/>
    </xf>
    <xf numFmtId="49" fontId="55" fillId="0" borderId="0" xfId="0" applyFont="1" applyNumberFormat="1">
      <alignment horizontal="center" vertical="center" wrapText="1"/>
    </xf>
    <xf numFmtId="0" fontId="55" fillId="0" borderId="0" xfId="0" applyFont="1" applyNumberFormat="1">
      <alignment horizontal="center" vertical="center" wrapText="1"/>
    </xf>
    <xf numFmtId="49" fontId="23" fillId="58" borderId="0" xfId="0" applyFont="1" applyFill="1" applyNumberFormat="1">
      <alignment horizontal="center" vertical="center" textRotation="90" wrapText="1"/>
    </xf>
    <xf numFmtId="49" fontId="23" fillId="0" borderId="14" xfId="0" applyFont="1" applyBorder="1" applyNumberFormat="1">
      <alignment horizontal="center" vertical="center" wrapText="1"/>
    </xf>
    <xf numFmtId="0" fontId="23" fillId="0" borderId="14" xfId="0" applyFont="1" applyBorder="1" applyNumberFormat="1">
      <alignment horizontal="left" vertical="center" wrapText="1"/>
    </xf>
    <xf numFmtId="4" fontId="23" fillId="0" borderId="14" xfId="0" applyFont="1" applyBorder="1" applyNumberFormat="1">
      <alignment horizontal="center" vertical="center" wrapText="1"/>
    </xf>
    <xf numFmtId="49" fontId="34" fillId="39" borderId="16" xfId="0" applyFont="1" applyFill="1" applyBorder="1" applyNumberFormat="1">
      <alignment horizontal="left" vertical="center" wrapText="1"/>
      <protection locked="0"/>
    </xf>
    <xf numFmtId="0" fontId="76" fillId="0" borderId="24" xfId="0" applyFont="1" applyBorder="1" applyNumberFormat="1">
      <alignment vertical="center" wrapText="1"/>
    </xf>
    <xf numFmtId="49" fontId="23" fillId="0" borderId="14" xfId="0" applyFont="1" applyBorder="1" applyNumberFormat="1">
      <alignment horizontal="center" vertical="center" wrapText="1"/>
    </xf>
    <xf numFmtId="49" fontId="34" fillId="39" borderId="16" xfId="0" applyFont="1" applyFill="1" applyBorder="1" applyNumberFormat="1">
      <alignment horizontal="left" vertical="center" wrapText="1"/>
      <protection locked="0"/>
    </xf>
    <xf numFmtId="0" fontId="23" fillId="0" borderId="14" xfId="0" applyFont="1" applyBorder="1" applyNumberFormat="1">
      <alignment horizontal="center" vertical="center" wrapText="1"/>
    </xf>
    <xf numFmtId="49" fontId="23" fillId="39" borderId="14" xfId="0" applyFont="1" applyFill="1" applyBorder="1" applyNumberFormat="1">
      <alignment horizontal="left" vertical="center" wrapText="1"/>
      <protection locked="0"/>
    </xf>
    <xf numFmtId="3" fontId="23" fillId="39" borderId="16" xfId="0" applyFont="1" applyFill="1" applyBorder="1" applyNumberFormat="1">
      <alignment horizontal="right" vertical="center" wrapText="1"/>
      <protection locked="0"/>
    </xf>
    <xf numFmtId="4" fontId="23" fillId="39" borderId="16" xfId="0" applyFont="1" applyFill="1" applyBorder="1" applyNumberFormat="1">
      <alignment horizontal="right" vertical="center" wrapText="1"/>
      <protection locked="0"/>
    </xf>
    <xf numFmtId="49" fontId="23" fillId="42" borderId="14" xfId="0" applyFont="1" applyFill="1" applyBorder="1" applyNumberFormat="1">
      <alignment horizontal="left" vertical="center" wrapText="1"/>
      <protection locked="0"/>
    </xf>
    <xf numFmtId="49" fontId="23" fillId="42" borderId="14" xfId="0" applyFont="1" applyFill="1" applyBorder="1" applyNumberFormat="1">
      <alignment horizontal="left" vertical="center" wrapText="1"/>
      <protection locked="0"/>
    </xf>
    <xf numFmtId="0" fontId="45" fillId="0" borderId="0" xfId="0" applyFont="1" applyNumberFormat="1">
      <alignment horizontal="center" vertical="center" wrapText="1"/>
    </xf>
    <xf numFmtId="0" fontId="23" fillId="0" borderId="19" xfId="0" applyFont="1" applyBorder="1" applyNumberFormat="1">
      <alignment horizontal="center" vertical="center" wrapText="1"/>
    </xf>
    <xf numFmtId="0" fontId="23" fillId="0" borderId="16" xfId="0" applyFont="1" applyBorder="1" applyNumberFormat="1">
      <alignment horizontal="center" vertical="center" wrapText="1"/>
    </xf>
    <xf numFmtId="0" fontId="88" fillId="0" borderId="0" xfId="0" applyFont="1" applyNumberFormat="1">
      <alignment vertical="center" wrapText="1"/>
    </xf>
    <xf numFmtId="0" fontId="23" fillId="0" borderId="14" xfId="0" applyFont="1" applyBorder="1" applyNumberFormat="1">
      <alignment horizontal="left" vertical="center" wrapText="1" indent="2"/>
    </xf>
    <xf numFmtId="3" fontId="53" fillId="39" borderId="14" xfId="0" applyFont="1" applyFill="1" applyBorder="1" applyNumberFormat="1">
      <alignment horizontal="right" vertical="center"/>
      <protection locked="0"/>
    </xf>
    <xf numFmtId="49" fontId="23" fillId="39" borderId="16" xfId="0" applyFont="1" applyFill="1" applyBorder="1" applyNumberFormat="1">
      <alignment horizontal="left" vertical="center" wrapText="1"/>
      <protection locked="0"/>
    </xf>
    <xf numFmtId="0" fontId="53" fillId="0" borderId="0" xfId="0" applyFont="1" applyNumberFormat="1">
      <alignment vertical="center" wrapText="1"/>
    </xf>
    <xf numFmtId="0" fontId="23" fillId="0" borderId="0" xfId="0" applyFont="1" applyNumberFormat="1">
      <alignment vertical="top" wrapText="1"/>
    </xf>
    <xf numFmtId="0" fontId="23" fillId="0" borderId="0" xfId="0" applyFont="1" applyNumberFormat="1">
      <alignment vertical="top"/>
    </xf>
    <xf numFmtId="49" fontId="54" fillId="0" borderId="0" xfId="0" applyFont="1" applyNumberFormat="1">
      <alignment horizontal="center" vertical="center" wrapText="1"/>
    </xf>
    <xf numFmtId="0" fontId="23" fillId="0" borderId="0" xfId="0" applyFont="1" applyNumberFormat="1">
      <alignment vertical="top" wrapText="1"/>
    </xf>
    <xf numFmtId="0" fontId="23" fillId="0" borderId="0" xfId="0" applyFont="1" applyNumberFormat="1">
      <alignment vertical="top"/>
    </xf>
    <xf numFmtId="49" fontId="34" fillId="0" borderId="14" xfId="0" applyFont="1" applyBorder="1" applyNumberFormat="1">
      <alignment horizontal="left" vertical="center" wrapText="1"/>
    </xf>
    <xf numFmtId="49" fontId="23" fillId="0" borderId="34" xfId="0" applyFont="1" applyBorder="1" applyNumberFormat="1">
      <alignment horizontal="center" vertical="center" wrapText="1"/>
    </xf>
    <xf numFmtId="0" fontId="23" fillId="0" borderId="34" xfId="0" applyFont="1" applyBorder="1" applyNumberFormat="1">
      <alignment horizontal="left" vertical="center" wrapText="1"/>
    </xf>
    <xf numFmtId="4" fontId="23" fillId="0" borderId="42" xfId="0" applyFont="1" applyBorder="1" applyNumberFormat="1">
      <alignment horizontal="center" vertical="center" wrapText="1"/>
    </xf>
    <xf numFmtId="49" fontId="34" fillId="0" borderId="32" xfId="0" applyFont="1" applyBorder="1" applyNumberFormat="1">
      <alignment horizontal="left" vertical="center" wrapText="1"/>
    </xf>
    <xf numFmtId="49" fontId="23" fillId="0" borderId="33" xfId="0" applyFont="1" applyBorder="1" applyNumberFormat="1">
      <alignment horizontal="center" vertical="center" wrapText="1"/>
    </xf>
    <xf numFmtId="0" fontId="23" fillId="0" borderId="35" xfId="0" applyFont="1" applyBorder="1" applyNumberFormat="1">
      <alignment horizontal="left" vertical="center" wrapText="1" indent="1"/>
    </xf>
    <xf numFmtId="4" fontId="23" fillId="42" borderId="33" xfId="0" applyFont="1" applyFill="1" applyBorder="1" applyNumberFormat="1">
      <alignment horizontal="right" vertical="center" wrapText="1"/>
      <protection locked="0"/>
    </xf>
    <xf numFmtId="49" fontId="34" fillId="0" borderId="16" xfId="0" applyFont="1" applyBorder="1" applyNumberFormat="1">
      <alignment horizontal="left" vertical="center" wrapText="1"/>
    </xf>
    <xf numFmtId="4" fontId="23" fillId="0" borderId="19" xfId="0" applyFont="1" applyBorder="1" applyNumberFormat="1">
      <alignment horizontal="center" vertical="center" wrapText="1"/>
    </xf>
    <xf numFmtId="4" fontId="23" fillId="42" borderId="37" xfId="0" applyFont="1" applyFill="1" applyBorder="1" applyNumberFormat="1">
      <alignment horizontal="right" vertical="center" wrapText="1"/>
      <protection locked="0"/>
    </xf>
    <xf numFmtId="0" fontId="23" fillId="0" borderId="35" xfId="0" applyFont="1" applyBorder="1" applyNumberFormat="1">
      <alignment horizontal="left" vertical="center" wrapText="1"/>
    </xf>
    <xf numFmtId="49" fontId="34" fillId="0" borderId="17" xfId="0" applyFont="1" applyBorder="1" applyNumberFormat="1">
      <alignment horizontal="left" vertical="center" wrapText="1"/>
    </xf>
    <xf numFmtId="0" fontId="23" fillId="0" borderId="33" xfId="0" applyFont="1" applyBorder="1" applyNumberFormat="1">
      <alignment horizontal="left" vertical="center" wrapText="1" indent="1"/>
    </xf>
    <xf numFmtId="4" fontId="23" fillId="0" borderId="34" xfId="0" applyFont="1" applyBorder="1" applyNumberFormat="1">
      <alignment horizontal="center" vertical="center" wrapText="1"/>
    </xf>
    <xf numFmtId="0" fontId="23" fillId="0" borderId="33" xfId="0" applyFont="1" applyBorder="1" applyNumberFormat="1">
      <alignment horizontal="left" vertical="center" wrapText="1"/>
    </xf>
    <xf numFmtId="0" fontId="23" fillId="0" borderId="33" xfId="0" applyFont="1" applyBorder="1" applyNumberFormat="1">
      <alignment horizontal="left" vertical="center" wrapText="1" indent="2"/>
    </xf>
    <xf numFmtId="4" fontId="23" fillId="0" borderId="33" xfId="0" applyFont="1" applyBorder="1" applyNumberFormat="1">
      <alignment horizontal="center" vertical="center" wrapText="1"/>
    </xf>
    <xf numFmtId="49" fontId="23" fillId="0" borderId="36" xfId="0" applyFont="1" applyBorder="1" applyNumberFormat="1">
      <alignment horizontal="center" vertical="center" wrapText="1"/>
    </xf>
    <xf numFmtId="49" fontId="34" fillId="42" borderId="14" xfId="0" applyFont="1" applyFill="1" applyBorder="1" applyNumberFormat="1">
      <alignment horizontal="left" vertical="center" wrapText="1"/>
      <protection locked="0"/>
    </xf>
    <xf numFmtId="0" fontId="23" fillId="0" borderId="37" xfId="0" applyFont="1" applyBorder="1" applyNumberFormat="1">
      <alignment horizontal="left" vertical="center" wrapText="1"/>
    </xf>
    <xf numFmtId="4" fontId="23" fillId="0" borderId="37" xfId="0" applyFont="1" applyBorder="1" applyNumberFormat="1">
      <alignment horizontal="center" vertical="center" wrapText="1"/>
    </xf>
    <xf numFmtId="49" fontId="34" fillId="0" borderId="39" xfId="0" applyFont="1" applyBorder="1" applyNumberFormat="1">
      <alignment horizontal="left" vertical="center" wrapText="1"/>
    </xf>
    <xf numFmtId="49" fontId="23" fillId="0" borderId="35" xfId="0" applyFont="1" applyBorder="1" applyNumberFormat="1">
      <alignment horizontal="center" vertical="center" wrapText="1"/>
    </xf>
    <xf numFmtId="4" fontId="23" fillId="42" borderId="16" xfId="0" applyFont="1" applyFill="1" applyBorder="1" applyNumberFormat="1">
      <alignment horizontal="right" vertical="center" wrapText="1"/>
      <protection locked="0"/>
    </xf>
    <xf numFmtId="4" fontId="23" fillId="42" borderId="35" xfId="0" applyFont="1" applyFill="1" applyBorder="1" applyNumberFormat="1">
      <alignment horizontal="right" vertical="center" wrapText="1"/>
      <protection locked="0"/>
    </xf>
    <xf numFmtId="4" fontId="23" fillId="0" borderId="35" xfId="0" applyFont="1" applyBorder="1" applyNumberFormat="1">
      <alignment horizontal="center" vertical="center" wrapText="1"/>
    </xf>
    <xf numFmtId="4" fontId="23" fillId="42" borderId="36" xfId="0" applyFont="1" applyFill="1" applyBorder="1" applyNumberFormat="1">
      <alignment horizontal="right" vertical="center" wrapText="1"/>
      <protection locked="0"/>
    </xf>
    <xf numFmtId="49" fontId="34" fillId="42" borderId="16" xfId="0" applyFont="1" applyFill="1" applyBorder="1" applyNumberFormat="1">
      <alignment horizontal="left" vertical="center" wrapText="1"/>
      <protection locked="0"/>
    </xf>
    <xf numFmtId="49" fontId="54" fillId="0" borderId="0" xfId="0" applyFont="1" applyNumberFormat="1">
      <alignment horizontal="center" vertical="center" wrapText="1"/>
    </xf>
    <xf numFmtId="0" fontId="54" fillId="0" borderId="0" xfId="0" applyFont="1" applyNumberFormat="1">
      <alignment horizontal="center" vertical="center" wrapText="1"/>
    </xf>
    <xf numFmtId="49" fontId="23" fillId="0" borderId="0" xfId="0" applyFont="1" applyNumberFormat="1">
      <alignment vertical="center" wrapText="1"/>
    </xf>
    <xf numFmtId="0" fontId="44" fillId="0" borderId="26" xfId="0" applyFont="1" applyBorder="1" applyNumberFormat="1">
      <alignment horizontal="center" vertical="center" wrapText="1"/>
    </xf>
    <xf numFmtId="0" fontId="0" fillId="0" borderId="16" xfId="0" applyFont="1" applyBorder="1" applyNumberFormat="1">
      <alignment horizontal="center" vertical="center"/>
    </xf>
    <xf numFmtId="0" fontId="23" fillId="0" borderId="15" xfId="0" applyFont="1" applyBorder="1" applyNumberFormat="1">
      <alignment horizontal="center" vertical="center" wrapText="1"/>
    </xf>
    <xf numFmtId="167" fontId="0" fillId="39" borderId="14" xfId="0" applyFont="1" applyFill="1" applyBorder="1" applyNumberFormat="1">
      <alignment horizontal="left" vertical="center" wrapText="1" indent="1"/>
      <protection locked="0"/>
    </xf>
    <xf numFmtId="49" fontId="23" fillId="42" borderId="16" xfId="0" applyFont="1" applyFill="1" applyBorder="1" applyNumberFormat="1">
      <alignment horizontal="left" vertical="center" wrapText="1"/>
      <protection locked="0"/>
    </xf>
    <xf numFmtId="0" fontId="23" fillId="0" borderId="0" xfId="0" applyFont="1" applyNumberFormat="1">
      <alignment horizontal="left" vertical="center" wrapText="1"/>
    </xf>
    <xf numFmtId="0" fontId="23" fillId="38" borderId="16" xfId="0" applyFont="1" applyFill="1" applyBorder="1" applyNumberFormat="1">
      <alignment horizontal="left" vertical="top" wrapText="1" indent="1"/>
    </xf>
    <xf numFmtId="0" fontId="23" fillId="38" borderId="15" xfId="0" applyFont="1" applyFill="1" applyBorder="1" applyNumberFormat="1">
      <alignment horizontal="left" vertical="top" wrapText="1" indent="1"/>
    </xf>
    <xf numFmtId="0" fontId="23" fillId="0" borderId="17" xfId="0" applyFont="1" applyBorder="1" applyNumberFormat="1">
      <alignment horizontal="right" vertical="center" wrapText="1" indent="1"/>
    </xf>
    <xf numFmtId="0" fontId="23" fillId="0" borderId="15" xfId="0" applyFont="1" applyBorder="1" applyNumberFormat="1">
      <alignment horizontal="right" vertical="center" wrapText="1" indent="1"/>
    </xf>
    <xf numFmtId="0" fontId="23" fillId="0" borderId="14" xfId="0" applyFont="1" applyBorder="1" applyNumberFormat="1">
      <alignment horizontal="center" vertical="center" wrapText="1"/>
    </xf>
    <xf numFmtId="0" fontId="23" fillId="0" borderId="14" xfId="0" applyFont="1" applyBorder="1" applyNumberFormat="1">
      <alignment horizontal="center" vertical="center" wrapText="1"/>
    </xf>
    <xf numFmtId="0" fontId="23" fillId="0" borderId="16" xfId="0" applyFont="1" applyBorder="1" applyNumberFormat="1">
      <alignment horizontal="center" vertical="center" wrapText="1"/>
    </xf>
    <xf numFmtId="0" fontId="44" fillId="0" borderId="0" xfId="0" applyFont="1" applyNumberFormat="1">
      <alignment horizontal="center" vertical="center" wrapText="1"/>
    </xf>
    <xf numFmtId="49" fontId="0" fillId="0" borderId="16" xfId="0" applyFont="1" applyBorder="1" applyNumberFormat="1">
      <alignment horizontal="center" vertical="center"/>
    </xf>
    <xf numFmtId="49" fontId="0" fillId="0" borderId="14" xfId="0" applyFont="1" applyBorder="1" applyNumberFormat="1">
      <alignment vertical="center" wrapText="1"/>
    </xf>
    <xf numFmtId="0" fontId="23" fillId="0" borderId="15" xfId="0" applyFont="1" applyBorder="1" applyNumberFormat="1">
      <alignment horizontal="center" vertical="center" wrapText="1"/>
    </xf>
    <xf numFmtId="0" fontId="23" fillId="40" borderId="16" xfId="0" applyFont="1" applyFill="1" applyBorder="1" applyNumberFormat="1">
      <alignment vertical="center" wrapText="1"/>
    </xf>
    <xf numFmtId="0" fontId="23" fillId="0" borderId="15" xfId="0" applyFont="1" applyBorder="1" applyNumberFormat="1">
      <alignment horizontal="center" vertical="center" wrapText="1"/>
    </xf>
    <xf numFmtId="0" fontId="23" fillId="40" borderId="21" xfId="0" applyFont="1" applyFill="1" applyBorder="1" applyNumberFormat="1">
      <alignment vertical="center" wrapText="1"/>
    </xf>
    <xf numFmtId="0" fontId="23" fillId="0" borderId="17" xfId="0" applyFont="1" applyBorder="1" applyNumberFormat="1">
      <alignment horizontal="center" vertical="center" wrapText="1"/>
    </xf>
    <xf numFmtId="49" fontId="23" fillId="43" borderId="14" xfId="0" applyFont="1" applyFill="1" applyBorder="1" applyNumberFormat="1">
      <alignment horizontal="center" vertical="center" wrapText="1"/>
    </xf>
    <xf numFmtId="49" fontId="23" fillId="43" borderId="14" xfId="0" applyFont="1" applyFill="1" applyBorder="1" applyNumberFormat="1">
      <alignment horizontal="center" vertical="center" wrapText="1"/>
    </xf>
    <xf numFmtId="0" fontId="23" fillId="0" borderId="14" xfId="0" applyFont="1" applyBorder="1" applyNumberFormat="1">
      <alignment horizontal="center" vertical="center" wrapText="1"/>
    </xf>
    <xf numFmtId="0" fontId="23" fillId="0" borderId="15" xfId="0" applyFont="1" applyBorder="1" applyNumberFormat="1">
      <alignment vertical="center" wrapText="1"/>
    </xf>
    <xf numFmtId="0" fontId="23" fillId="40" borderId="29" xfId="0" applyFont="1" applyFill="1" applyBorder="1" applyNumberFormat="1">
      <alignment vertical="center" wrapText="1"/>
    </xf>
    <xf numFmtId="0" fontId="44" fillId="0" borderId="0" xfId="0" applyFont="1" applyNumberFormat="1">
      <alignment horizontal="center" vertical="center" wrapText="1"/>
    </xf>
    <xf numFmtId="0" fontId="88" fillId="0" borderId="0" xfId="0" applyFont="1" applyNumberFormat="1">
      <alignment vertical="center" wrapText="1"/>
    </xf>
    <xf numFmtId="49" fontId="54" fillId="0" borderId="0" xfId="0" applyFont="1" applyNumberFormat="1">
      <alignment horizontal="center" vertical="center" wrapText="1"/>
    </xf>
    <xf numFmtId="0" fontId="40" fillId="0" borderId="0" xfId="0" applyFont="1" applyNumberFormat="1">
      <alignment vertical="center" wrapText="1"/>
    </xf>
    <xf numFmtId="0" fontId="23" fillId="0" borderId="0" xfId="0" applyFont="1" applyNumberFormat="1">
      <alignment vertical="center"/>
    </xf>
    <xf numFmtId="0" fontId="23" fillId="0" borderId="0" xfId="0" applyFont="1" applyNumberFormat="1">
      <alignment vertical="center" wrapText="1"/>
    </xf>
    <xf numFmtId="49" fontId="54" fillId="0" borderId="0" xfId="0" applyFont="1" applyNumberFormat="1">
      <alignment horizontal="center" vertical="center" wrapText="1"/>
    </xf>
    <xf numFmtId="0" fontId="23" fillId="0" borderId="0" xfId="0" applyFont="1" applyNumberFormat="1">
      <alignment vertical="center" wrapText="1"/>
    </xf>
    <xf numFmtId="49" fontId="54" fillId="0" borderId="0" xfId="0" applyFont="1" applyNumberFormat="1">
      <alignment horizontal="center" vertical="center" wrapText="1"/>
    </xf>
    <xf numFmtId="49" fontId="103" fillId="0" borderId="0" xfId="0" applyFont="1" applyNumberFormat="1">
      <alignment horizontal="center" vertical="center" wrapText="1"/>
    </xf>
    <xf numFmtId="0" fontId="0" fillId="37" borderId="16" xfId="0" applyFont="1" applyFill="1" applyBorder="1" applyNumberFormat="1">
      <alignment horizontal="center" vertical="center" wrapText="1"/>
    </xf>
    <xf numFmtId="0" fontId="0" fillId="37" borderId="17" xfId="0" applyFont="1" applyFill="1" applyBorder="1" applyNumberFormat="1">
      <alignment horizontal="center" vertical="center" wrapText="1"/>
    </xf>
    <xf numFmtId="0" fontId="0" fillId="37" borderId="15" xfId="0" applyFont="1" applyFill="1" applyBorder="1" applyNumberFormat="1">
      <alignment horizontal="center" vertical="center" wrapText="1"/>
    </xf>
    <xf numFmtId="0" fontId="0" fillId="37" borderId="19" xfId="0" applyFont="1" applyFill="1" applyBorder="1" applyNumberFormat="1">
      <alignment horizontal="center" vertical="center" wrapText="1"/>
    </xf>
    <xf numFmtId="0" fontId="23" fillId="37" borderId="19" xfId="0" applyFont="1" applyFill="1" applyBorder="1" applyNumberFormat="1">
      <alignment horizontal="center" vertical="center" wrapText="1"/>
    </xf>
    <xf numFmtId="0" fontId="0" fillId="37" borderId="19" xfId="0" applyFont="1" applyFill="1" applyBorder="1" applyNumberFormat="1">
      <alignment horizontal="center" vertical="center" wrapText="1"/>
    </xf>
    <xf numFmtId="0" fontId="0" fillId="37" borderId="39" xfId="0" applyFont="1" applyFill="1" applyBorder="1" applyNumberFormat="1">
      <alignment horizontal="center" vertical="center" wrapText="1"/>
    </xf>
    <xf numFmtId="0" fontId="23" fillId="0" borderId="14" xfId="0" applyFont="1" applyBorder="1" applyNumberFormat="1">
      <alignment horizontal="center" vertical="center" wrapText="1"/>
    </xf>
    <xf numFmtId="0" fontId="55" fillId="0" borderId="0" xfId="0" applyFont="1" applyNumberFormat="1">
      <alignment horizontal="center" vertical="center" wrapText="1"/>
    </xf>
    <xf numFmtId="49" fontId="55" fillId="0" borderId="14" xfId="0" applyFont="1" applyBorder="1" applyNumberFormat="1">
      <alignment horizontal="center" vertical="center" wrapText="1"/>
    </xf>
    <xf numFmtId="0" fontId="0" fillId="0" borderId="14" xfId="0" applyFont="1" applyBorder="1" applyNumberFormat="1">
      <alignment horizontal="left" vertical="center" wrapText="1" indent="1"/>
    </xf>
    <xf numFmtId="49" fontId="0" fillId="0" borderId="14" xfId="0" applyFont="1" applyBorder="1" applyNumberFormat="1">
      <alignment horizontal="center" vertical="center" wrapText="1"/>
    </xf>
    <xf numFmtId="49" fontId="23" fillId="0" borderId="14" xfId="0" applyFont="1" applyBorder="1" applyNumberFormat="1">
      <alignment horizontal="left" vertical="center" wrapText="1"/>
    </xf>
    <xf numFmtId="49" fontId="55" fillId="0" borderId="0" xfId="0" applyFont="1" applyNumberFormat="1">
      <alignment horizontal="center" vertical="center" wrapText="1"/>
    </xf>
    <xf numFmtId="49" fontId="23" fillId="0" borderId="16" xfId="0" applyFont="1" applyBorder="1" applyNumberFormat="1">
      <alignment horizontal="center" vertical="center" wrapText="1"/>
    </xf>
    <xf numFmtId="49" fontId="48" fillId="40" borderId="16" xfId="0" applyFont="1" applyFill="1" applyBorder="1" applyNumberFormat="1">
      <alignment horizontal="left" vertical="center" indent="1"/>
    </xf>
    <xf numFmtId="0" fontId="23" fillId="40" borderId="31" xfId="0" applyFont="1" applyFill="1" applyBorder="1" applyNumberFormat="1">
      <alignment vertical="center" wrapText="1"/>
    </xf>
    <xf numFmtId="49" fontId="54" fillId="0" borderId="0" xfId="0" applyFont="1" applyNumberFormat="1">
      <alignment horizontal="center" vertical="center" wrapText="1"/>
    </xf>
    <xf numFmtId="0" fontId="54" fillId="0" borderId="0" xfId="0" applyFont="1" applyNumberFormat="1">
      <alignment vertical="center" wrapText="1"/>
    </xf>
    <xf numFmtId="0" fontId="54" fillId="0" borderId="0" xfId="0" applyFont="1" applyNumberFormat="1">
      <alignment vertical="center" wrapText="1"/>
    </xf>
    <xf numFmtId="0" fontId="54" fillId="0" borderId="0" xfId="0" applyFont="1" applyNumberFormat="1">
      <alignment vertical="center" wrapText="1"/>
    </xf>
    <xf numFmtId="0" fontId="40" fillId="0" borderId="0" xfId="0" applyFont="1" applyNumberFormat="1">
      <alignment vertical="center" wrapText="1"/>
    </xf>
    <xf numFmtId="0" fontId="40" fillId="0" borderId="0" xfId="0" applyFont="1" applyNumberFormat="1">
      <alignment vertical="center" wrapText="1"/>
    </xf>
    <xf numFmtId="0" fontId="40" fillId="0" borderId="0" xfId="0" applyFont="1" applyNumberFormat="1">
      <alignment vertical="center" wrapText="1"/>
    </xf>
    <xf numFmtId="0" fontId="23" fillId="0" borderId="0" xfId="0" applyFont="1" applyNumberFormat="1">
      <alignment horizontal="left" vertical="center" wrapText="1" indent="3"/>
    </xf>
    <xf numFmtId="0" fontId="23" fillId="37" borderId="0" xfId="0" applyFont="1" applyFill="1" applyNumberFormat="1">
      <alignment vertical="center" wrapText="1"/>
    </xf>
    <xf numFmtId="0" fontId="23" fillId="37" borderId="41" xfId="0" applyFont="1" applyFill="1" applyBorder="1" applyNumberFormat="1">
      <alignment vertical="center" wrapText="1"/>
    </xf>
    <xf numFmtId="0" fontId="23" fillId="37" borderId="41" xfId="0" applyFont="1" applyFill="1" applyBorder="1" applyNumberFormat="1">
      <alignment vertical="center" wrapText="1"/>
    </xf>
    <xf numFmtId="49" fontId="78" fillId="0" borderId="41" xfId="0" applyFont="1" applyBorder="1" applyNumberFormat="1">
      <alignment vertical="top"/>
    </xf>
    <xf numFmtId="49" fontId="78" fillId="0" borderId="41" xfId="0" applyFont="1" applyBorder="1" applyNumberFormat="1">
      <alignment vertical="top"/>
    </xf>
    <xf numFmtId="0" fontId="36" fillId="37" borderId="41" xfId="0" applyFont="1" applyFill="1" applyBorder="1" applyNumberFormat="1">
      <alignment horizontal="center" wrapText="1"/>
    </xf>
    <xf numFmtId="0" fontId="36" fillId="37" borderId="41" xfId="0" applyFont="1" applyFill="1" applyBorder="1" applyNumberFormat="1">
      <alignment horizontal="center" wrapText="1"/>
    </xf>
    <xf numFmtId="0" fontId="23" fillId="37" borderId="41" xfId="0" applyFont="1" applyFill="1" applyBorder="1" applyNumberFormat="1">
      <alignment vertical="center" wrapText="1"/>
    </xf>
    <xf numFmtId="0" fontId="23" fillId="37" borderId="41" xfId="0" applyFont="1" applyFill="1" applyBorder="1" applyNumberFormat="1">
      <alignment vertical="center" wrapText="1"/>
    </xf>
    <xf numFmtId="49" fontId="23" fillId="0" borderId="0" xfId="0" applyFont="1" applyNumberFormat="1">
      <alignment vertical="top"/>
    </xf>
    <xf numFmtId="0" fontId="23" fillId="0" borderId="63" xfId="0" applyFont="1" applyBorder="1" applyNumberFormat="1">
      <alignment horizontal="center" vertical="center"/>
    </xf>
    <xf numFmtId="0" fontId="23" fillId="0" borderId="64" xfId="0" applyFont="1" applyBorder="1" applyNumberFormat="1">
      <alignment horizontal="center" vertical="center"/>
    </xf>
    <xf numFmtId="0" fontId="23" fillId="0" borderId="66" xfId="0" applyFont="1" applyBorder="1" applyNumberFormat="1">
      <alignment horizontal="center" vertical="center"/>
    </xf>
    <xf numFmtId="0" fontId="23" fillId="0" borderId="40" xfId="0" applyFont="1" applyBorder="1" applyNumberFormat="1">
      <alignment vertical="center" wrapText="1"/>
    </xf>
    <xf numFmtId="0" fontId="23" fillId="37" borderId="14" xfId="0" applyFont="1" applyFill="1" applyBorder="1" applyNumberFormat="1">
      <alignment horizontal="center" vertical="center" wrapText="1"/>
    </xf>
    <xf numFmtId="0" fontId="23" fillId="37" borderId="39" xfId="0" applyFont="1" applyFill="1" applyBorder="1" applyNumberFormat="1">
      <alignment horizontal="center" vertical="center" wrapText="1"/>
    </xf>
    <xf numFmtId="0" fontId="23" fillId="37" borderId="22" xfId="0" applyFont="1" applyFill="1" applyBorder="1" applyNumberFormat="1">
      <alignment horizontal="center" vertical="center" wrapText="1"/>
    </xf>
    <xf numFmtId="0" fontId="23" fillId="0" borderId="0" xfId="0" applyFont="1" applyNumberFormat="1">
      <alignment vertical="center" wrapText="1"/>
    </xf>
    <xf numFmtId="0" fontId="23" fillId="37" borderId="0" xfId="0" applyFont="1" applyFill="1" applyNumberFormat="1">
      <alignment vertical="center" wrapText="1"/>
    </xf>
    <xf numFmtId="0" fontId="23" fillId="37" borderId="24" xfId="0" applyFont="1" applyFill="1" applyBorder="1" applyNumberFormat="1">
      <alignment horizontal="center" vertical="center" wrapText="1"/>
    </xf>
    <xf numFmtId="0" fontId="23" fillId="37" borderId="26" xfId="0" applyFont="1" applyFill="1" applyBorder="1" applyNumberFormat="1">
      <alignment horizontal="center" vertical="center" wrapText="1"/>
    </xf>
    <xf numFmtId="49" fontId="23" fillId="0" borderId="0" xfId="0" applyFont="1" applyNumberFormat="1">
      <alignment vertical="top"/>
    </xf>
    <xf numFmtId="0" fontId="23" fillId="0" borderId="0" xfId="0" applyFont="1" applyNumberFormat="1">
      <alignment vertical="center" wrapText="1"/>
    </xf>
    <xf numFmtId="49" fontId="103" fillId="0" borderId="0" xfId="0" applyFont="1" applyNumberFormat="1">
      <alignment horizontal="center" vertical="center" wrapText="1"/>
    </xf>
    <xf numFmtId="0" fontId="23" fillId="37" borderId="0" xfId="0" applyFont="1" applyFill="1" applyNumberFormat="1">
      <alignment vertical="center" wrapText="1"/>
    </xf>
    <xf numFmtId="0" fontId="0" fillId="0" borderId="14" xfId="0" applyFont="1" applyBorder="1" applyNumberFormat="1">
      <alignment horizontal="center" vertical="center" wrapText="1"/>
    </xf>
    <xf numFmtId="49" fontId="23" fillId="0" borderId="0" xfId="0" applyFont="1" applyNumberFormat="1">
      <alignment vertical="top"/>
    </xf>
    <xf numFmtId="0" fontId="23" fillId="37" borderId="32" xfId="0" applyFont="1" applyFill="1" applyBorder="1" applyNumberFormat="1">
      <alignment horizontal="center" vertical="center" wrapText="1"/>
    </xf>
    <xf numFmtId="0" fontId="23" fillId="37" borderId="31" xfId="0" applyFont="1" applyFill="1" applyBorder="1" applyNumberFormat="1">
      <alignment horizontal="center" vertical="center" wrapText="1"/>
    </xf>
    <xf numFmtId="0" fontId="23" fillId="0" borderId="14" xfId="0" applyFont="1" applyBorder="1" applyNumberFormat="1">
      <alignment horizontal="center" vertical="center" wrapText="1"/>
    </xf>
    <xf numFmtId="0" fontId="0" fillId="0" borderId="14" xfId="0" applyFont="1" applyBorder="1" applyNumberFormat="1">
      <alignment horizontal="center" vertical="center" wrapText="1"/>
    </xf>
    <xf numFmtId="0" fontId="23" fillId="0" borderId="14" xfId="0" applyFont="1" applyBorder="1" applyNumberFormat="1">
      <alignment horizontal="center" vertical="center" wrapText="1"/>
    </xf>
    <xf numFmtId="0" fontId="23" fillId="0" borderId="14" xfId="0" applyFont="1" applyBorder="1" applyNumberFormat="1">
      <alignment horizontal="center" vertical="center" wrapText="1"/>
    </xf>
    <xf numFmtId="0" fontId="23" fillId="37" borderId="0" xfId="0" applyFont="1" applyFill="1" applyNumberFormat="1">
      <alignment vertical="center" wrapText="1"/>
    </xf>
    <xf numFmtId="0" fontId="23" fillId="0" borderId="0" xfId="0" applyFont="1" applyNumberFormat="1">
      <alignment vertical="center" wrapText="1"/>
    </xf>
    <xf numFmtId="0" fontId="23" fillId="0" borderId="0" xfId="0" applyFont="1" applyNumberFormat="1">
      <alignment vertical="center" wrapText="1"/>
    </xf>
    <xf numFmtId="0" fontId="23" fillId="0" borderId="0" xfId="0" applyFont="1" applyNumberFormat="1">
      <alignment vertical="center" wrapText="1"/>
    </xf>
    <xf numFmtId="0" fontId="23" fillId="0" borderId="0" xfId="0" applyFont="1" applyNumberFormat="1">
      <alignment vertical="center" wrapText="1"/>
    </xf>
    <xf numFmtId="0" fontId="23" fillId="0" borderId="0" xfId="0" applyFont="1" applyNumberFormat="1">
      <alignment vertical="center"/>
    </xf>
    <xf numFmtId="0" fontId="23" fillId="0" borderId="0" xfId="0" applyFont="1" applyNumberFormat="1">
      <alignment vertical="center"/>
    </xf>
    <xf numFmtId="49" fontId="23" fillId="0" borderId="0" xfId="0" applyFont="1" applyNumberFormat="1">
      <alignment vertical="top"/>
    </xf>
    <xf numFmtId="49" fontId="23" fillId="0" borderId="0" xfId="0" applyFont="1" applyNumberFormat="1">
      <alignment vertical="top"/>
    </xf>
    <xf numFmtId="49" fontId="23" fillId="0" borderId="0" xfId="0" applyFont="1" applyNumberFormat="1">
      <alignment vertical="top"/>
    </xf>
    <xf numFmtId="0" fontId="23" fillId="0" borderId="0" xfId="0" applyFont="1" applyNumberFormat="1">
      <alignment horizontal="left" vertical="center" wrapText="1"/>
    </xf>
    <xf numFmtId="0" fontId="23" fillId="0" borderId="0" xfId="0" applyFont="1" applyNumberFormat="1">
      <alignment vertical="center" wrapText="1"/>
    </xf>
    <xf numFmtId="0" fontId="23" fillId="0" borderId="0" xfId="0" applyFont="1" applyNumberFormat="1">
      <alignment vertical="center" wrapText="1"/>
    </xf>
    <xf numFmtId="0" fontId="40" fillId="0" borderId="0" xfId="0" applyFont="1" applyNumberFormat="1">
      <alignment vertical="center" wrapText="1"/>
    </xf>
    <xf numFmtId="0" fontId="23" fillId="37" borderId="0" xfId="0" applyFont="1" applyFill="1" applyNumberFormat="1">
      <alignment vertical="center" wrapText="1"/>
    </xf>
    <xf numFmtId="0" fontId="23" fillId="37" borderId="21" xfId="0" applyFont="1" applyFill="1" applyBorder="1" applyNumberFormat="1">
      <alignment vertical="center" wrapText="1"/>
    </xf>
    <xf numFmtId="49" fontId="23" fillId="0" borderId="0" xfId="0" applyFont="1" applyNumberFormat="1">
      <alignment vertical="top"/>
    </xf>
    <xf numFmtId="49" fontId="55" fillId="0" borderId="0" xfId="0" applyFont="1" applyNumberFormat="1">
      <alignment vertical="top"/>
    </xf>
    <xf numFmtId="0" fontId="55" fillId="0" borderId="41" xfId="0" applyFont="1" applyBorder="1" applyNumberFormat="1">
      <alignment vertical="center" wrapText="1"/>
    </xf>
    <xf numFmtId="0" fontId="23" fillId="0" borderId="76" xfId="0" applyFont="1" applyBorder="1" applyNumberFormat="1">
      <alignment horizontal="center" vertical="center"/>
    </xf>
    <xf numFmtId="0" fontId="23" fillId="0" borderId="45" xfId="0" applyFont="1" applyBorder="1" applyNumberFormat="1">
      <alignment horizontal="center" vertical="center"/>
    </xf>
    <xf numFmtId="0" fontId="23" fillId="0" borderId="40" xfId="0" applyFont="1" applyBorder="1" applyNumberFormat="1">
      <alignment vertical="center"/>
    </xf>
    <xf numFmtId="49" fontId="0" fillId="0" borderId="19" xfId="0" applyFont="1" applyBorder="1" applyNumberFormat="1">
      <alignment horizontal="center" vertical="center" wrapText="1"/>
    </xf>
    <xf numFmtId="49" fontId="0" fillId="0" borderId="14" xfId="0" applyFont="1" applyBorder="1" applyNumberFormat="1">
      <alignment horizontal="center" vertical="center"/>
    </xf>
    <xf numFmtId="49" fontId="0" fillId="0" borderId="14" xfId="0" applyFont="1" applyBorder="1" applyNumberFormat="1">
      <alignment horizontal="center" vertical="center" wrapText="1"/>
    </xf>
    <xf numFmtId="49" fontId="23" fillId="0" borderId="24" xfId="0" applyFont="1" applyBorder="1" applyNumberFormat="1">
      <alignment vertical="top"/>
    </xf>
    <xf numFmtId="49" fontId="0" fillId="0" borderId="38" xfId="0" applyFont="1" applyBorder="1" applyNumberFormat="1">
      <alignment horizontal="center" vertical="center" wrapText="1"/>
    </xf>
    <xf numFmtId="0" fontId="0" fillId="38" borderId="14" xfId="0" applyFont="1" applyFill="1" applyBorder="1" applyNumberFormat="1">
      <alignment horizontal="center" vertical="center" wrapText="1"/>
    </xf>
    <xf numFmtId="49" fontId="0" fillId="0" borderId="25" xfId="0" applyFont="1" applyBorder="1" applyNumberFormat="1">
      <alignment horizontal="center" vertical="center" wrapText="1"/>
    </xf>
    <xf numFmtId="49" fontId="0" fillId="0" borderId="14" xfId="0" applyFont="1" applyBorder="1" applyNumberFormat="1">
      <alignment horizontal="center" vertical="center"/>
    </xf>
    <xf numFmtId="49" fontId="0" fillId="38" borderId="14" xfId="0" applyFont="1" applyFill="1" applyBorder="1" applyNumberFormat="1">
      <alignment horizontal="center" vertical="center"/>
    </xf>
    <xf numFmtId="0" fontId="23" fillId="0" borderId="24" xfId="0" applyFont="1" applyBorder="1" applyNumberFormat="1">
      <alignment vertical="center" wrapText="1"/>
    </xf>
    <xf numFmtId="49" fontId="0" fillId="0" borderId="14" xfId="0" applyFont="1" applyBorder="1" applyNumberFormat="1">
      <alignment horizontal="center" vertical="center" wrapText="1"/>
    </xf>
    <xf numFmtId="49" fontId="0" fillId="0" borderId="14" xfId="0" applyFont="1" applyBorder="1" applyNumberFormat="1">
      <alignment vertical="center" wrapText="1"/>
    </xf>
    <xf numFmtId="49" fontId="0" fillId="0" borderId="14" xfId="0" applyFont="1" applyBorder="1" applyNumberFormat="1">
      <alignment horizontal="center" vertical="center"/>
    </xf>
    <xf numFmtId="4" fontId="0" fillId="38" borderId="14" xfId="0" applyFont="1" applyFill="1" applyBorder="1" applyNumberFormat="1">
      <alignment horizontal="right" vertical="center" wrapText="1"/>
    </xf>
    <xf numFmtId="49" fontId="0" fillId="0" borderId="14" xfId="0" applyFont="1" applyBorder="1" applyNumberFormat="1">
      <alignment horizontal="left" vertical="center" wrapText="1" indent="2"/>
    </xf>
    <xf numFmtId="4" fontId="0" fillId="39" borderId="14" xfId="0" applyFont="1" applyFill="1" applyBorder="1" applyNumberFormat="1">
      <alignment horizontal="right" vertical="center" wrapText="1"/>
      <protection locked="0"/>
    </xf>
    <xf numFmtId="49" fontId="0" fillId="0" borderId="14" xfId="0" applyFont="1" applyBorder="1" applyNumberFormat="1">
      <alignment horizontal="center" vertical="center" wrapText="1"/>
    </xf>
    <xf numFmtId="49" fontId="0" fillId="0" borderId="14" xfId="0" applyFont="1" applyBorder="1" applyNumberFormat="1">
      <alignment horizontal="left" vertical="center" wrapText="1"/>
    </xf>
    <xf numFmtId="49" fontId="0" fillId="0" borderId="14" xfId="0" applyFont="1" applyBorder="1" applyNumberFormat="1">
      <alignment horizontal="left" vertical="center" wrapText="1" indent="3"/>
    </xf>
    <xf numFmtId="49" fontId="0" fillId="0" borderId="14" xfId="0" applyFont="1" applyBorder="1" applyNumberFormat="1">
      <alignment horizontal="left" vertical="center" wrapText="1"/>
    </xf>
    <xf numFmtId="49" fontId="54" fillId="0" borderId="0" xfId="0" applyFont="1" applyNumberFormat="1">
      <alignment horizontal="center" vertical="center" wrapText="1"/>
    </xf>
    <xf numFmtId="49" fontId="53" fillId="0" borderId="0" xfId="0" applyFont="1" applyNumberFormat="1">
      <alignment vertical="center"/>
    </xf>
    <xf numFmtId="49" fontId="104" fillId="0" borderId="0" xfId="0" applyFont="1" applyNumberFormat="1">
      <alignment vertical="center"/>
    </xf>
    <xf numFmtId="49" fontId="53" fillId="0" borderId="0" xfId="0" applyFont="1" applyNumberFormat="1">
      <alignment vertical="center"/>
    </xf>
    <xf numFmtId="49" fontId="53" fillId="0" borderId="0" xfId="0" applyFont="1" applyNumberFormat="1">
      <alignment vertical="center"/>
    </xf>
    <xf numFmtId="49" fontId="104" fillId="0" borderId="0" xfId="0" applyFont="1" applyNumberFormat="1">
      <alignment vertical="center" wrapText="1"/>
    </xf>
    <xf numFmtId="49" fontId="53" fillId="0" borderId="0" xfId="0" applyFont="1" applyNumberFormat="1">
      <alignment vertical="center" wrapText="1"/>
    </xf>
    <xf numFmtId="49" fontId="53" fillId="0" borderId="0" xfId="0" applyFont="1" applyNumberFormat="1">
      <alignment vertical="top"/>
    </xf>
    <xf numFmtId="49" fontId="53" fillId="0" borderId="0" xfId="0" applyFont="1" applyNumberFormat="1">
      <alignment vertical="center" wrapText="1"/>
    </xf>
    <xf numFmtId="49" fontId="23" fillId="0" borderId="0" xfId="0" applyFont="1" applyNumberFormat="1">
      <alignment horizontal="center" vertical="top" wrapText="1"/>
    </xf>
    <xf numFmtId="49" fontId="40" fillId="0" borderId="0" xfId="0" applyFont="1" applyNumberFormat="1">
      <alignment horizontal="center" vertical="top" wrapText="1"/>
    </xf>
    <xf numFmtId="49" fontId="23" fillId="37" borderId="0" xfId="0" applyFont="1" applyFill="1" applyNumberFormat="1">
      <alignment horizontal="center" vertical="top" wrapText="1"/>
    </xf>
    <xf numFmtId="0" fontId="23" fillId="0" borderId="22" xfId="0" applyFont="1" applyBorder="1" applyNumberFormat="1">
      <alignment horizontal="left" vertical="top" wrapText="1"/>
    </xf>
    <xf numFmtId="49" fontId="23" fillId="0" borderId="0" xfId="0" applyFont="1" applyNumberFormat="1">
      <alignment horizontal="center" vertical="center" wrapText="1"/>
    </xf>
    <xf numFmtId="49" fontId="40" fillId="0" borderId="0" xfId="0" applyFont="1" applyNumberFormat="1">
      <alignment horizontal="center" vertical="center" wrapText="1"/>
    </xf>
    <xf numFmtId="49" fontId="23" fillId="37" borderId="0" xfId="0" applyFont="1" applyFill="1" applyNumberFormat="1">
      <alignment horizontal="center" vertical="center" wrapText="1"/>
    </xf>
    <xf numFmtId="49" fontId="53" fillId="0" borderId="0" xfId="0" applyFont="1" applyNumberFormat="1">
      <alignment horizontal="center" vertical="center" wrapText="1"/>
    </xf>
    <xf numFmtId="49" fontId="104" fillId="0" borderId="0" xfId="0" applyFont="1" applyNumberFormat="1">
      <alignment horizontal="center" vertical="center" wrapText="1"/>
    </xf>
    <xf numFmtId="49" fontId="53" fillId="0" borderId="0" xfId="0" applyFont="1" applyNumberFormat="1">
      <alignment horizontal="center" vertical="center" wrapText="1"/>
    </xf>
    <xf numFmtId="0" fontId="53" fillId="0" borderId="0" xfId="0" applyFont="1" applyNumberFormat="1">
      <alignment horizontal="center" vertical="center" wrapText="1"/>
    </xf>
    <xf numFmtId="49" fontId="53" fillId="0" borderId="0" xfId="0" applyFont="1" applyNumberFormat="1">
      <alignment horizontal="center" vertical="center" wrapText="1"/>
    </xf>
    <xf numFmtId="49" fontId="104" fillId="0" borderId="0" xfId="0" applyFont="1" applyNumberFormat="1">
      <alignment horizontal="center" vertical="center" wrapText="1"/>
    </xf>
    <xf numFmtId="49" fontId="23" fillId="0" borderId="0" xfId="0" applyFont="1" applyNumberFormat="1">
      <alignment horizontal="center" vertical="center" wrapText="1"/>
    </xf>
    <xf numFmtId="0" fontId="23" fillId="0" borderId="0" xfId="0" applyFont="1" applyNumberFormat="1">
      <alignment horizontal="center" vertical="center" wrapText="1"/>
    </xf>
    <xf numFmtId="0" fontId="23" fillId="51" borderId="16" xfId="0" applyFont="1" applyFill="1" applyBorder="1" applyNumberFormat="1">
      <alignment horizontal="center" vertical="center" wrapText="1"/>
    </xf>
    <xf numFmtId="0" fontId="23" fillId="51" borderId="17" xfId="0" applyFont="1" applyFill="1" applyBorder="1" applyNumberFormat="1">
      <alignment horizontal="center" vertical="center" wrapText="1"/>
    </xf>
    <xf numFmtId="0" fontId="23" fillId="51" borderId="15" xfId="0" applyFont="1" applyFill="1" applyBorder="1" applyNumberFormat="1">
      <alignment horizontal="center" vertical="center" wrapText="1"/>
    </xf>
    <xf numFmtId="49" fontId="54" fillId="49" borderId="16" xfId="0" applyFont="1" applyFill="1" applyBorder="1" applyNumberFormat="1">
      <alignment horizontal="center" vertical="center" wrapText="1"/>
    </xf>
    <xf numFmtId="49" fontId="54" fillId="49" borderId="17" xfId="0" applyFont="1" applyFill="1" applyBorder="1" applyNumberFormat="1">
      <alignment horizontal="center" vertical="center" wrapText="1"/>
    </xf>
    <xf numFmtId="49" fontId="54" fillId="49" borderId="15" xfId="0" applyFont="1" applyFill="1" applyBorder="1" applyNumberFormat="1">
      <alignment horizontal="center" vertical="center" wrapText="1"/>
    </xf>
    <xf numFmtId="49" fontId="54" fillId="52" borderId="16" xfId="0" applyFont="1" applyFill="1" applyBorder="1" applyNumberFormat="1">
      <alignment horizontal="center" vertical="center" wrapText="1"/>
    </xf>
    <xf numFmtId="49" fontId="54" fillId="52" borderId="17" xfId="0" applyFont="1" applyFill="1" applyBorder="1" applyNumberFormat="1">
      <alignment horizontal="center" vertical="center" wrapText="1"/>
    </xf>
    <xf numFmtId="49" fontId="54" fillId="52" borderId="15" xfId="0" applyFont="1" applyFill="1" applyBorder="1" applyNumberFormat="1">
      <alignment horizontal="center" vertical="center" wrapText="1"/>
    </xf>
    <xf numFmtId="49" fontId="23" fillId="53" borderId="16" xfId="0" applyFont="1" applyFill="1" applyBorder="1" applyNumberFormat="1">
      <alignment horizontal="center" vertical="center" wrapText="1"/>
    </xf>
    <xf numFmtId="49" fontId="23" fillId="53" borderId="17" xfId="0" applyFont="1" applyFill="1" applyBorder="1" applyNumberFormat="1">
      <alignment horizontal="center" vertical="center" wrapText="1"/>
    </xf>
    <xf numFmtId="49" fontId="23" fillId="34" borderId="21" xfId="0" applyFont="1" applyFill="1" applyBorder="1" applyNumberFormat="1">
      <alignment horizontal="center" vertical="center" wrapText="1"/>
    </xf>
    <xf numFmtId="49" fontId="23" fillId="34" borderId="0" xfId="0" applyFont="1" applyFill="1" applyNumberFormat="1">
      <alignment horizontal="center" vertical="center" wrapText="1"/>
    </xf>
    <xf numFmtId="49" fontId="23" fillId="0" borderId="16" xfId="0" applyFont="1" applyBorder="1" applyNumberFormat="1">
      <alignment horizontal="center" vertical="center" wrapText="1"/>
    </xf>
    <xf numFmtId="49" fontId="23" fillId="0" borderId="17" xfId="0" applyFont="1" applyBorder="1" applyNumberFormat="1">
      <alignment horizontal="center" vertical="center" wrapText="1"/>
    </xf>
    <xf numFmtId="49" fontId="23" fillId="0" borderId="15" xfId="0" applyFont="1" applyBorder="1" applyNumberFormat="1">
      <alignment horizontal="center" vertical="center" wrapText="1"/>
    </xf>
    <xf numFmtId="49" fontId="53" fillId="37" borderId="0" xfId="0" applyFont="1" applyFill="1" applyNumberFormat="1">
      <alignment vertical="center" wrapText="1"/>
    </xf>
    <xf numFmtId="49" fontId="23" fillId="37" borderId="14" xfId="0" applyFont="1" applyFill="1" applyBorder="1" applyNumberFormat="1">
      <alignment horizontal="center" vertical="center" wrapText="1"/>
    </xf>
    <xf numFmtId="49" fontId="23" fillId="34" borderId="14" xfId="0" applyFont="1" applyFill="1" applyBorder="1" applyNumberFormat="1">
      <alignment horizontal="center" vertical="center" wrapText="1"/>
    </xf>
    <xf numFmtId="0" fontId="23" fillId="34" borderId="14" xfId="0" applyFont="1" applyFill="1" applyBorder="1" applyNumberFormat="1">
      <alignment horizontal="center" vertical="center" wrapText="1"/>
    </xf>
    <xf numFmtId="0" fontId="23" fillId="34" borderId="16" xfId="0" applyFont="1" applyFill="1" applyBorder="1" applyNumberFormat="1">
      <alignment horizontal="center" vertical="center" wrapText="1"/>
    </xf>
    <xf numFmtId="0" fontId="23" fillId="37" borderId="16" xfId="0" applyFont="1" applyFill="1" applyBorder="1" applyNumberFormat="1">
      <alignment horizontal="center" vertical="center" wrapText="1"/>
    </xf>
    <xf numFmtId="0" fontId="23" fillId="37" borderId="17" xfId="0" applyFont="1" applyFill="1" applyBorder="1" applyNumberFormat="1">
      <alignment horizontal="center" vertical="center" wrapText="1"/>
    </xf>
    <xf numFmtId="0" fontId="23" fillId="37" borderId="15" xfId="0" applyFont="1" applyFill="1" applyBorder="1" applyNumberFormat="1">
      <alignment horizontal="center" vertical="center" wrapText="1"/>
    </xf>
    <xf numFmtId="0" fontId="23" fillId="34" borderId="15" xfId="0" applyFont="1" applyFill="1" applyBorder="1" applyNumberFormat="1">
      <alignment horizontal="center" vertical="center" wrapText="1"/>
    </xf>
    <xf numFmtId="49" fontId="23" fillId="0" borderId="0" xfId="0" applyFont="1" applyNumberFormat="1">
      <alignment vertical="center" wrapText="1"/>
    </xf>
    <xf numFmtId="49" fontId="53" fillId="0" borderId="0" xfId="0" applyFont="1" applyNumberFormat="1">
      <alignment vertical="top"/>
    </xf>
    <xf numFmtId="0" fontId="23" fillId="37" borderId="22" xfId="0" applyFont="1" applyFill="1" applyBorder="1" applyNumberFormat="1">
      <alignment horizontal="center" vertical="center" wrapText="1"/>
    </xf>
    <xf numFmtId="0" fontId="23" fillId="37" borderId="31" xfId="0" applyFont="1" applyFill="1" applyBorder="1" applyNumberFormat="1">
      <alignment horizontal="center" vertical="center" wrapText="1"/>
    </xf>
    <xf numFmtId="0" fontId="23" fillId="37" borderId="14" xfId="0" applyFont="1" applyFill="1" applyBorder="1" applyNumberFormat="1">
      <alignment horizontal="center" vertical="center" wrapText="1"/>
    </xf>
    <xf numFmtId="49" fontId="23" fillId="34" borderId="29" xfId="0" applyFont="1" applyFill="1" applyBorder="1" applyNumberFormat="1">
      <alignment horizontal="center" vertical="center" wrapText="1"/>
    </xf>
    <xf numFmtId="49" fontId="53" fillId="0" borderId="0" xfId="0" applyFont="1" applyNumberFormat="1">
      <alignment vertical="center"/>
    </xf>
    <xf numFmtId="49" fontId="53" fillId="37" borderId="0" xfId="0" applyFont="1" applyFill="1" applyNumberFormat="1">
      <alignment vertical="center"/>
    </xf>
    <xf numFmtId="49" fontId="44" fillId="0" borderId="14" xfId="0" applyFont="1" applyBorder="1" applyNumberFormat="1">
      <alignment horizontal="center" vertical="center"/>
    </xf>
    <xf numFmtId="49" fontId="44" fillId="34" borderId="14" xfId="0" applyFont="1" applyFill="1" applyBorder="1" applyNumberFormat="1">
      <alignment horizontal="center" vertical="center"/>
    </xf>
    <xf numFmtId="0" fontId="44" fillId="0" borderId="14" xfId="0" applyFont="1" applyBorder="1" applyNumberFormat="1">
      <alignment horizontal="center" vertical="center"/>
    </xf>
    <xf numFmtId="49" fontId="44" fillId="0" borderId="25" xfId="0" applyFont="1" applyBorder="1" applyNumberFormat="1">
      <alignment horizontal="center" vertical="center"/>
    </xf>
    <xf numFmtId="49" fontId="23" fillId="0" borderId="0" xfId="0" applyFont="1" applyNumberFormat="1">
      <alignment vertical="center"/>
    </xf>
    <xf numFmtId="49" fontId="104" fillId="0" borderId="0" xfId="0" applyFont="1" applyNumberFormat="1">
      <alignment vertical="center"/>
    </xf>
    <xf numFmtId="49" fontId="54" fillId="0" borderId="19" xfId="0" applyFont="1" applyBorder="1" applyNumberFormat="1">
      <alignment horizontal="center" vertical="center"/>
    </xf>
    <xf numFmtId="49" fontId="23" fillId="0" borderId="19" xfId="0" applyFont="1" applyBorder="1" applyNumberFormat="1">
      <alignment horizontal="center" vertical="center"/>
    </xf>
    <xf numFmtId="0" fontId="23" fillId="0" borderId="19" xfId="0" applyFont="1" applyBorder="1" applyNumberFormat="1">
      <alignment horizontal="right" vertical="center"/>
    </xf>
    <xf numFmtId="0" fontId="23" fillId="0" borderId="19" xfId="0" applyFont="1" applyBorder="1" applyNumberFormat="1">
      <alignment horizontal="center" vertical="center"/>
    </xf>
    <xf numFmtId="0" fontId="23" fillId="0" borderId="14" xfId="0" applyFont="1" applyBorder="1" applyNumberFormat="1">
      <alignment horizontal="right" vertical="center"/>
    </xf>
    <xf numFmtId="49" fontId="23" fillId="0" borderId="0" xfId="0" applyFont="1" applyNumberFormat="1">
      <alignment vertical="center"/>
    </xf>
    <xf numFmtId="49" fontId="53" fillId="0" borderId="0" xfId="0" applyFont="1" applyNumberFormat="1">
      <alignment vertical="top"/>
    </xf>
    <xf numFmtId="4" fontId="53" fillId="37" borderId="0" xfId="0" applyFont="1" applyFill="1" applyNumberFormat="1">
      <alignment vertical="center"/>
    </xf>
    <xf numFmtId="49" fontId="53" fillId="0" borderId="0" xfId="0" applyFont="1" applyNumberFormat="1">
      <alignment vertical="center" wrapText="1"/>
    </xf>
    <xf numFmtId="49" fontId="53" fillId="0" borderId="0" xfId="0" applyFont="1" applyNumberFormat="1">
      <alignment vertical="top"/>
    </xf>
    <xf numFmtId="0" fontId="53" fillId="0" borderId="0" xfId="0" applyFont="1" applyNumberFormat="1">
      <alignment vertical="center" wrapText="1"/>
    </xf>
    <xf numFmtId="49" fontId="99" fillId="0" borderId="0" xfId="0" applyFont="1" applyNumberFormat="1">
      <alignment vertical="center" wrapText="1"/>
    </xf>
    <xf numFmtId="49" fontId="53" fillId="0" borderId="0" xfId="0" applyFont="1" applyNumberFormat="1">
      <alignment vertical="center" wrapText="1"/>
    </xf>
    <xf numFmtId="49" fontId="104" fillId="0" borderId="0" xfId="0" applyFont="1" applyNumberFormat="1">
      <alignment vertical="center" wrapText="1"/>
    </xf>
    <xf numFmtId="0" fontId="44" fillId="0" borderId="0" xfId="0" applyFont="1" applyNumberFormat="1">
      <alignment horizontal="center" vertical="center" wrapText="1"/>
    </xf>
    <xf numFmtId="0" fontId="23" fillId="0" borderId="14" xfId="0" applyFont="1" applyBorder="1" applyNumberFormat="1">
      <alignment horizontal="center" vertical="center" wrapText="1"/>
    </xf>
    <xf numFmtId="0" fontId="23" fillId="38" borderId="16" xfId="0" applyFont="1" applyFill="1" applyBorder="1" applyNumberFormat="1">
      <alignment horizontal="left" vertical="top" wrapText="1" indent="1"/>
    </xf>
    <xf numFmtId="0" fontId="23" fillId="0" borderId="16" xfId="0" applyFont="1" applyBorder="1" applyNumberFormat="1">
      <alignment horizontal="center" vertical="center" wrapText="1"/>
    </xf>
    <xf numFmtId="0" fontId="23" fillId="0" borderId="14" xfId="0" applyFont="1" applyBorder="1" applyNumberFormat="1">
      <alignment horizontal="left" vertical="top" wrapText="1"/>
    </xf>
    <xf numFmtId="3" fontId="23" fillId="42" borderId="16" xfId="0" applyFont="1" applyFill="1" applyBorder="1" applyNumberFormat="1">
      <alignment vertical="center" wrapText="1"/>
      <protection locked="0"/>
    </xf>
    <xf numFmtId="0" fontId="23" fillId="0" borderId="14" xfId="0" applyFont="1" applyBorder="1" applyNumberFormat="1">
      <alignment vertical="top" wrapText="1"/>
    </xf>
    <xf numFmtId="0" fontId="23" fillId="0" borderId="14" xfId="0" applyFont="1" applyBorder="1" applyNumberFormat="1">
      <alignment horizontal="left" vertical="top" wrapText="1"/>
    </xf>
    <xf numFmtId="4" fontId="23" fillId="38" borderId="16" xfId="0" applyFont="1" applyFill="1" applyBorder="1" applyNumberFormat="1">
      <alignment horizontal="right" vertical="center" wrapText="1"/>
    </xf>
    <xf numFmtId="0" fontId="54" fillId="0" borderId="14" xfId="0" applyFont="1" applyBorder="1" applyNumberFormat="1">
      <alignment vertical="top" wrapText="1"/>
    </xf>
    <xf numFmtId="0" fontId="45" fillId="0" borderId="0" xfId="0" applyFont="1" applyNumberFormat="1">
      <alignment horizontal="center" vertical="center" wrapText="1"/>
    </xf>
    <xf numFmtId="49" fontId="23" fillId="42" borderId="14" xfId="0" applyFont="1" applyFill="1" applyBorder="1" applyNumberFormat="1">
      <alignment horizontal="left" vertical="center" wrapText="1" indent="1"/>
      <protection locked="0"/>
    </xf>
    <xf numFmtId="0" fontId="23" fillId="0" borderId="0" xfId="0" applyFont="1" applyNumberFormat="1">
      <alignment horizontal="left" vertical="center" wrapText="1" indent="2"/>
    </xf>
    <xf numFmtId="0" fontId="47" fillId="37" borderId="0" xfId="0" applyFont="1" applyFill="1" applyNumberFormat="1">
      <alignment vertical="center" wrapText="1"/>
    </xf>
    <xf numFmtId="0" fontId="23" fillId="37" borderId="0" xfId="0" applyFont="1" applyFill="1" applyNumberFormat="1">
      <alignment vertical="center" wrapText="1"/>
    </xf>
    <xf numFmtId="0" fontId="23" fillId="37" borderId="0" xfId="0" applyFont="1" applyFill="1" applyNumberFormat="1">
      <alignment horizontal="right" vertical="center" wrapText="1"/>
    </xf>
    <xf numFmtId="0" fontId="23" fillId="0" borderId="22" xfId="0" applyFont="1" applyBorder="1" applyNumberFormat="1">
      <alignment horizontal="left" vertical="top" wrapText="1" indent="1"/>
    </xf>
    <xf numFmtId="0" fontId="23" fillId="0" borderId="19" xfId="0" applyFont="1" applyBorder="1" applyNumberFormat="1">
      <alignment horizontal="left" vertical="top" wrapText="1" indent="1"/>
    </xf>
    <xf numFmtId="0" fontId="23" fillId="0" borderId="39" xfId="0" applyFont="1" applyBorder="1" applyNumberFormat="1">
      <alignment horizontal="left" vertical="top" wrapText="1" indent="1"/>
    </xf>
    <xf numFmtId="49" fontId="23" fillId="0" borderId="0" xfId="0" applyFont="1" applyNumberFormat="1">
      <alignment vertical="center" wrapText="1"/>
    </xf>
    <xf numFmtId="0" fontId="23" fillId="0" borderId="31" xfId="0" applyFont="1" applyBorder="1" applyNumberFormat="1">
      <alignment horizontal="left" vertical="center" wrapText="1" indent="1"/>
    </xf>
    <xf numFmtId="0" fontId="23" fillId="0" borderId="25" xfId="0" applyFont="1" applyBorder="1" applyNumberFormat="1">
      <alignment horizontal="left" vertical="center" wrapText="1" indent="1"/>
    </xf>
    <xf numFmtId="0" fontId="23" fillId="0" borderId="32" xfId="0" applyFont="1" applyBorder="1" applyNumberFormat="1">
      <alignment horizontal="left" vertical="center" wrapText="1" indent="1"/>
    </xf>
    <xf numFmtId="0" fontId="23" fillId="37" borderId="0" xfId="0" applyFont="1" applyFill="1" applyNumberFormat="1">
      <alignment horizontal="center" vertical="center" wrapText="1"/>
    </xf>
    <xf numFmtId="0" fontId="23" fillId="37" borderId="0" xfId="0" applyFont="1" applyFill="1" applyNumberFormat="1">
      <alignment horizontal="right" vertical="center"/>
    </xf>
    <xf numFmtId="49" fontId="23" fillId="0" borderId="0" xfId="0" applyFont="1" applyNumberFormat="1">
      <alignment vertical="center" wrapText="1"/>
    </xf>
    <xf numFmtId="0" fontId="23" fillId="37" borderId="0" xfId="0" applyFont="1" applyFill="1" applyNumberFormat="1">
      <alignment horizontal="center" vertical="center" wrapText="1"/>
    </xf>
    <xf numFmtId="0" fontId="23" fillId="37" borderId="14" xfId="0" applyFont="1" applyFill="1" applyBorder="1" applyNumberFormat="1">
      <alignment horizontal="center" vertical="center"/>
    </xf>
    <xf numFmtId="0" fontId="23" fillId="37" borderId="14" xfId="0" applyFont="1" applyFill="1" applyBorder="1" applyNumberFormat="1">
      <alignment horizontal="center" vertical="center" wrapText="1"/>
    </xf>
    <xf numFmtId="0" fontId="0" fillId="0" borderId="14" xfId="0" applyFont="1" applyBorder="1" applyNumberFormat="1">
      <alignment horizontal="center" vertical="center" wrapText="1"/>
    </xf>
    <xf numFmtId="49" fontId="44" fillId="37" borderId="0" xfId="0" applyFont="1" applyFill="1" applyNumberFormat="1">
      <alignment horizontal="center" vertical="center" wrapText="1"/>
    </xf>
    <xf numFmtId="49" fontId="23" fillId="0" borderId="0" xfId="0" applyFont="1" applyNumberFormat="1">
      <alignment vertical="top"/>
    </xf>
    <xf numFmtId="49" fontId="0" fillId="37" borderId="14" xfId="0" applyFont="1" applyFill="1" applyBorder="1" applyNumberFormat="1">
      <alignment horizontal="center" vertical="center" wrapText="1"/>
    </xf>
    <xf numFmtId="0" fontId="0" fillId="0" borderId="14" xfId="0" applyFont="1" applyBorder="1" applyNumberFormat="1">
      <alignment vertical="center" wrapText="1"/>
    </xf>
    <xf numFmtId="0" fontId="0" fillId="0" borderId="14" xfId="0" applyFont="1" applyBorder="1" applyNumberFormat="1">
      <alignment horizontal="center" vertical="center" wrapText="1"/>
    </xf>
    <xf numFmtId="0" fontId="23" fillId="0" borderId="14" xfId="0" applyFont="1" applyBorder="1" applyNumberFormat="1">
      <alignment vertical="center" wrapText="1"/>
    </xf>
    <xf numFmtId="0" fontId="0" fillId="0" borderId="14" xfId="0" applyFont="1" applyBorder="1" applyNumberFormat="1">
      <alignment horizontal="left" vertical="center" wrapText="1" indent="1"/>
    </xf>
    <xf numFmtId="0" fontId="0" fillId="42" borderId="14" xfId="0" applyFont="1" applyFill="1" applyBorder="1" applyNumberFormat="1">
      <alignment horizontal="left" vertical="center" wrapText="1" indent="2"/>
      <protection locked="0"/>
    </xf>
    <xf numFmtId="49" fontId="34" fillId="42" borderId="14" xfId="0" applyFont="1" applyFill="1" applyBorder="1" applyNumberFormat="1">
      <alignment horizontal="left" vertical="center" wrapText="1"/>
      <protection locked="0"/>
    </xf>
    <xf numFmtId="0" fontId="23" fillId="40" borderId="16" xfId="0" applyFont="1" applyFill="1" applyBorder="1" applyNumberFormat="1">
      <alignment vertical="center" wrapText="1"/>
    </xf>
    <xf numFmtId="49" fontId="48" fillId="40" borderId="17" xfId="0" applyFont="1" applyFill="1" applyBorder="1" applyNumberFormat="1">
      <alignment horizontal="left" vertical="center" indent="2"/>
    </xf>
    <xf numFmtId="49" fontId="52" fillId="40" borderId="15" xfId="0" applyFont="1" applyFill="1" applyBorder="1" applyNumberFormat="1">
      <alignment horizontal="center" vertical="top"/>
    </xf>
    <xf numFmtId="0" fontId="23" fillId="0" borderId="0" xfId="0" applyFont="1" applyNumberFormat="1">
      <alignment vertical="center" wrapText="1"/>
    </xf>
    <xf numFmtId="49" fontId="23" fillId="0" borderId="0" xfId="0" applyFont="1" applyNumberFormat="1">
      <alignment vertical="top"/>
    </xf>
    <xf numFmtId="0" fontId="54" fillId="0" borderId="0" xfId="0" applyFont="1" applyNumberFormat="1">
      <alignment vertical="center" wrapText="1"/>
    </xf>
    <xf numFmtId="0" fontId="47" fillId="37" borderId="0" xfId="0" applyFont="1" applyFill="1" applyNumberFormat="1">
      <alignment vertical="center" wrapText="1"/>
    </xf>
    <xf numFmtId="49" fontId="52" fillId="40" borderId="17" xfId="0" applyFont="1" applyFill="1" applyBorder="1" applyNumberFormat="1">
      <alignment horizontal="center" vertical="top"/>
    </xf>
    <xf numFmtId="0" fontId="55" fillId="0" borderId="0" xfId="0" applyFont="1" applyNumberFormat="1">
      <alignment vertical="center"/>
    </xf>
    <xf numFmtId="49" fontId="0" fillId="37" borderId="14" xfId="0" applyFont="1" applyFill="1" applyBorder="1" applyNumberFormat="1">
      <alignment horizontal="center" vertical="center" wrapText="1"/>
    </xf>
    <xf numFmtId="0" fontId="0" fillId="0" borderId="14" xfId="0" applyFont="1" applyBorder="1" applyNumberFormat="1">
      <alignment horizontal="left" vertical="center" wrapText="1" indent="1"/>
    </xf>
    <xf numFmtId="0" fontId="0" fillId="37" borderId="14" xfId="0" applyFont="1" applyFill="1" applyBorder="1" applyNumberFormat="1">
      <alignment horizontal="center" vertical="center" wrapText="1"/>
    </xf>
    <xf numFmtId="0" fontId="0" fillId="0" borderId="14" xfId="0" applyFont="1" applyBorder="1" applyNumberFormat="1">
      <alignment horizontal="left" vertical="center" wrapText="1" indent="1"/>
    </xf>
    <xf numFmtId="49" fontId="72" fillId="0" borderId="14" xfId="0" applyFont="1" applyBorder="1" applyNumberFormat="1">
      <alignment horizontal="center" vertical="center" wrapText="1"/>
    </xf>
    <xf numFmtId="0" fontId="72" fillId="0" borderId="14" xfId="0" applyFont="1" applyBorder="1" applyNumberFormat="1">
      <alignment horizontal="left" vertical="center" wrapText="1" indent="2"/>
    </xf>
    <xf numFmtId="49" fontId="75" fillId="0" borderId="16" xfId="0" applyFont="1" applyBorder="1" applyNumberFormat="1">
      <alignment horizontal="left" vertical="center" wrapText="1"/>
    </xf>
    <xf numFmtId="0" fontId="23" fillId="0" borderId="19" xfId="0" applyFont="1" applyBorder="1" applyNumberFormat="1">
      <alignment vertical="top" wrapText="1"/>
    </xf>
    <xf numFmtId="49" fontId="48" fillId="40" borderId="17" xfId="0" applyFont="1" applyFill="1" applyBorder="1" applyNumberFormat="1">
      <alignment horizontal="left" vertical="center" indent="1"/>
    </xf>
    <xf numFmtId="0" fontId="23" fillId="0" borderId="25" xfId="0" applyFont="1" applyBorder="1" applyNumberFormat="1">
      <alignment vertical="top" wrapText="1"/>
    </xf>
    <xf numFmtId="49" fontId="0" fillId="37" borderId="14" xfId="0" applyFont="1" applyFill="1" applyBorder="1" applyNumberFormat="1">
      <alignment horizontal="center" vertical="center" wrapText="1"/>
    </xf>
    <xf numFmtId="0" fontId="0" fillId="0" borderId="14" xfId="0" applyFont="1" applyBorder="1" applyNumberFormat="1">
      <alignment horizontal="center" vertical="center" wrapText="1"/>
    </xf>
    <xf numFmtId="0" fontId="23" fillId="0" borderId="14" xfId="0" applyFont="1" applyBorder="1" applyNumberFormat="1">
      <alignment vertical="center" wrapText="1"/>
    </xf>
    <xf numFmtId="0" fontId="0" fillId="0" borderId="14" xfId="0" applyFont="1" applyBorder="1" applyNumberFormat="1">
      <alignment horizontal="left" vertical="center" wrapText="1" indent="1"/>
    </xf>
    <xf numFmtId="0" fontId="23" fillId="0" borderId="0" xfId="0" applyFont="1" applyNumberFormat="1">
      <alignment vertical="top" wrapText="1"/>
    </xf>
    <xf numFmtId="49" fontId="23" fillId="0" borderId="0" xfId="0" applyFont="1" applyNumberFormat="1">
      <alignment vertical="center" wrapText="1"/>
    </xf>
    <xf numFmtId="0" fontId="54" fillId="0" borderId="0" xfId="0" applyFont="1" applyNumberFormat="1">
      <alignment vertical="center" wrapText="1"/>
    </xf>
    <xf numFmtId="0" fontId="47" fillId="0" borderId="0" xfId="0" applyFont="1" applyNumberFormat="1">
      <alignment vertical="center" wrapText="1"/>
    </xf>
    <xf numFmtId="49" fontId="54" fillId="0" borderId="0" xfId="0" applyFont="1" applyNumberFormat="1">
      <alignment vertical="top"/>
    </xf>
    <xf numFmtId="49" fontId="126" fillId="0" borderId="0" xfId="0" applyFont="1" applyNumberFormat="1">
      <alignment horizontal="center" vertical="center" wrapText="1"/>
    </xf>
    <xf numFmtId="0" fontId="0" fillId="42" borderId="14" xfId="0" applyFont="1" applyFill="1" applyBorder="1" applyNumberFormat="1">
      <alignment horizontal="left" vertical="center" wrapText="1" indent="1"/>
      <protection locked="0"/>
    </xf>
    <xf numFmtId="49" fontId="34" fillId="42" borderId="14" xfId="0" applyFont="1" applyFill="1" applyBorder="1" applyNumberFormat="1">
      <alignment horizontal="left" vertical="center" wrapText="1"/>
      <protection locked="0"/>
    </xf>
    <xf numFmtId="0" fontId="47" fillId="0" borderId="0" xfId="0" applyFont="1" applyNumberFormat="1">
      <alignment vertical="center" wrapText="1"/>
    </xf>
    <xf numFmtId="0" fontId="0" fillId="0" borderId="14" xfId="0" applyFont="1" applyBorder="1" applyNumberFormat="1">
      <alignment horizontal="left" vertical="center" wrapText="1" indent="1"/>
    </xf>
    <xf numFmtId="0" fontId="0" fillId="42" borderId="14" xfId="0" applyFont="1" applyFill="1" applyBorder="1" applyNumberFormat="1">
      <alignment horizontal="left" vertical="center" wrapText="1"/>
      <protection locked="0"/>
    </xf>
    <xf numFmtId="0" fontId="0" fillId="0" borderId="14" xfId="0" applyFont="1" applyBorder="1" applyNumberFormat="1">
      <alignment horizontal="left" vertical="center" wrapText="1" indent="2"/>
    </xf>
    <xf numFmtId="49" fontId="23" fillId="43" borderId="14" xfId="0" applyFont="1" applyFill="1" applyBorder="1" applyNumberFormat="1">
      <alignment horizontal="left" vertical="center" wrapText="1"/>
    </xf>
    <xf numFmtId="0" fontId="0" fillId="0" borderId="14" xfId="0" applyFont="1" applyBorder="1" applyNumberFormat="1">
      <alignment horizontal="left" vertical="center" wrapText="1"/>
    </xf>
    <xf numFmtId="167" fontId="0" fillId="42" borderId="14" xfId="0" applyFont="1" applyFill="1" applyBorder="1" applyNumberFormat="1">
      <alignment horizontal="left" vertical="center" wrapText="1"/>
      <protection locked="0"/>
    </xf>
    <xf numFmtId="0" fontId="23" fillId="0" borderId="14" xfId="0" applyFont="1" applyBorder="1" applyNumberFormat="1">
      <alignment horizontal="left" vertical="top" wrapText="1"/>
    </xf>
    <xf numFmtId="0" fontId="0" fillId="0" borderId="14" xfId="0" applyFont="1" applyBorder="1" applyNumberFormat="1">
      <alignment horizontal="left" vertical="center" wrapText="1"/>
    </xf>
    <xf numFmtId="0" fontId="23" fillId="0" borderId="14" xfId="0" applyFont="1" applyBorder="1" applyNumberFormat="1">
      <alignment horizontal="left" vertical="center" wrapText="1"/>
    </xf>
    <xf numFmtId="0" fontId="0" fillId="0" borderId="14" xfId="0" applyFont="1" applyBorder="1" applyNumberFormat="1">
      <alignment horizontal="left" vertical="center" wrapText="1"/>
    </xf>
    <xf numFmtId="0" fontId="23" fillId="0" borderId="14" xfId="0" applyFont="1" applyBorder="1" applyNumberFormat="1">
      <alignment vertical="top" wrapText="1"/>
    </xf>
    <xf numFmtId="49" fontId="48" fillId="40" borderId="17" xfId="0" applyFont="1" applyFill="1" applyBorder="1" applyNumberFormat="1">
      <alignment horizontal="left" vertical="center" indent="2"/>
    </xf>
    <xf numFmtId="49" fontId="48" fillId="40" borderId="17" xfId="0" applyFont="1" applyFill="1" applyBorder="1" applyNumberFormat="1">
      <alignment horizontal="left" vertical="center" indent="3"/>
    </xf>
    <xf numFmtId="49" fontId="23" fillId="43" borderId="14" xfId="0" applyFont="1" applyFill="1" applyBorder="1" applyNumberFormat="1">
      <alignment horizontal="left" vertical="center" wrapText="1"/>
    </xf>
    <xf numFmtId="49" fontId="23" fillId="0" borderId="0" xfId="0" applyFont="1" applyNumberFormat="1">
      <alignment vertical="top"/>
    </xf>
    <xf numFmtId="49" fontId="55" fillId="0" borderId="0" xfId="0" applyFont="1" applyNumberFormat="1">
      <alignment vertical="top"/>
    </xf>
    <xf numFmtId="0" fontId="23" fillId="0" borderId="0" xfId="0" applyFont="1" applyNumberFormat="1">
      <alignment horizontal="right" vertical="top" wrapText="1"/>
    </xf>
    <xf numFmtId="49" fontId="23" fillId="0" borderId="0" xfId="0" applyFont="1" applyNumberFormat="1">
      <alignment vertical="top" wrapText="1"/>
    </xf>
    <xf numFmtId="49" fontId="23" fillId="0" borderId="0" xfId="0" applyFont="1" applyNumberFormat="1">
      <alignment vertical="top"/>
    </xf>
    <xf numFmtId="0" fontId="0" fillId="0" borderId="15" xfId="0" applyFont="1" applyBorder="1" applyNumberFormat="1">
      <alignment horizontal="center" vertical="center" wrapText="1"/>
    </xf>
    <xf numFmtId="167" fontId="0" fillId="42" borderId="15" xfId="0" applyFont="1" applyFill="1" applyBorder="1" applyNumberFormat="1">
      <alignment horizontal="left" vertical="center" wrapText="1"/>
      <protection locked="0"/>
    </xf>
    <xf numFmtId="167" fontId="0" fillId="42" borderId="16" xfId="0" applyFont="1" applyFill="1" applyBorder="1" applyNumberFormat="1">
      <alignment horizontal="left" vertical="center" wrapText="1"/>
      <protection locked="0"/>
    </xf>
    <xf numFmtId="0" fontId="23" fillId="43" borderId="14" xfId="0" applyFont="1" applyFill="1" applyBorder="1" applyNumberFormat="1">
      <alignment horizontal="left" vertical="center" wrapText="1"/>
    </xf>
    <xf numFmtId="0" fontId="0" fillId="0" borderId="38" xfId="0" applyFont="1" applyBorder="1" applyNumberFormat="1">
      <alignment horizontal="center" vertical="center" wrapText="1"/>
    </xf>
    <xf numFmtId="49" fontId="52" fillId="40" borderId="15" xfId="0" applyFont="1" applyFill="1" applyBorder="1" applyNumberFormat="1">
      <alignment horizontal="center" vertical="top"/>
    </xf>
    <xf numFmtId="0" fontId="0" fillId="0" borderId="15" xfId="0" applyFont="1" applyBorder="1" applyNumberFormat="1">
      <alignment horizontal="center" vertical="center" wrapText="1"/>
    </xf>
    <xf numFmtId="0" fontId="23" fillId="0" borderId="0" xfId="0" applyFont="1" applyNumberFormat="1">
      <alignment horizontal="left" vertical="center" wrapText="1" indent="1"/>
    </xf>
    <xf numFmtId="0" fontId="0" fillId="0" borderId="14" xfId="0" applyFont="1" applyBorder="1" applyNumberFormat="1">
      <alignment horizontal="center" vertical="center" wrapText="1"/>
    </xf>
    <xf numFmtId="0" fontId="23" fillId="0" borderId="17" xfId="0" applyFont="1" applyBorder="1" applyNumberFormat="1">
      <alignment horizontal="left" vertical="top" wrapText="1" indent="1"/>
    </xf>
    <xf numFmtId="0" fontId="22" fillId="0" borderId="0" xfId="0" applyFont="1" applyNumberFormat="1">
      <alignment vertical="center" wrapText="1"/>
    </xf>
    <xf numFmtId="0" fontId="0" fillId="37" borderId="16" xfId="0" applyFont="1" applyFill="1" applyBorder="1" applyNumberFormat="1">
      <alignment horizontal="right" vertical="center" wrapText="1" indent="1"/>
    </xf>
    <xf numFmtId="0" fontId="76" fillId="0" borderId="0" xfId="0" applyFont="1" applyNumberFormat="1">
      <alignment vertical="center" wrapText="1"/>
    </xf>
    <xf numFmtId="49" fontId="44" fillId="37" borderId="0" xfId="0" applyFont="1" applyFill="1" applyNumberFormat="1">
      <alignment horizontal="center" vertical="center" wrapText="1"/>
    </xf>
    <xf numFmtId="49" fontId="44" fillId="37" borderId="21" xfId="0" applyFont="1" applyFill="1" applyBorder="1" applyNumberFormat="1">
      <alignment horizontal="center" vertical="center" wrapText="1"/>
    </xf>
    <xf numFmtId="49" fontId="0" fillId="37" borderId="19" xfId="0" applyFont="1" applyFill="1" applyBorder="1" applyNumberFormat="1">
      <alignment horizontal="center" vertical="center" wrapText="1"/>
    </xf>
    <xf numFmtId="0" fontId="0" fillId="0" borderId="19" xfId="0" applyFont="1" applyBorder="1" applyNumberFormat="1">
      <alignment horizontal="left" vertical="center" wrapText="1"/>
    </xf>
    <xf numFmtId="0" fontId="0" fillId="0" borderId="19" xfId="0" applyFont="1" applyBorder="1" applyNumberFormat="1">
      <alignment horizontal="left" vertical="center" wrapText="1"/>
    </xf>
    <xf numFmtId="0" fontId="23" fillId="0" borderId="14" xfId="0" applyFont="1" applyBorder="1" applyNumberFormat="1">
      <alignment horizontal="left" vertical="center" wrapText="1"/>
    </xf>
    <xf numFmtId="0" fontId="47" fillId="37" borderId="0" xfId="0" applyFont="1" applyFill="1" applyNumberFormat="1">
      <alignment horizontal="center" vertical="top" wrapText="1"/>
    </xf>
    <xf numFmtId="0" fontId="0" fillId="38" borderId="16" xfId="0" applyFont="1" applyFill="1" applyBorder="1" applyNumberFormat="1">
      <alignment horizontal="left" vertical="center" wrapText="1" indent="1"/>
    </xf>
    <xf numFmtId="0" fontId="0" fillId="0" borderId="15" xfId="0" applyFont="1" applyBorder="1" applyNumberFormat="1">
      <alignment horizontal="center" vertical="center" wrapText="1"/>
    </xf>
    <xf numFmtId="0" fontId="0" fillId="0" borderId="15" xfId="0" applyFont="1" applyBorder="1" applyNumberFormat="1">
      <alignment horizontal="center" vertical="center" wrapText="1"/>
    </xf>
    <xf numFmtId="49" fontId="48" fillId="40" borderId="29" xfId="0" applyFont="1" applyFill="1" applyBorder="1" applyNumberFormat="1">
      <alignment horizontal="left" vertical="center" indent="2"/>
    </xf>
    <xf numFmtId="49" fontId="48" fillId="40" borderId="17" xfId="0" applyFont="1" applyFill="1" applyBorder="1" applyNumberFormat="1">
      <alignment horizontal="left" vertical="center"/>
    </xf>
    <xf numFmtId="0" fontId="47" fillId="37" borderId="26" xfId="0" applyFont="1" applyFill="1" applyBorder="1" applyNumberFormat="1">
      <alignment horizontal="center" vertical="top" wrapText="1"/>
    </xf>
    <xf numFmtId="49" fontId="0" fillId="37" borderId="25" xfId="0" applyFont="1" applyFill="1" applyBorder="1" applyNumberFormat="1">
      <alignment horizontal="center" vertical="center" wrapText="1"/>
    </xf>
    <xf numFmtId="0" fontId="0" fillId="38" borderId="25" xfId="0" applyFont="1" applyFill="1" applyBorder="1" applyNumberFormat="1">
      <alignment horizontal="left" vertical="center" wrapText="1" indent="1"/>
    </xf>
    <xf numFmtId="0" fontId="23" fillId="0" borderId="14" xfId="0" applyFont="1" applyBorder="1" applyNumberFormat="1">
      <alignment vertical="top" wrapText="1"/>
    </xf>
    <xf numFmtId="49" fontId="0" fillId="37" borderId="16" xfId="0" applyFont="1" applyFill="1" applyBorder="1" applyNumberFormat="1">
      <alignment horizontal="center" vertical="center" wrapText="1"/>
    </xf>
    <xf numFmtId="0" fontId="23" fillId="0" borderId="38" xfId="0" applyFont="1" applyBorder="1" applyNumberFormat="1">
      <alignment horizontal="left" vertical="top" wrapText="1"/>
    </xf>
    <xf numFmtId="49" fontId="23" fillId="0" borderId="0" xfId="0" applyFont="1" applyNumberFormat="1">
      <alignment vertical="top"/>
    </xf>
    <xf numFmtId="49" fontId="23" fillId="0" borderId="21" xfId="0" applyFont="1" applyBorder="1" applyNumberFormat="1">
      <alignment vertical="top"/>
    </xf>
    <xf numFmtId="0" fontId="22" fillId="0" borderId="0" xfId="0" applyFont="1" applyNumberFormat="1">
      <alignment horizontal="right" vertical="top" wrapText="1"/>
    </xf>
    <xf numFmtId="49" fontId="23" fillId="0" borderId="0" xfId="0" applyFont="1" applyNumberFormat="1">
      <alignment vertical="top" wrapText="1"/>
    </xf>
    <xf numFmtId="0" fontId="23" fillId="0" borderId="0" xfId="0" applyFont="1" applyNumberFormat="1">
      <alignment vertical="top" wrapText="1"/>
    </xf>
    <xf numFmtId="0" fontId="23" fillId="0" borderId="0" xfId="0" applyFont="1" applyNumberFormat="1">
      <alignment vertical="center" wrapText="1"/>
    </xf>
    <xf numFmtId="0" fontId="55" fillId="0" borderId="0" xfId="0" applyFont="1" applyNumberFormat="1">
      <alignment vertical="center"/>
    </xf>
    <xf numFmtId="49" fontId="23" fillId="0" borderId="0" xfId="0" applyFont="1" applyNumberFormat="1">
      <alignment vertical="top"/>
    </xf>
    <xf numFmtId="49" fontId="0" fillId="42" borderId="14" xfId="0" applyFont="1" applyFill="1" applyBorder="1" applyNumberFormat="1">
      <alignment horizontal="left" vertical="center" wrapText="1" indent="1"/>
      <protection locked="0"/>
    </xf>
    <xf numFmtId="0" fontId="23" fillId="0" borderId="0" xfId="0" applyFont="1" applyNumberFormat="1">
      <alignment vertical="center" wrapText="1"/>
    </xf>
    <xf numFmtId="0" fontId="69" fillId="0" borderId="0" xfId="0" applyFont="1" applyNumberFormat="1">
      <alignment vertical="center" wrapText="1"/>
    </xf>
    <xf numFmtId="0" fontId="23" fillId="37" borderId="14" xfId="0" applyFont="1" applyFill="1" applyBorder="1" applyNumberFormat="1">
      <alignment horizontal="center" vertical="center" wrapText="1"/>
    </xf>
    <xf numFmtId="0" fontId="0" fillId="0" borderId="14" xfId="0" applyFont="1" applyBorder="1" applyNumberFormat="1">
      <alignment horizontal="left" vertical="top" wrapText="1"/>
    </xf>
    <xf numFmtId="0" fontId="45" fillId="37" borderId="0" xfId="0" applyFont="1" applyFill="1" applyNumberFormat="1">
      <alignment horizontal="center" vertical="center" wrapText="1"/>
    </xf>
    <xf numFmtId="0" fontId="0" fillId="0" borderId="14" xfId="0" applyFont="1" applyBorder="1" applyNumberFormat="1">
      <alignment horizontal="left" vertical="center" wrapText="1"/>
    </xf>
    <xf numFmtId="0" fontId="23" fillId="0" borderId="21" xfId="0" applyFont="1" applyBorder="1" applyNumberFormat="1">
      <alignment vertical="center" wrapText="1"/>
    </xf>
    <xf numFmtId="49" fontId="48" fillId="0" borderId="21" xfId="0" applyFont="1" applyBorder="1" applyNumberFormat="1">
      <alignment horizontal="left" vertical="center"/>
    </xf>
    <xf numFmtId="49" fontId="48" fillId="0" borderId="21" xfId="0" applyFont="1" applyBorder="1" applyNumberFormat="1">
      <alignment horizontal="left" vertical="center" indent="2"/>
    </xf>
    <xf numFmtId="49" fontId="52" fillId="0" borderId="21" xfId="0" applyFont="1" applyBorder="1" applyNumberFormat="1">
      <alignment horizontal="center" vertical="top"/>
    </xf>
    <xf numFmtId="0" fontId="23" fillId="0" borderId="21" xfId="0" applyFont="1" applyBorder="1" applyNumberFormat="1">
      <alignment horizontal="left" vertical="top" wrapText="1"/>
    </xf>
    <xf numFmtId="49" fontId="23" fillId="0" borderId="0" xfId="0" applyFont="1" applyNumberFormat="1">
      <alignment vertical="center" wrapText="1"/>
    </xf>
    <xf numFmtId="0" fontId="88" fillId="0" borderId="0" xfId="0" applyFont="1" applyNumberFormat="1">
      <alignment vertical="center" wrapText="1"/>
    </xf>
    <xf numFmtId="0" fontId="23" fillId="0" borderId="14" xfId="0" applyFont="1" applyBorder="1" applyNumberFormat="1">
      <alignment horizontal="center" vertical="center" wrapText="1"/>
    </xf>
    <xf numFmtId="0" fontId="23" fillId="0" borderId="14" xfId="0" applyFont="1" applyBorder="1" applyNumberFormat="1">
      <alignment horizontal="left" vertical="center" wrapText="1"/>
    </xf>
    <xf numFmtId="3" fontId="23" fillId="0" borderId="16" xfId="0" applyFont="1" applyBorder="1" applyNumberFormat="1">
      <alignment vertical="center" wrapText="1"/>
    </xf>
    <xf numFmtId="0" fontId="23" fillId="0" borderId="14" xfId="0" applyFont="1" applyBorder="1" applyNumberFormat="1">
      <alignment horizontal="center" vertical="center" wrapText="1"/>
    </xf>
    <xf numFmtId="0" fontId="23" fillId="0" borderId="19" xfId="0" applyFont="1" applyBorder="1" applyNumberFormat="1">
      <alignment horizontal="center" vertical="center" wrapText="1"/>
    </xf>
    <xf numFmtId="0" fontId="23" fillId="0" borderId="19" xfId="0" applyFont="1" applyBorder="1" applyNumberFormat="1">
      <alignment horizontal="center" vertical="center" wrapText="1"/>
    </xf>
    <xf numFmtId="0" fontId="23" fillId="0" borderId="14" xfId="0" applyFont="1" applyBorder="1" applyNumberFormat="1">
      <alignment horizontal="left" vertical="center" wrapText="1" indent="1"/>
    </xf>
    <xf numFmtId="49" fontId="23" fillId="0" borderId="14" xfId="0" applyFont="1" applyBorder="1" applyNumberFormat="1">
      <alignment horizontal="center" vertical="center" wrapText="1"/>
    </xf>
    <xf numFmtId="4" fontId="23" fillId="0" borderId="16" xfId="0" applyFont="1" applyBorder="1" applyNumberFormat="1">
      <alignment horizontal="right" vertical="center" wrapText="1"/>
    </xf>
    <xf numFmtId="4" fontId="23" fillId="0" borderId="32" xfId="0" applyFont="1" applyBorder="1" applyNumberFormat="1">
      <alignment horizontal="right" vertical="center" wrapText="1"/>
    </xf>
    <xf numFmtId="0" fontId="34" fillId="0" borderId="0" xfId="0" applyFont="1" applyNumberFormat="1">
      <alignment vertical="center" wrapText="1"/>
    </xf>
    <xf numFmtId="49" fontId="23" fillId="0" borderId="0" xfId="0" applyFont="1" applyNumberFormat="1">
      <alignment horizontal="center" vertical="top"/>
    </xf>
    <xf numFmtId="49" fontId="40" fillId="49" borderId="0" xfId="0" applyFont="1" applyFill="1" applyNumberFormat="1">
      <alignment horizontal="center" vertical="center"/>
    </xf>
    <xf numFmtId="49" fontId="23" fillId="0" borderId="14" xfId="0" applyFont="1" applyBorder="1" applyNumberFormat="1">
      <alignment horizontal="center" vertical="top"/>
    </xf>
    <xf numFmtId="49" fontId="54" fillId="49" borderId="0" xfId="0" applyFont="1" applyFill="1" applyNumberFormat="1">
      <alignment horizontal="center" vertical="center" wrapText="1"/>
    </xf>
    <xf numFmtId="0" fontId="0" fillId="51" borderId="14" xfId="0" applyFont="1" applyFill="1" applyBorder="1" applyNumberFormat="1">
      <alignment horizontal="center" vertical="center"/>
    </xf>
    <xf numFmtId="49" fontId="0" fillId="0" borderId="0" xfId="0" applyFont="1" applyNumberFormat="1">
      <alignment vertical="center"/>
    </xf>
    <xf numFmtId="49" fontId="54" fillId="49" borderId="14" xfId="0" applyFont="1" applyFill="1" applyBorder="1" applyNumberFormat="1">
      <alignment horizontal="center" vertical="center"/>
    </xf>
    <xf numFmtId="49" fontId="54" fillId="52" borderId="14" xfId="0" applyFont="1" applyFill="1" applyBorder="1" applyNumberFormat="1">
      <alignment horizontal="center" vertical="center"/>
    </xf>
    <xf numFmtId="49" fontId="0" fillId="53" borderId="14" xfId="0" applyFont="1" applyFill="1" applyBorder="1" applyNumberFormat="1">
      <alignment horizontal="center" vertical="center"/>
    </xf>
    <xf numFmtId="49" fontId="23" fillId="0" borderId="0" xfId="0" applyFont="1" applyNumberFormat="1">
      <alignment horizontal="center" vertical="top"/>
    </xf>
    <xf numFmtId="49" fontId="23" fillId="0" borderId="0" xfId="0" applyFont="1" applyNumberFormat="1">
      <alignment vertical="top"/>
    </xf>
    <xf numFmtId="0" fontId="23" fillId="0" borderId="14" xfId="0" applyFont="1" applyBorder="1" applyNumberFormat="1">
      <alignment vertical="center"/>
    </xf>
    <xf numFmtId="0" fontId="0" fillId="0" borderId="14" xfId="0" applyFont="1" applyBorder="1" applyNumberFormat="1">
      <alignment vertical="center"/>
    </xf>
    <xf numFmtId="0" fontId="0" fillId="0" borderId="14" xfId="0" applyFont="1" applyBorder="1" applyNumberFormat="1">
      <alignment vertical="center"/>
    </xf>
    <xf numFmtId="0" fontId="0" fillId="0" borderId="16" xfId="0" applyFont="1" applyBorder="1" applyNumberFormat="1">
      <alignment vertical="center"/>
    </xf>
    <xf numFmtId="0" fontId="0" fillId="0" borderId="16" xfId="0" applyFont="1" applyBorder="1" applyNumberFormat="1">
      <alignment vertical="center"/>
    </xf>
    <xf numFmtId="0" fontId="23" fillId="0" borderId="16" xfId="0" applyFont="1" applyBorder="1" applyNumberFormat="1">
      <alignment horizontal="left" vertical="center"/>
    </xf>
    <xf numFmtId="49" fontId="23" fillId="0" borderId="46" xfId="0" applyFont="1" applyBorder="1" applyNumberFormat="1">
      <alignment vertical="center"/>
    </xf>
    <xf numFmtId="49" fontId="23" fillId="0" borderId="47" xfId="0" applyFont="1" applyBorder="1" applyNumberFormat="1">
      <alignment vertical="top"/>
    </xf>
    <xf numFmtId="49" fontId="23" fillId="0" borderId="18" xfId="0" applyFont="1" applyBorder="1" applyNumberFormat="1">
      <alignment vertical="top"/>
    </xf>
    <xf numFmtId="0" fontId="0" fillId="0" borderId="15" xfId="0" applyFont="1" applyBorder="1" applyNumberFormat="1">
      <alignment vertical="center"/>
    </xf>
    <xf numFmtId="0" fontId="0" fillId="0" borderId="14" xfId="0" applyFont="1" applyBorder="1" applyNumberFormat="1">
      <alignment horizontal="right" vertical="top"/>
    </xf>
    <xf numFmtId="0" fontId="0" fillId="0" borderId="14" xfId="0" applyFont="1" applyBorder="1" applyNumberFormat="1">
      <alignment vertical="top"/>
    </xf>
    <xf numFmtId="0" fontId="23" fillId="0" borderId="15" xfId="0" applyFont="1" applyBorder="1" applyNumberFormat="1">
      <alignment vertical="center"/>
    </xf>
    <xf numFmtId="49" fontId="23" fillId="0" borderId="14" xfId="0" applyFont="1" applyBorder="1" applyNumberFormat="1">
      <alignment vertical="center"/>
    </xf>
    <xf numFmtId="0" fontId="0" fillId="0" borderId="0" xfId="0" applyFont="1" applyNumberFormat="1">
      <alignment vertical="top"/>
    </xf>
    <xf numFmtId="0" fontId="23" fillId="0" borderId="14" xfId="0" applyFont="1" applyBorder="1" applyNumberFormat="1">
      <alignment vertical="top"/>
    </xf>
    <xf numFmtId="0" fontId="0" fillId="50" borderId="0" xfId="0" applyFont="1" applyFill="1" applyNumberFormat="1">
      <alignment horizontal="right" vertical="center"/>
    </xf>
    <xf numFmtId="49" fontId="40" fillId="0" borderId="0" xfId="0" applyFont="1" applyNumberFormat="1">
      <alignment horizontal="center" vertical="center"/>
    </xf>
    <xf numFmtId="49" fontId="0" fillId="0" borderId="0" xfId="0" applyFont="1" applyNumberFormat="1">
      <alignment vertical="top"/>
    </xf>
    <xf numFmtId="49" fontId="40" fillId="49" borderId="0" xfId="0" applyFont="1" applyFill="1" applyNumberFormat="1">
      <alignment horizontal="center" vertical="center"/>
    </xf>
    <xf numFmtId="0" fontId="23" fillId="0" borderId="0" xfId="0" applyFont="1" applyNumberFormat="1">
      <alignment vertical="center"/>
    </xf>
    <xf numFmtId="0" fontId="0" fillId="50" borderId="0" xfId="0" applyFont="1" applyFill="1" applyNumberFormat="1">
      <alignment horizontal="left" vertical="center"/>
    </xf>
    <xf numFmtId="0" fontId="0" fillId="0" borderId="0" xfId="0" applyFont="1" applyNumberFormat="1">
      <alignment horizontal="right" vertical="top"/>
    </xf>
    <xf numFmtId="0" fontId="0" fillId="0" borderId="0" xfId="0" applyFont="1" applyNumberFormat="1">
      <alignment vertical="top"/>
    </xf>
    <xf numFmtId="0" fontId="0" fillId="0" borderId="0" xfId="0" applyFont="1" applyNumberFormat="1">
      <alignment vertical="top"/>
    </xf>
    <xf numFmtId="0" fontId="0" fillId="0" borderId="0" xfId="0" applyFont="1" applyNumberFormat="1">
      <alignment horizontal="right" vertical="top"/>
    </xf>
    <xf numFmtId="0" fontId="0" fillId="0" borderId="0" xfId="0" applyFont="1" applyNumberFormat="1">
      <alignment vertical="top"/>
    </xf>
    <xf numFmtId="49" fontId="23" fillId="0" borderId="16" xfId="0" applyFont="1" applyBorder="1" applyNumberFormat="1">
      <alignment vertical="top"/>
    </xf>
    <xf numFmtId="0" fontId="0" fillId="50" borderId="0" xfId="0" applyFont="1" applyFill="1" applyNumberFormat="1">
      <alignment horizontal="right" vertical="center"/>
    </xf>
    <xf numFmtId="0" fontId="0" fillId="0" borderId="0" xfId="0" applyFont="1" applyNumberFormat="1">
      <alignment horizontal="left" vertical="center"/>
    </xf>
    <xf numFmtId="0" fontId="0" fillId="50" borderId="0" xfId="0" applyFont="1" applyFill="1" applyNumberFormat="1">
      <alignment horizontal="right" vertical="center"/>
    </xf>
    <xf numFmtId="0" fontId="0" fillId="50" borderId="0" xfId="0" applyFont="1" applyFill="1" applyNumberFormat="1">
      <alignment horizontal="left" vertical="center"/>
    </xf>
    <xf numFmtId="0" fontId="59" fillId="50" borderId="0" xfId="0" applyFont="1" applyFill="1" applyNumberFormat="1">
      <alignment horizontal="left" vertical="center"/>
    </xf>
    <xf numFmtId="0" fontId="0" fillId="0" borderId="0" xfId="0" applyFont="1" applyNumberFormat="1">
      <alignment vertical="center"/>
    </xf>
    <xf numFmtId="0" fontId="23" fillId="0" borderId="0" xfId="0" applyFont="1" applyNumberFormat="1">
      <alignment vertical="top"/>
    </xf>
    <xf numFmtId="0" fontId="59" fillId="0" borderId="0" xfId="0" applyFont="1" applyNumberFormat="1">
      <alignment horizontal="left" vertical="center"/>
    </xf>
    <xf numFmtId="49" fontId="0" fillId="0" borderId="16" xfId="0" applyFont="1" applyBorder="1" applyNumberFormat="1">
      <alignment vertical="top"/>
    </xf>
    <xf numFmtId="49" fontId="23" fillId="0" borderId="14" xfId="0" applyFont="1" applyBorder="1" applyNumberFormat="1">
      <alignment horizontal="right" vertical="top"/>
    </xf>
    <xf numFmtId="0" fontId="0" fillId="0" borderId="16" xfId="0" applyFont="1" applyBorder="1" applyNumberFormat="1">
      <alignment horizontal="left" vertical="center"/>
    </xf>
    <xf numFmtId="0" fontId="59" fillId="50" borderId="0" xfId="0" applyFont="1" applyFill="1" applyNumberFormat="1">
      <alignment horizontal="left" vertical="center"/>
    </xf>
    <xf numFmtId="49" fontId="23" fillId="0" borderId="19" xfId="0" applyFont="1" applyBorder="1" applyNumberFormat="1">
      <alignment horizontal="right" vertical="top"/>
    </xf>
    <xf numFmtId="0" fontId="0" fillId="0" borderId="19" xfId="0" applyFont="1" applyBorder="1" applyNumberFormat="1">
      <alignment vertical="top"/>
    </xf>
    <xf numFmtId="0" fontId="23" fillId="0" borderId="19" xfId="0" applyFont="1" applyBorder="1" applyNumberFormat="1">
      <alignment vertical="center"/>
    </xf>
    <xf numFmtId="49" fontId="23" fillId="0" borderId="33" xfId="0" applyFont="1" applyBorder="1" applyNumberFormat="1">
      <alignment horizontal="center" vertical="center"/>
    </xf>
    <xf numFmtId="49" fontId="23" fillId="0" borderId="14" xfId="0" applyFont="1" applyBorder="1" applyNumberFormat="1">
      <alignment horizontal="right" vertical="center"/>
    </xf>
    <xf numFmtId="49" fontId="23" fillId="0" borderId="14" xfId="0" applyFont="1" applyBorder="1" applyNumberFormat="1">
      <alignment vertical="top"/>
    </xf>
    <xf numFmtId="49" fontId="0" fillId="0" borderId="0" xfId="0" applyFont="1" applyNumberFormat="1">
      <alignment vertical="center"/>
    </xf>
    <xf numFmtId="0" fontId="23" fillId="50" borderId="0" xfId="0" applyFont="1" applyFill="1" applyNumberFormat="1">
      <alignment horizontal="left" vertical="center"/>
    </xf>
    <xf numFmtId="0" fontId="0" fillId="50" borderId="12" xfId="0" applyFont="1" applyFill="1" applyBorder="1" applyNumberFormat="1">
      <alignment horizontal="center"/>
    </xf>
    <xf numFmtId="49" fontId="109" fillId="0" borderId="18" xfId="0" applyFont="1" applyBorder="1" applyNumberFormat="1">
      <alignment vertical="top"/>
    </xf>
    <xf numFmtId="49" fontId="0" fillId="0" borderId="0" xfId="0" applyFont="1" applyNumberFormat="1">
      <alignment vertical="center"/>
    </xf>
    <xf numFmtId="49" fontId="53" fillId="56" borderId="0" xfId="0" applyFont="1" applyFill="1" applyNumberFormat="1">
      <alignment vertical="center" wrapText="1"/>
    </xf>
    <xf numFmtId="0" fontId="0" fillId="0" borderId="12" xfId="0" applyFont="1" applyBorder="1" applyNumberFormat="1">
      <alignment horizontal="center"/>
    </xf>
    <xf numFmtId="49" fontId="23" fillId="50" borderId="0" xfId="0" applyFont="1" applyFill="1" applyNumberFormat="1">
      <alignment horizontal="center" vertical="center"/>
    </xf>
    <xf numFmtId="49" fontId="23" fillId="0" borderId="0" xfId="0" applyFont="1" applyNumberFormat="1">
      <alignment vertical="top"/>
    </xf>
    <xf numFmtId="49" fontId="0" fillId="39" borderId="33" xfId="0" applyFont="1" applyFill="1" applyBorder="1" applyNumberFormat="1">
      <alignment horizontal="left" vertical="center"/>
      <protection locked="0"/>
    </xf>
    <xf numFmtId="49" fontId="0" fillId="0" borderId="14" xfId="0" applyFont="1" applyBorder="1" applyNumberFormat="1">
      <alignment horizontal="center" vertical="center"/>
    </xf>
    <xf numFmtId="49" fontId="0" fillId="0" borderId="33" xfId="0" applyFont="1" applyBorder="1" applyNumberFormat="1">
      <alignment horizontal="right" vertical="center"/>
    </xf>
    <xf numFmtId="0" fontId="0" fillId="38" borderId="33" xfId="0" applyFont="1" applyFill="1" applyBorder="1" applyNumberFormat="1">
      <alignment horizontal="center" vertical="center"/>
    </xf>
    <xf numFmtId="49" fontId="0" fillId="0" borderId="33" xfId="0" applyFont="1" applyBorder="1" applyNumberFormat="1">
      <alignment horizontal="center" vertical="center"/>
    </xf>
    <xf numFmtId="49" fontId="0" fillId="0" borderId="0" xfId="0" applyFont="1" applyNumberFormat="1">
      <alignment horizontal="left" vertical="center"/>
    </xf>
    <xf numFmtId="0" fontId="0" fillId="0" borderId="0" xfId="0" applyFont="1" applyNumberFormat="1">
      <alignment horizontal="center" vertical="center"/>
    </xf>
    <xf numFmtId="0" fontId="107" fillId="0" borderId="48" xfId="0" applyFont="1" applyBorder="1" applyNumberFormat="1">
      <alignment horizontal="center" vertical="center"/>
    </xf>
    <xf numFmtId="0" fontId="0" fillId="0" borderId="48" xfId="0" applyFont="1" applyBorder="1" applyNumberFormat="1">
      <alignment horizontal="center" vertical="center"/>
    </xf>
    <xf numFmtId="49" fontId="40" fillId="49" borderId="14" xfId="0" applyFont="1" applyFill="1" applyBorder="1" applyNumberFormat="1">
      <alignment horizontal="right" vertical="center"/>
    </xf>
    <xf numFmtId="49" fontId="23" fillId="39" borderId="39" xfId="0" applyFont="1" applyFill="1" applyBorder="1" applyNumberFormat="1">
      <alignment vertical="top"/>
      <protection locked="0"/>
    </xf>
    <xf numFmtId="0" fontId="23" fillId="0" borderId="14" xfId="0" applyFont="1" applyBorder="1" applyNumberFormat="1">
      <alignment vertical="top"/>
    </xf>
    <xf numFmtId="0" fontId="0" fillId="34" borderId="14" xfId="0" applyFont="1" applyFill="1" applyBorder="1" applyNumberFormat="1">
      <alignment horizontal="right" vertical="center"/>
    </xf>
    <xf numFmtId="49" fontId="23" fillId="34" borderId="25" xfId="0" applyFont="1" applyFill="1" applyBorder="1" applyNumberFormat="1">
      <alignment vertical="top"/>
    </xf>
    <xf numFmtId="49" fontId="23" fillId="34" borderId="14" xfId="0" applyFont="1" applyFill="1" applyBorder="1" applyNumberFormat="1">
      <alignment vertical="top"/>
    </xf>
    <xf numFmtId="49" fontId="23" fillId="0" borderId="16" xfId="0" applyFont="1" applyBorder="1" applyNumberFormat="1">
      <alignment horizontal="center" vertical="top"/>
    </xf>
    <xf numFmtId="49" fontId="23" fillId="0" borderId="15" xfId="0" applyFont="1" applyBorder="1" applyNumberFormat="1">
      <alignment horizontal="center" vertical="top"/>
    </xf>
    <xf numFmtId="0" fontId="23" fillId="38" borderId="32" xfId="0" applyFont="1" applyFill="1" applyBorder="1" applyNumberFormat="1">
      <alignment horizontal="center" vertical="top"/>
    </xf>
    <xf numFmtId="0" fontId="23" fillId="38" borderId="32" xfId="0" applyFont="1" applyFill="1" applyBorder="1" applyNumberFormat="1">
      <alignment horizontal="left" vertical="top"/>
    </xf>
    <xf numFmtId="0" fontId="0" fillId="0" borderId="34" xfId="0" applyFont="1" applyBorder="1" applyNumberFormat="1">
      <alignment horizontal="center" vertical="center"/>
    </xf>
    <xf numFmtId="0" fontId="0" fillId="0" borderId="36" xfId="0" applyFont="1" applyBorder="1" applyNumberFormat="1">
      <alignment horizontal="center" vertical="center"/>
    </xf>
    <xf numFmtId="0" fontId="23" fillId="0" borderId="14" xfId="0" applyFont="1" applyBorder="1" applyNumberFormat="1">
      <alignment horizontal="left" vertical="top"/>
    </xf>
    <xf numFmtId="49" fontId="23" fillId="0" borderId="0" xfId="0" applyFont="1" applyNumberFormat="1">
      <alignment horizontal="left" vertical="top"/>
    </xf>
    <xf numFmtId="0" fontId="0" fillId="0" borderId="33" xfId="0" applyFont="1" applyBorder="1" applyNumberFormat="1">
      <alignment horizontal="center" vertical="center"/>
    </xf>
    <xf numFmtId="0" fontId="0" fillId="0" borderId="35" xfId="0" applyFont="1" applyBorder="1" applyNumberFormat="1">
      <alignment horizontal="center" vertical="center"/>
    </xf>
    <xf numFmtId="49" fontId="40" fillId="49" borderId="16" xfId="0" applyFont="1" applyFill="1" applyBorder="1" applyNumberFormat="1">
      <alignment horizontal="right" vertical="center"/>
    </xf>
    <xf numFmtId="49" fontId="23" fillId="0" borderId="14" xfId="0" applyFont="1" applyBorder="1" applyNumberFormat="1">
      <alignment vertical="top"/>
    </xf>
    <xf numFmtId="49" fontId="0" fillId="0" borderId="0" xfId="0" applyFont="1" applyNumberFormat="1">
      <alignment vertical="center"/>
    </xf>
    <xf numFmtId="49" fontId="0" fillId="0" borderId="0" xfId="0" applyFont="1" applyNumberFormat="1">
      <alignment vertical="top"/>
    </xf>
    <xf numFmtId="0" fontId="0" fillId="50" borderId="0" xfId="0" applyFont="1" applyFill="1" applyNumberFormat="1">
      <alignment horizontal="right" vertical="top" wrapText="1"/>
    </xf>
    <xf numFmtId="0" fontId="23" fillId="0" borderId="0" xfId="0" applyFont="1" applyNumberFormat="1">
      <alignment horizontal="left" vertical="top" wrapText="1"/>
    </xf>
    <xf numFmtId="49" fontId="23" fillId="0" borderId="0" xfId="0" applyFont="1" applyNumberFormat="1">
      <alignment vertical="center"/>
    </xf>
    <xf numFmtId="49" fontId="0" fillId="0" borderId="0" xfId="0" applyFont="1" applyNumberFormat="1">
      <alignment vertical="top"/>
    </xf>
    <xf numFmtId="49" fontId="23" fillId="0" borderId="0" xfId="0" applyFont="1" applyNumberFormat="1">
      <alignment vertical="top"/>
    </xf>
    <xf numFmtId="49" fontId="23" fillId="0" borderId="0" xfId="0" applyFont="1" applyNumberFormat="1">
      <alignment vertical="top"/>
    </xf>
    <xf numFmtId="49" fontId="0" fillId="0" borderId="0" xfId="0" applyFont="1" applyNumberFormat="1">
      <alignment vertical="center" wrapText="1"/>
    </xf>
    <xf numFmtId="49" fontId="0" fillId="0" borderId="0" xfId="0" applyFont="1" applyNumberFormat="1">
      <alignment vertical="center"/>
    </xf>
    <xf numFmtId="49" fontId="23" fillId="0" borderId="0" xfId="0" applyFont="1" applyNumberFormat="1">
      <alignment vertical="top"/>
    </xf>
    <xf numFmtId="49" fontId="23" fillId="37" borderId="14" xfId="0" applyFont="1" applyFill="1" applyBorder="1" applyNumberFormat="1">
      <alignment horizontal="center" vertical="center"/>
    </xf>
    <xf numFmtId="49" fontId="23" fillId="42" borderId="14" xfId="0" applyFont="1" applyFill="1" applyBorder="1" applyNumberFormat="1">
      <alignment horizontal="left" vertical="center" wrapText="1"/>
      <protection locked="0"/>
    </xf>
    <xf numFmtId="0" fontId="23" fillId="42" borderId="14" xfId="0" applyFont="1" applyFill="1" applyBorder="1" applyNumberFormat="1">
      <alignment horizontal="center" vertical="center" wrapText="1"/>
      <protection locked="0"/>
    </xf>
    <xf numFmtId="0" fontId="54" fillId="37" borderId="0" xfId="0" applyFont="1" applyFill="1" applyNumberFormat="1"/>
    <xf numFmtId="49" fontId="23" fillId="37" borderId="14" xfId="0" applyFont="1" applyFill="1" applyBorder="1" applyNumberFormat="1">
      <alignment horizontal="center" vertical="center" wrapText="1"/>
    </xf>
    <xf numFmtId="0" fontId="0" fillId="37" borderId="14" xfId="0" applyFont="1" applyFill="1" applyBorder="1" applyNumberFormat="1">
      <alignment horizontal="center" vertical="center" wrapText="1"/>
    </xf>
    <xf numFmtId="0" fontId="23" fillId="38" borderId="14" xfId="0" applyFont="1" applyFill="1" applyBorder="1" applyNumberFormat="1">
      <alignment horizontal="left" vertical="center" wrapText="1"/>
    </xf>
    <xf numFmtId="0" fontId="73" fillId="37" borderId="0" xfId="0" applyFont="1" applyFill="1" applyNumberFormat="1"/>
    <xf numFmtId="0" fontId="23" fillId="37" borderId="14" xfId="0" applyFont="1" applyFill="1" applyBorder="1" applyNumberFormat="1">
      <alignment horizontal="left" vertical="center" wrapText="1"/>
    </xf>
    <xf numFmtId="0" fontId="23" fillId="0" borderId="14" xfId="0" applyFont="1" applyBorder="1" applyNumberFormat="1">
      <alignment horizontal="center" vertical="center" wrapText="1"/>
    </xf>
    <xf numFmtId="49" fontId="23" fillId="0" borderId="14" xfId="0" applyFont="1" applyBorder="1" applyNumberFormat="1">
      <alignment horizontal="center" vertical="center"/>
    </xf>
    <xf numFmtId="49" fontId="23" fillId="39" borderId="14" xfId="0" applyFont="1" applyFill="1" applyBorder="1" applyNumberFormat="1">
      <alignment horizontal="left" vertical="center" wrapText="1"/>
      <protection locked="0"/>
    </xf>
    <xf numFmtId="0" fontId="55" fillId="37" borderId="0" xfId="0" applyFont="1" applyFill="1" applyNumberFormat="1">
      <alignment horizontal="center" vertical="center" wrapText="1"/>
    </xf>
    <xf numFmtId="0" fontId="23" fillId="37" borderId="26" xfId="0" applyFont="1" applyFill="1" applyBorder="1" applyNumberFormat="1">
      <alignment horizontal="center" vertical="center" wrapText="1"/>
    </xf>
    <xf numFmtId="0" fontId="0" fillId="37" borderId="19" xfId="0" applyFont="1" applyFill="1" applyBorder="1" applyNumberFormat="1">
      <alignment horizontal="left" vertical="top" wrapText="1"/>
    </xf>
    <xf numFmtId="0" fontId="72" fillId="37" borderId="0" xfId="0" applyFont="1" applyFill="1" applyNumberFormat="1"/>
    <xf numFmtId="0" fontId="77" fillId="37" borderId="0" xfId="0" applyFont="1" applyFill="1" applyNumberFormat="1">
      <alignment vertical="center" wrapText="1"/>
    </xf>
    <xf numFmtId="0" fontId="55" fillId="37" borderId="14" xfId="0" applyFont="1" applyFill="1" applyBorder="1" applyNumberFormat="1">
      <alignment horizontal="center" vertical="center"/>
    </xf>
    <xf numFmtId="0" fontId="0" fillId="37" borderId="38" xfId="0" applyFont="1" applyFill="1" applyBorder="1" applyNumberFormat="1">
      <alignment horizontal="left" vertical="top" wrapText="1"/>
    </xf>
    <xf numFmtId="0" fontId="0" fillId="37" borderId="25" xfId="0" applyFont="1" applyFill="1" applyBorder="1" applyNumberFormat="1">
      <alignment horizontal="left" vertical="top" wrapText="1"/>
    </xf>
    <xf numFmtId="0" fontId="89" fillId="37" borderId="0" xfId="0" applyFont="1" applyFill="1" applyNumberFormat="1"/>
    <xf numFmtId="0" fontId="23" fillId="37" borderId="14" xfId="0" applyFont="1" applyFill="1" applyBorder="1" applyNumberFormat="1">
      <alignment horizontal="left" vertical="top" wrapText="1"/>
    </xf>
    <xf numFmtId="49" fontId="34" fillId="39" borderId="25" xfId="0" applyFont="1" applyFill="1" applyBorder="1" applyNumberFormat="1">
      <alignment horizontal="left" vertical="center" wrapText="1"/>
      <protection locked="0"/>
    </xf>
    <xf numFmtId="0" fontId="23" fillId="37" borderId="14" xfId="0" applyFont="1" applyFill="1" applyBorder="1" applyNumberFormat="1">
      <alignment vertical="top" wrapText="1"/>
    </xf>
    <xf numFmtId="0" fontId="44" fillId="0" borderId="0" xfId="0" applyFont="1" applyNumberFormat="1">
      <alignment horizontal="center" vertical="center" wrapText="1"/>
    </xf>
    <xf numFmtId="0" fontId="23" fillId="0" borderId="14" xfId="0" applyFont="1" applyBorder="1" applyNumberFormat="1">
      <alignment horizontal="center" vertical="center" wrapText="1"/>
    </xf>
    <xf numFmtId="49" fontId="23" fillId="43" borderId="14" xfId="0" applyFont="1" applyFill="1" applyBorder="1" applyNumberFormat="1">
      <alignment horizontal="left" vertical="center" wrapText="1"/>
    </xf>
    <xf numFmtId="14" fontId="23" fillId="42" borderId="14" xfId="0" applyFont="1" applyFill="1" applyBorder="1" applyNumberFormat="1">
      <alignment horizontal="left" vertical="center" wrapText="1" indent="1"/>
      <protection locked="0"/>
    </xf>
    <xf numFmtId="0" fontId="117" fillId="0" borderId="0" xfId="0" applyFont="1" applyNumberFormat="1">
      <alignment vertical="center"/>
    </xf>
    <xf numFmtId="0" fontId="45" fillId="0" borderId="0" xfId="0" applyFont="1" applyNumberFormat="1">
      <alignment horizontal="center" vertical="center" wrapText="1"/>
    </xf>
    <xf numFmtId="4" fontId="23" fillId="0" borderId="19" xfId="0" applyFont="1" applyBorder="1" applyNumberFormat="1">
      <alignment horizontal="center" vertical="center" wrapText="1"/>
    </xf>
    <xf numFmtId="165" fontId="23" fillId="0" borderId="39" xfId="0" applyFont="1" applyBorder="1" applyNumberFormat="1">
      <alignment horizontal="center" vertical="center" wrapText="1"/>
    </xf>
    <xf numFmtId="165" fontId="23" fillId="0" borderId="19" xfId="0" applyFont="1" applyBorder="1" applyNumberFormat="1">
      <alignment horizontal="center" vertical="center" wrapText="1"/>
    </xf>
    <xf numFmtId="4" fontId="23" fillId="0" borderId="25" xfId="0" applyFont="1" applyBorder="1" applyNumberFormat="1">
      <alignment horizontal="center" vertical="center" wrapText="1"/>
    </xf>
    <xf numFmtId="14" fontId="23" fillId="43" borderId="14" xfId="0" applyFont="1" applyFill="1" applyBorder="1" applyNumberFormat="1">
      <alignment horizontal="left" vertical="center" wrapText="1"/>
    </xf>
    <xf numFmtId="49" fontId="36" fillId="40" borderId="32" xfId="0" applyFont="1" applyFill="1" applyBorder="1" applyNumberFormat="1">
      <alignment horizontal="right" vertical="center" wrapText="1"/>
    </xf>
    <xf numFmtId="49" fontId="0" fillId="40" borderId="29" xfId="0" applyFont="1" applyFill="1" applyBorder="1" applyNumberFormat="1">
      <alignment horizontal="right" vertical="center" wrapText="1"/>
    </xf>
    <xf numFmtId="49" fontId="0" fillId="40" borderId="31" xfId="0" applyFont="1" applyFill="1" applyBorder="1" applyNumberFormat="1">
      <alignment horizontal="right" vertical="center" wrapText="1"/>
    </xf>
    <xf numFmtId="0" fontId="117" fillId="0" borderId="0" xfId="0" applyFont="1" applyNumberFormat="1">
      <alignment vertical="center" wrapText="1"/>
    </xf>
    <xf numFmtId="49" fontId="0" fillId="0" borderId="0" xfId="0" applyFont="1" applyNumberFormat="1">
      <alignment vertical="top"/>
    </xf>
    <xf numFmtId="0" fontId="55" fillId="0" borderId="0" xfId="0" applyFont="1" applyNumberFormat="1">
      <alignment vertical="center"/>
    </xf>
    <xf numFmtId="0" fontId="44" fillId="0" borderId="0" xfId="0" applyFont="1" applyNumberFormat="1">
      <alignment horizontal="center" vertical="center" wrapText="1"/>
    </xf>
    <xf numFmtId="0" fontId="23" fillId="0" borderId="16" xfId="0" applyFont="1" applyBorder="1" applyNumberFormat="1">
      <alignment horizontal="center" vertical="center" wrapText="1"/>
    </xf>
    <xf numFmtId="0" fontId="23" fillId="38" borderId="14" xfId="0" applyFont="1" applyFill="1" applyBorder="1" applyNumberFormat="1">
      <alignment horizontal="left" vertical="center" wrapText="1" indent="1"/>
    </xf>
    <xf numFmtId="167" fontId="0" fillId="42" borderId="17" xfId="0" applyFont="1" applyFill="1" applyBorder="1" applyNumberFormat="1">
      <alignment horizontal="left" vertical="center" wrapText="1" indent="1"/>
      <protection locked="0"/>
    </xf>
    <xf numFmtId="168" fontId="23" fillId="42" borderId="14" xfId="0" applyFont="1" applyFill="1" applyBorder="1" applyNumberFormat="1">
      <alignment horizontal="left" vertical="center" wrapText="1" indent="1"/>
      <protection locked="0"/>
    </xf>
    <xf numFmtId="167" fontId="55" fillId="0" borderId="0" xfId="0" applyFont="1" applyNumberFormat="1">
      <alignment horizontal="center" vertical="center" wrapText="1"/>
    </xf>
    <xf numFmtId="165" fontId="23" fillId="0" borderId="19" xfId="0" applyFont="1" applyBorder="1" applyNumberFormat="1">
      <alignment horizontal="center" vertical="center" wrapText="1"/>
    </xf>
    <xf numFmtId="165" fontId="23" fillId="0" borderId="16" xfId="0" applyFont="1" applyBorder="1" applyNumberFormat="1">
      <alignment horizontal="center" vertical="center" wrapText="1"/>
    </xf>
    <xf numFmtId="165" fontId="23" fillId="0" borderId="17" xfId="0" applyFont="1" applyBorder="1" applyNumberFormat="1">
      <alignment horizontal="center" vertical="center" wrapText="1"/>
    </xf>
    <xf numFmtId="165" fontId="23" fillId="0" borderId="15" xfId="0" applyFont="1" applyBorder="1" applyNumberFormat="1">
      <alignment horizontal="center" vertical="center" wrapText="1"/>
    </xf>
    <xf numFmtId="4" fontId="23" fillId="0" borderId="38" xfId="0" applyFont="1" applyBorder="1" applyNumberFormat="1">
      <alignment horizontal="center" vertical="center" wrapText="1"/>
    </xf>
    <xf numFmtId="165" fontId="23" fillId="0" borderId="25" xfId="0" applyFont="1" applyBorder="1" applyNumberFormat="1">
      <alignment horizontal="center" vertical="center" wrapText="1"/>
    </xf>
    <xf numFmtId="165" fontId="23" fillId="0" borderId="25" xfId="0" applyFont="1" applyBorder="1" applyNumberFormat="1">
      <alignment horizontal="center" vertical="center" wrapText="1"/>
    </xf>
    <xf numFmtId="0" fontId="23" fillId="0" borderId="25" xfId="0" applyFont="1" applyBorder="1" applyNumberFormat="1">
      <alignment horizontal="center" vertical="center" wrapText="1"/>
    </xf>
    <xf numFmtId="0" fontId="23" fillId="38" borderId="25" xfId="0" applyFont="1" applyFill="1" applyBorder="1" applyNumberFormat="1">
      <alignment horizontal="left" vertical="center" wrapText="1" indent="1"/>
    </xf>
    <xf numFmtId="14" fontId="23" fillId="42" borderId="25" xfId="0" applyFont="1" applyFill="1" applyBorder="1" applyNumberFormat="1">
      <alignment horizontal="left" vertical="center" wrapText="1" indent="1"/>
      <protection locked="0"/>
    </xf>
    <xf numFmtId="0" fontId="23" fillId="0" borderId="31" xfId="0" applyFont="1" applyBorder="1" applyNumberFormat="1">
      <alignment horizontal="left" vertical="top" wrapText="1"/>
    </xf>
    <xf numFmtId="49" fontId="0" fillId="0" borderId="0" xfId="0" applyFont="1" applyNumberFormat="1">
      <alignment vertical="top"/>
    </xf>
    <xf numFmtId="0" fontId="44" fillId="0" borderId="0" xfId="0" applyFont="1" applyNumberFormat="1">
      <alignment horizontal="center" vertical="center" wrapText="1"/>
    </xf>
    <xf numFmtId="0" fontId="23" fillId="0" borderId="14" xfId="0" applyFont="1" applyBorder="1" applyNumberFormat="1">
      <alignment horizontal="center" vertical="center" wrapText="1"/>
    </xf>
    <xf numFmtId="0" fontId="23" fillId="38" borderId="14" xfId="0" applyFont="1" applyFill="1" applyBorder="1" applyNumberFormat="1">
      <alignment horizontal="left" vertical="center" wrapText="1" indent="1"/>
    </xf>
    <xf numFmtId="0" fontId="55" fillId="0" borderId="0" xfId="0" applyFont="1" applyNumberFormat="1">
      <alignment horizontal="center" vertical="center" wrapText="1"/>
    </xf>
    <xf numFmtId="0" fontId="23" fillId="0" borderId="0" xfId="0" applyFont="1" applyNumberFormat="1">
      <alignment horizontal="right" vertical="center" wrapText="1"/>
    </xf>
    <xf numFmtId="0" fontId="23" fillId="0" borderId="0" xfId="0" applyFont="1" applyNumberFormat="1">
      <alignment horizontal="left" vertical="center" wrapText="1" indent="1"/>
    </xf>
    <xf numFmtId="165" fontId="23" fillId="0" borderId="25" xfId="0" applyFont="1" applyBorder="1" applyNumberFormat="1">
      <alignment horizontal="center" vertical="center" wrapText="1"/>
    </xf>
    <xf numFmtId="0" fontId="23" fillId="0" borderId="25" xfId="0" applyFont="1" applyBorder="1" applyNumberFormat="1">
      <alignment horizontal="left" vertical="center" wrapText="1" indent="1"/>
    </xf>
    <xf numFmtId="14" fontId="23" fillId="0" borderId="25" xfId="0" applyFont="1" applyBorder="1" applyNumberFormat="1">
      <alignment horizontal="left" vertical="center" wrapText="1" indent="1"/>
    </xf>
    <xf numFmtId="0" fontId="45" fillId="0" borderId="0" xfId="0" applyFont="1" applyNumberFormat="1">
      <alignment horizontal="center" vertical="center" wrapText="1"/>
    </xf>
    <xf numFmtId="0" fontId="55" fillId="0" borderId="0" xfId="0" applyFont="1" applyNumberFormat="1">
      <alignment vertical="center"/>
    </xf>
    <xf numFmtId="0" fontId="23" fillId="38" borderId="14" xfId="0" applyFont="1" applyFill="1" applyBorder="1" applyNumberFormat="1">
      <alignment horizontal="left" vertical="center" wrapText="1"/>
    </xf>
    <xf numFmtId="14" fontId="23" fillId="43" borderId="14" xfId="0" applyFont="1" applyFill="1" applyBorder="1" applyNumberFormat="1">
      <alignment horizontal="left" vertical="center" wrapText="1"/>
    </xf>
    <xf numFmtId="49" fontId="23" fillId="43" borderId="16" xfId="0" applyFont="1" applyFill="1" applyBorder="1" applyNumberFormat="1">
      <alignment horizontal="left" vertical="center" wrapText="1"/>
    </xf>
    <xf numFmtId="0" fontId="23" fillId="0" borderId="16" xfId="0" applyFont="1" applyBorder="1" applyNumberFormat="1">
      <alignment horizontal="center" vertical="center" wrapText="1"/>
    </xf>
    <xf numFmtId="49" fontId="23" fillId="42" borderId="14" xfId="0" applyFont="1" applyFill="1" applyBorder="1" applyNumberFormat="1">
      <alignment horizontal="left" vertical="center" wrapText="1"/>
      <protection locked="0"/>
    </xf>
    <xf numFmtId="49" fontId="23" fillId="43" borderId="14" xfId="0" applyFont="1" applyFill="1" applyBorder="1" applyNumberFormat="1">
      <alignment horizontal="left" vertical="center" wrapText="1"/>
    </xf>
    <xf numFmtId="49" fontId="34" fillId="40" borderId="29" xfId="0" applyFont="1" applyFill="1" applyBorder="1" applyNumberFormat="1">
      <alignment horizontal="left" vertical="center" wrapText="1"/>
    </xf>
    <xf numFmtId="49" fontId="34" fillId="40" borderId="31" xfId="0" applyFont="1" applyFill="1" applyBorder="1" applyNumberFormat="1">
      <alignment horizontal="left" vertical="center" wrapText="1"/>
    </xf>
    <xf numFmtId="0" fontId="23" fillId="37" borderId="38" xfId="0" applyFont="1" applyFill="1" applyBorder="1" applyNumberFormat="1">
      <alignment vertical="center" wrapText="1"/>
    </xf>
    <xf numFmtId="0" fontId="55" fillId="0" borderId="0" xfId="0" applyFont="1" applyNumberFormat="1">
      <alignment horizontal="center" vertical="center" wrapText="1"/>
    </xf>
    <xf numFmtId="0" fontId="55" fillId="0" borderId="29" xfId="0" applyFont="1" applyBorder="1" applyNumberFormat="1">
      <alignment horizontal="center" vertical="center" wrapText="1"/>
    </xf>
    <xf numFmtId="0" fontId="55" fillId="0" borderId="0" xfId="0" applyFont="1" applyNumberFormat="1">
      <alignment horizontal="center" vertical="center" wrapText="1"/>
    </xf>
    <xf numFmtId="0" fontId="55" fillId="0" borderId="0" xfId="0" applyFont="1" applyNumberFormat="1">
      <alignment horizontal="center" vertical="center" wrapText="1"/>
    </xf>
    <xf numFmtId="0" fontId="23" fillId="37" borderId="24" xfId="0" applyFont="1" applyFill="1" applyBorder="1" applyNumberFormat="1">
      <alignment vertical="center" wrapText="1"/>
    </xf>
    <xf numFmtId="0" fontId="44" fillId="0" borderId="14" xfId="0" applyFont="1" applyBorder="1" applyNumberFormat="1">
      <alignment horizontal="center" vertical="center" wrapText="1"/>
    </xf>
    <xf numFmtId="0" fontId="23" fillId="0" borderId="17" xfId="0" applyFont="1" applyBorder="1" applyNumberFormat="1">
      <alignment horizontal="center" vertical="center" wrapText="1"/>
    </xf>
    <xf numFmtId="0" fontId="23" fillId="0" borderId="17" xfId="0" applyFont="1" applyBorder="1" applyNumberFormat="1">
      <alignment horizontal="left" vertical="center" wrapText="1"/>
    </xf>
    <xf numFmtId="0" fontId="50" fillId="0" borderId="0" xfId="0" applyFont="1" applyNumberFormat="1">
      <alignment horizontal="center" vertical="center" wrapText="1"/>
    </xf>
    <xf numFmtId="0" fontId="23" fillId="0" borderId="0" xfId="0" applyFont="1" applyNumberFormat="1">
      <alignment horizontal="center" vertical="center" wrapText="1"/>
    </xf>
    <xf numFmtId="165" fontId="53" fillId="0" borderId="21" xfId="0" applyFont="1" applyBorder="1" applyNumberFormat="1">
      <alignment horizontal="center" vertical="center" wrapText="1"/>
    </xf>
    <xf numFmtId="165" fontId="53" fillId="0" borderId="21" xfId="0" applyFont="1" applyBorder="1" applyNumberFormat="1">
      <alignment horizontal="center" vertical="center" wrapText="1"/>
    </xf>
    <xf numFmtId="165" fontId="53" fillId="0" borderId="22" xfId="0" applyFont="1" applyBorder="1" applyNumberFormat="1">
      <alignment horizontal="center" vertical="center" wrapText="1"/>
    </xf>
    <xf numFmtId="0" fontId="55" fillId="0" borderId="0" xfId="0" applyFont="1" applyNumberFormat="1">
      <alignment horizontal="center" vertical="center"/>
    </xf>
    <xf numFmtId="165" fontId="23" fillId="0" borderId="14" xfId="0" applyFont="1" applyBorder="1" applyNumberFormat="1">
      <alignment horizontal="center" vertical="center" wrapText="1"/>
    </xf>
    <xf numFmtId="165" fontId="23" fillId="0" borderId="38" xfId="0" applyFont="1" applyBorder="1" applyNumberFormat="1">
      <alignment horizontal="center" vertical="center" wrapText="1"/>
    </xf>
    <xf numFmtId="165" fontId="23" fillId="0" borderId="14" xfId="0" applyFont="1" applyBorder="1" applyNumberFormat="1">
      <alignment horizontal="center" vertical="center" wrapText="1"/>
    </xf>
    <xf numFmtId="0" fontId="23" fillId="38" borderId="31" xfId="0" applyFont="1" applyFill="1" applyBorder="1" applyNumberFormat="1">
      <alignment horizontal="left" vertical="center" wrapText="1"/>
    </xf>
    <xf numFmtId="14" fontId="23" fillId="43" borderId="25" xfId="0" applyFont="1" applyFill="1" applyBorder="1" applyNumberFormat="1">
      <alignment horizontal="left" vertical="center" wrapText="1"/>
    </xf>
    <xf numFmtId="49" fontId="23" fillId="43" borderId="32" xfId="0" applyFont="1" applyFill="1" applyBorder="1" applyNumberFormat="1">
      <alignment horizontal="left" vertical="center" wrapText="1"/>
    </xf>
    <xf numFmtId="0" fontId="23" fillId="0" borderId="25" xfId="0" applyFont="1" applyBorder="1" applyNumberFormat="1">
      <alignment horizontal="center" vertical="center" wrapText="1"/>
    </xf>
    <xf numFmtId="49" fontId="23" fillId="42" borderId="29" xfId="0" applyFont="1" applyFill="1" applyBorder="1" applyNumberFormat="1">
      <alignment horizontal="left" vertical="center" wrapText="1"/>
      <protection locked="0"/>
    </xf>
    <xf numFmtId="49" fontId="23" fillId="42" borderId="32" xfId="0" applyFont="1" applyFill="1" applyBorder="1" applyNumberFormat="1">
      <alignment horizontal="left" vertical="center" wrapText="1"/>
      <protection locked="0"/>
    </xf>
    <xf numFmtId="49" fontId="23" fillId="0" borderId="14" xfId="0" applyFont="1" applyBorder="1" applyNumberFormat="1">
      <alignment horizontal="left" vertical="top" wrapText="1"/>
    </xf>
    <xf numFmtId="49" fontId="23" fillId="43" borderId="25" xfId="0" applyFont="1" applyFill="1" applyBorder="1" applyNumberFormat="1">
      <alignment horizontal="left" vertical="center" wrapText="1"/>
    </xf>
    <xf numFmtId="49" fontId="129" fillId="0" borderId="14" xfId="0" applyFont="1" applyBorder="1" applyNumberFormat="1">
      <alignment horizontal="left" vertical="top" wrapText="1"/>
    </xf>
    <xf numFmtId="0" fontId="40" fillId="0" borderId="0" xfId="0" applyFont="1" applyNumberFormat="1">
      <alignment vertical="center" wrapText="1"/>
    </xf>
    <xf numFmtId="0" fontId="45" fillId="37" borderId="0" xfId="0" applyFont="1" applyFill="1" applyNumberFormat="1">
      <alignment horizontal="center" vertical="center" wrapText="1"/>
    </xf>
    <xf numFmtId="0" fontId="23" fillId="37" borderId="0" xfId="0" applyFont="1" applyFill="1" applyNumberFormat="1"/>
    <xf numFmtId="49" fontId="40" fillId="0" borderId="0" xfId="0" applyFont="1" applyNumberFormat="1">
      <alignment vertical="top"/>
    </xf>
    <xf numFmtId="49" fontId="23" fillId="0" borderId="0" xfId="0" applyFont="1" applyNumberFormat="1">
      <alignment vertical="top"/>
    </xf>
    <xf numFmtId="49" fontId="45" fillId="0" borderId="0" xfId="0" applyFont="1" applyNumberFormat="1">
      <alignment horizontal="center" vertical="center"/>
    </xf>
    <xf numFmtId="0" fontId="51" fillId="37" borderId="0" xfId="0" applyFont="1" applyFill="1" applyNumberFormat="1">
      <alignment horizontal="center" vertical="center" wrapText="1"/>
    </xf>
    <xf numFmtId="0" fontId="40" fillId="37" borderId="0" xfId="0" applyFont="1" applyFill="1" applyNumberFormat="1"/>
    <xf numFmtId="0" fontId="23" fillId="37" borderId="14" xfId="0" applyFont="1" applyFill="1" applyBorder="1" applyNumberFormat="1">
      <alignment horizontal="center" vertical="center" wrapText="1"/>
    </xf>
    <xf numFmtId="49" fontId="23" fillId="0" borderId="0" xfId="0" applyFont="1" applyNumberFormat="1">
      <alignment vertical="top"/>
    </xf>
    <xf numFmtId="49" fontId="54" fillId="0" borderId="0" xfId="0" applyFont="1" applyNumberFormat="1">
      <alignment vertical="top"/>
    </xf>
    <xf numFmtId="49" fontId="23" fillId="0" borderId="0" xfId="0" applyFont="1" applyNumberFormat="1">
      <alignment vertical="top"/>
    </xf>
    <xf numFmtId="49" fontId="45" fillId="0" borderId="0" xfId="0" applyFont="1" applyNumberFormat="1">
      <alignment horizontal="center" vertical="center" wrapText="1"/>
    </xf>
    <xf numFmtId="49" fontId="23" fillId="0" borderId="14" xfId="0" applyFont="1" applyBorder="1" applyNumberFormat="1">
      <alignment horizontal="center" vertical="center" wrapText="1"/>
    </xf>
    <xf numFmtId="49" fontId="23" fillId="42" borderId="14" xfId="0" applyFont="1" applyFill="1" applyBorder="1" applyNumberFormat="1">
      <alignment horizontal="left" vertical="center" wrapText="1"/>
      <protection locked="0"/>
    </xf>
    <xf numFmtId="0" fontId="55" fillId="0" borderId="0" xfId="0" applyFont="1" applyNumberFormat="1">
      <alignment vertical="top"/>
    </xf>
    <xf numFmtId="49" fontId="55" fillId="0" borderId="0" xfId="0" applyFont="1" applyNumberFormat="1">
      <alignment vertical="top"/>
    </xf>
    <xf numFmtId="49" fontId="23" fillId="0" borderId="0" xfId="0" applyFont="1" applyNumberFormat="1">
      <alignment vertical="top"/>
    </xf>
    <xf numFmtId="49" fontId="48" fillId="40" borderId="17" xfId="0" applyFont="1" applyFill="1" applyBorder="1" applyNumberFormat="1">
      <alignment horizontal="left" vertical="center"/>
    </xf>
    <xf numFmtId="49" fontId="52" fillId="40" borderId="17" xfId="0" applyFont="1" applyFill="1" applyBorder="1" applyNumberFormat="1">
      <alignment horizontal="center" vertical="top"/>
    </xf>
    <xf numFmtId="49" fontId="23" fillId="0" borderId="0" xfId="0" applyFont="1" applyNumberFormat="1">
      <alignment horizontal="left" vertical="top" wrapText="1"/>
    </xf>
    <xf numFmtId="49" fontId="23" fillId="0" borderId="0" xfId="0" applyFont="1" applyNumberFormat="1">
      <alignment vertical="top"/>
    </xf>
    <xf numFmtId="49" fontId="45" fillId="0" borderId="0" xfId="0" applyFont="1" applyNumberFormat="1">
      <alignment horizontal="center" vertical="center"/>
    </xf>
    <xf numFmtId="49" fontId="23" fillId="0" borderId="0" xfId="0" applyFont="1" applyNumberFormat="1">
      <alignment vertical="top"/>
    </xf>
    <xf numFmtId="0" fontId="45" fillId="37" borderId="0" xfId="0" applyFont="1" applyFill="1" applyNumberFormat="1">
      <alignment horizontal="center" vertical="center"/>
    </xf>
    <xf numFmtId="0" fontId="23" fillId="37" borderId="0" xfId="0" applyFont="1" applyFill="1" applyNumberFormat="1"/>
    <xf numFmtId="0" fontId="23" fillId="0" borderId="15" xfId="0" applyFont="1" applyBorder="1" applyNumberFormat="1">
      <alignment horizontal="left" vertical="center" wrapText="1" indent="1"/>
    </xf>
    <xf numFmtId="0" fontId="23" fillId="0" borderId="16" xfId="0" applyFont="1" applyBorder="1" applyNumberFormat="1">
      <alignment horizontal="left" vertical="center" wrapText="1" indent="1"/>
    </xf>
    <xf numFmtId="0" fontId="69" fillId="0" borderId="0" xfId="0" applyFont="1" applyNumberFormat="1"/>
    <xf numFmtId="0" fontId="23" fillId="0" borderId="14" xfId="0" applyFont="1" applyBorder="1" applyNumberFormat="1">
      <alignment horizontal="center" vertical="center" wrapText="1"/>
    </xf>
    <xf numFmtId="0" fontId="23" fillId="37" borderId="19" xfId="0" applyFont="1" applyFill="1" applyBorder="1" applyNumberFormat="1">
      <alignment horizontal="center" vertical="center"/>
    </xf>
    <xf numFmtId="49" fontId="23" fillId="0" borderId="19" xfId="0" applyFont="1" applyBorder="1" applyNumberFormat="1">
      <alignment horizontal="left" vertical="center" wrapText="1"/>
    </xf>
    <xf numFmtId="0" fontId="45" fillId="37" borderId="0" xfId="0" applyFont="1" applyFill="1" applyNumberFormat="1">
      <alignment horizontal="center" vertical="center" wrapText="1"/>
    </xf>
    <xf numFmtId="0" fontId="23" fillId="37" borderId="14" xfId="0" applyFont="1" applyFill="1" applyBorder="1" applyNumberFormat="1">
      <alignment horizontal="center" vertical="center"/>
    </xf>
    <xf numFmtId="49" fontId="23" fillId="42" borderId="14" xfId="0" applyFont="1" applyFill="1" applyBorder="1" applyNumberFormat="1">
      <alignment horizontal="left" vertical="center" wrapText="1"/>
      <protection locked="0"/>
    </xf>
    <xf numFmtId="49" fontId="36" fillId="40" borderId="16" xfId="0" applyFont="1" applyFill="1" applyBorder="1" applyNumberFormat="1">
      <alignment horizontal="center" vertical="center"/>
    </xf>
    <xf numFmtId="49" fontId="48" fillId="40" borderId="15" xfId="0" applyFont="1" applyFill="1" applyBorder="1" applyNumberFormat="1">
      <alignment horizontal="left" vertical="center"/>
    </xf>
    <xf numFmtId="49" fontId="53" fillId="0" borderId="0" xfId="0" applyFont="1" applyNumberFormat="1">
      <alignment horizontal="right" vertical="top"/>
    </xf>
    <xf numFmtId="49" fontId="23" fillId="0" borderId="0" xfId="0" applyFont="1" applyNumberFormat="1">
      <alignment horizontal="left" vertical="top" wrapText="1"/>
    </xf>
    <xf numFmtId="49" fontId="53" fillId="0" borderId="0" xfId="0" applyFont="1" applyNumberFormat="1">
      <alignment vertical="top"/>
    </xf>
    <xf numFmtId="0" fontId="23" fillId="0" borderId="0" xfId="0" applyFont="1" applyNumberFormat="1"/>
    <xf numFmtId="0" fontId="45" fillId="0" borderId="0" xfId="0" applyFont="1" applyNumberFormat="1">
      <alignment horizontal="center" vertical="center"/>
    </xf>
    <xf numFmtId="0" fontId="23" fillId="0" borderId="0" xfId="0" applyFont="1" applyNumberFormat="1"/>
    <xf numFmtId="49" fontId="23" fillId="0" borderId="14" xfId="0" applyFont="1" applyBorder="1" applyNumberFormat="1">
      <alignment horizontal="left" vertical="center" wrapText="1"/>
    </xf>
    <xf numFmtId="0" fontId="23" fillId="0" borderId="0" xfId="0" applyFont="1" applyNumberFormat="1"/>
    <xf numFmtId="0" fontId="45" fillId="37" borderId="0" xfId="0" applyFont="1" applyFill="1" applyNumberFormat="1">
      <alignment horizontal="center"/>
    </xf>
    <xf numFmtId="49" fontId="23" fillId="39" borderId="14" xfId="0" applyFont="1" applyFill="1" applyBorder="1" applyNumberFormat="1">
      <alignment horizontal="left" vertical="center" wrapText="1"/>
      <protection locked="0"/>
    </xf>
    <xf numFmtId="49" fontId="48" fillId="40" borderId="15" xfId="0" applyFont="1" applyFill="1" applyBorder="1" applyNumberFormat="1">
      <alignment horizontal="left" vertical="center"/>
    </xf>
    <xf numFmtId="49" fontId="0" fillId="0" borderId="17" xfId="0" applyFont="1" applyBorder="1" applyNumberFormat="1">
      <alignment horizontal="left" vertical="center" indent="1"/>
    </xf>
    <xf numFmtId="49" fontId="70" fillId="0" borderId="0" xfId="0" applyFont="1" applyNumberFormat="1">
      <alignment vertical="top"/>
    </xf>
    <xf numFmtId="49" fontId="0" fillId="0" borderId="27" xfId="0" applyFont="1" applyBorder="1" applyNumberFormat="1">
      <alignment horizontal="center" vertical="center"/>
    </xf>
    <xf numFmtId="49" fontId="0" fillId="0" borderId="0" xfId="0" applyFont="1" applyNumberFormat="1">
      <alignment vertical="top"/>
    </xf>
    <xf numFmtId="49" fontId="0" fillId="41" borderId="0" xfId="0" applyFont="1" applyFill="1" applyNumberFormat="1">
      <alignment vertical="top"/>
    </xf>
    <xf numFmtId="49" fontId="0" fillId="41" borderId="0" xfId="0" applyFont="1" applyFill="1" applyNumberFormat="1">
      <alignment vertical="top"/>
    </xf>
    <xf numFmtId="0" fontId="45" fillId="37" borderId="0" xfId="0" applyFont="1" applyFill="1" applyNumberFormat="1">
      <alignment horizontal="center" vertical="center" wrapText="1"/>
    </xf>
    <xf numFmtId="0" fontId="50" fillId="0" borderId="0" xfId="0" applyFont="1" applyNumberFormat="1">
      <alignment vertical="center" wrapText="1"/>
    </xf>
    <xf numFmtId="0" fontId="45" fillId="0" borderId="0" xfId="0" applyFont="1" applyNumberFormat="1">
      <alignment horizontal="center" vertical="center" wrapText="1"/>
    </xf>
    <xf numFmtId="0" fontId="23" fillId="0" borderId="14" xfId="0" applyFont="1" applyBorder="1" applyNumberFormat="1">
      <alignment horizontal="center" vertical="center" wrapText="1"/>
    </xf>
    <xf numFmtId="0" fontId="55" fillId="0" borderId="14" xfId="0" applyFont="1" applyBorder="1" applyNumberFormat="1">
      <alignment horizontal="center" vertical="center"/>
    </xf>
    <xf numFmtId="0" fontId="23" fillId="0" borderId="25" xfId="0" applyFont="1" applyBorder="1" applyNumberFormat="1">
      <alignment horizontal="center" vertical="center" wrapText="1"/>
    </xf>
    <xf numFmtId="0" fontId="54" fillId="0" borderId="25" xfId="0" applyFont="1" applyBorder="1" applyNumberFormat="1">
      <alignment horizontal="center" vertical="center" wrapText="1"/>
    </xf>
    <xf numFmtId="0" fontId="54" fillId="0" borderId="0" xfId="0" applyFont="1" applyNumberFormat="1">
      <alignment horizontal="center" vertical="center" wrapText="1"/>
    </xf>
    <xf numFmtId="0" fontId="54" fillId="0" borderId="14" xfId="0" applyFont="1" applyBorder="1" applyNumberFormat="1">
      <alignment horizontal="center" vertical="center" wrapText="1"/>
    </xf>
    <xf numFmtId="14" fontId="23" fillId="43" borderId="14" xfId="0" applyFont="1" applyFill="1" applyBorder="1" applyNumberFormat="1">
      <alignment horizontal="left" vertical="center" wrapText="1" indent="1"/>
    </xf>
    <xf numFmtId="49" fontId="23" fillId="38" borderId="14" xfId="0" applyFont="1" applyFill="1" applyBorder="1" applyNumberFormat="1">
      <alignment horizontal="center" vertical="center" wrapText="1"/>
    </xf>
    <xf numFmtId="49" fontId="58" fillId="41" borderId="0" xfId="0" applyFont="1" applyFill="1" applyNumberFormat="1">
      <alignment vertical="top"/>
    </xf>
    <xf numFmtId="49" fontId="58" fillId="0" borderId="0" xfId="0" applyFont="1" applyNumberFormat="1">
      <alignment vertical="top"/>
    </xf>
    <xf numFmtId="0" fontId="0" fillId="0" borderId="0" xfId="0" applyFont="1" applyNumberFormat="1">
      <alignment vertical="center"/>
    </xf>
    <xf numFmtId="0" fontId="44" fillId="0" borderId="26" xfId="0" applyFont="1" applyBorder="1" applyNumberFormat="1">
      <alignment horizontal="center" vertical="center" wrapText="1"/>
    </xf>
    <xf numFmtId="14" fontId="86" fillId="0" borderId="19" xfId="0" applyFont="1" applyBorder="1" applyNumberFormat="1">
      <alignment horizontal="center" vertical="center" wrapText="1"/>
    </xf>
    <xf numFmtId="0" fontId="80" fillId="0" borderId="14" xfId="0" applyFont="1" applyBorder="1" applyNumberFormat="1">
      <alignment horizontal="left" vertical="center" wrapText="1" indent="1"/>
    </xf>
    <xf numFmtId="0" fontId="86" fillId="0" borderId="19" xfId="0" applyFont="1" applyBorder="1" applyNumberFormat="1">
      <alignment horizontal="center" vertical="center" wrapText="1"/>
    </xf>
    <xf numFmtId="49" fontId="23" fillId="0" borderId="14" xfId="0" applyFont="1" applyBorder="1" applyNumberFormat="1">
      <alignment horizontal="center" vertical="center" wrapText="1"/>
    </xf>
    <xf numFmtId="0" fontId="79" fillId="0" borderId="0" xfId="0" applyFont="1" applyNumberFormat="1">
      <alignment vertical="center"/>
    </xf>
    <xf numFmtId="14" fontId="86" fillId="0" borderId="38" xfId="0" applyFont="1" applyBorder="1" applyNumberFormat="1">
      <alignment horizontal="center" vertical="center" wrapText="1"/>
    </xf>
    <xf numFmtId="0" fontId="80" fillId="0" borderId="14" xfId="0" applyFont="1" applyBorder="1" applyNumberFormat="1">
      <alignment horizontal="left" vertical="top" indent="1"/>
    </xf>
    <xf numFmtId="49" fontId="0" fillId="0" borderId="14" xfId="0" applyFont="1" applyBorder="1" applyNumberFormat="1">
      <alignment vertical="top"/>
    </xf>
    <xf numFmtId="0" fontId="44" fillId="0" borderId="14" xfId="0" applyFont="1" applyBorder="1" applyNumberFormat="1">
      <alignment horizontal="center" vertical="center" wrapText="1"/>
    </xf>
    <xf numFmtId="0" fontId="23" fillId="43" borderId="14" xfId="0" applyFont="1" applyFill="1" applyBorder="1" applyNumberFormat="1">
      <alignment horizontal="left" vertical="center" wrapText="1" indent="1"/>
    </xf>
    <xf numFmtId="0" fontId="44" fillId="0" borderId="14" xfId="0" applyFont="1" applyBorder="1" applyNumberFormat="1">
      <alignment horizontal="center" vertical="center" wrapText="1"/>
    </xf>
    <xf numFmtId="49" fontId="23" fillId="0" borderId="15" xfId="0" applyFont="1" applyBorder="1" applyNumberFormat="1">
      <alignment horizontal="center" vertical="center" wrapText="1"/>
    </xf>
    <xf numFmtId="49" fontId="80" fillId="42" borderId="14" xfId="0" applyFont="1" applyFill="1" applyBorder="1" applyNumberFormat="1">
      <alignment horizontal="left" vertical="center" wrapText="1" indent="1"/>
      <protection locked="0"/>
    </xf>
    <xf numFmtId="49" fontId="23" fillId="37" borderId="0" xfId="0" applyFont="1" applyFill="1" applyNumberFormat="1">
      <alignment horizontal="center" vertical="center" wrapText="1"/>
    </xf>
    <xf numFmtId="0" fontId="23" fillId="37" borderId="0" xfId="0" applyFont="1" applyFill="1" applyNumberFormat="1">
      <alignment horizontal="center" vertical="top" wrapText="1"/>
    </xf>
    <xf numFmtId="49" fontId="23" fillId="43" borderId="16" xfId="0" applyFont="1" applyFill="1" applyBorder="1" applyNumberFormat="1">
      <alignment horizontal="left" vertical="center" wrapText="1"/>
    </xf>
    <xf numFmtId="49" fontId="0" fillId="0" borderId="14" xfId="0" applyFont="1" applyBorder="1" applyNumberFormat="1">
      <alignment vertical="top"/>
    </xf>
    <xf numFmtId="0" fontId="0" fillId="0" borderId="14" xfId="0" applyFont="1" applyBorder="1" applyNumberFormat="1">
      <alignment horizontal="center" vertical="center" wrapText="1"/>
    </xf>
    <xf numFmtId="49" fontId="0" fillId="42" borderId="14" xfId="0" applyFont="1" applyFill="1" applyBorder="1" applyNumberFormat="1">
      <alignment horizontal="left" vertical="center" wrapText="1"/>
      <protection locked="0"/>
    </xf>
    <xf numFmtId="49" fontId="0" fillId="0" borderId="0" xfId="0" applyFont="1" applyNumberFormat="1">
      <alignment vertical="top"/>
    </xf>
    <xf numFmtId="49" fontId="23" fillId="0" borderId="0" xfId="0" applyFont="1" applyNumberFormat="1">
      <alignment vertical="top"/>
    </xf>
    <xf numFmtId="0" fontId="45" fillId="37" borderId="0" xfId="0" applyFont="1" applyFill="1" applyNumberFormat="1">
      <alignment vertical="top" wrapText="1"/>
    </xf>
    <xf numFmtId="0" fontId="23" fillId="37" borderId="16" xfId="0" applyFont="1" applyFill="1" applyBorder="1" applyNumberFormat="1">
      <alignment horizontal="center" vertical="center" wrapText="1"/>
    </xf>
    <xf numFmtId="0" fontId="55" fillId="37" borderId="14" xfId="0" applyFont="1" applyFill="1" applyBorder="1" applyNumberFormat="1">
      <alignment horizontal="center" vertical="center" wrapText="1"/>
    </xf>
    <xf numFmtId="14" fontId="23" fillId="43" borderId="31" xfId="0" applyFont="1" applyFill="1" applyBorder="1" applyNumberFormat="1">
      <alignment horizontal="left" vertical="center" wrapText="1"/>
    </xf>
    <xf numFmtId="49" fontId="127" fillId="42" borderId="14" xfId="0" applyFont="1" applyFill="1" applyBorder="1" applyNumberFormat="1">
      <alignment horizontal="left" vertical="center" wrapText="1"/>
      <protection locked="0"/>
    </xf>
    <xf numFmtId="49" fontId="0" fillId="0" borderId="14" xfId="0" applyFont="1" applyBorder="1" applyNumberFormat="1">
      <alignment horizontal="center" vertical="center" wrapText="1"/>
    </xf>
    <xf numFmtId="0" fontId="23" fillId="43" borderId="16" xfId="0" applyFont="1" applyFill="1" applyBorder="1" applyNumberFormat="1">
      <alignment horizontal="left" vertical="center" wrapText="1"/>
    </xf>
    <xf numFmtId="0" fontId="0" fillId="0" borderId="25" xfId="0" applyFont="1" applyBorder="1" applyNumberFormat="1">
      <alignment horizontal="center" vertical="center" wrapText="1"/>
    </xf>
    <xf numFmtId="49" fontId="23" fillId="0" borderId="0" xfId="0" applyFont="1" applyNumberFormat="1">
      <alignment vertical="top"/>
    </xf>
    <xf numFmtId="49" fontId="45" fillId="0" borderId="0" xfId="0" applyFont="1" applyNumberFormat="1">
      <alignment horizontal="center" vertical="center" wrapText="1"/>
    </xf>
    <xf numFmtId="167" fontId="0" fillId="42" borderId="14" xfId="0" applyFont="1" applyFill="1" applyBorder="1" applyNumberFormat="1">
      <alignment horizontal="center" vertical="center" wrapText="1"/>
      <protection locked="0"/>
    </xf>
    <xf numFmtId="49" fontId="0" fillId="42" borderId="14" xfId="0" applyFont="1" applyFill="1" applyBorder="1" applyNumberFormat="1">
      <alignment horizontal="center" vertical="center" wrapText="1"/>
      <protection locked="0"/>
    </xf>
    <xf numFmtId="49" fontId="0" fillId="37" borderId="14" xfId="0" applyFont="1" applyFill="1" applyBorder="1" applyNumberFormat="1">
      <alignment horizontal="center" vertical="center" wrapText="1"/>
    </xf>
    <xf numFmtId="0" fontId="0" fillId="42" borderId="16" xfId="0" applyFont="1" applyFill="1" applyBorder="1" applyNumberFormat="1">
      <alignment horizontal="left" vertical="center" wrapText="1" indent="2"/>
      <protection locked="0"/>
    </xf>
    <xf numFmtId="0" fontId="45" fillId="0" borderId="26" xfId="0" applyFont="1" applyBorder="1" applyNumberFormat="1">
      <alignment horizontal="center" vertical="center" wrapText="1"/>
    </xf>
    <xf numFmtId="49" fontId="23" fillId="0" borderId="14" xfId="0" applyFont="1" applyBorder="1" applyNumberFormat="1">
      <alignment horizontal="center" vertical="top" wrapText="1"/>
    </xf>
    <xf numFmtId="0" fontId="0" fillId="38" borderId="14" xfId="0" applyFont="1" applyFill="1" applyBorder="1" applyNumberFormat="1">
      <alignment horizontal="left" vertical="top" wrapText="1" indent="1"/>
    </xf>
    <xf numFmtId="49" fontId="23" fillId="43" borderId="19" xfId="0" applyFont="1" applyFill="1" applyBorder="1" applyNumberFormat="1">
      <alignment horizontal="center" vertical="top" wrapText="1"/>
    </xf>
    <xf numFmtId="167" fontId="0" fillId="42" borderId="14" xfId="0" applyFont="1" applyFill="1" applyBorder="1" applyNumberFormat="1">
      <alignment horizontal="center" vertical="top" wrapText="1"/>
      <protection locked="0"/>
    </xf>
    <xf numFmtId="167" fontId="0" fillId="39" borderId="14" xfId="0" applyFont="1" applyFill="1" applyBorder="1" applyNumberFormat="1">
      <alignment horizontal="center" vertical="top" wrapText="1"/>
      <protection locked="0"/>
    </xf>
    <xf numFmtId="49" fontId="23" fillId="43" borderId="14" xfId="0" applyFont="1" applyFill="1" applyBorder="1" applyNumberFormat="1">
      <alignment horizontal="left" vertical="top" wrapText="1"/>
    </xf>
    <xf numFmtId="49" fontId="23" fillId="42" borderId="14" xfId="0" applyFont="1" applyFill="1" applyBorder="1" applyNumberFormat="1">
      <alignment horizontal="left" vertical="top" wrapText="1"/>
      <protection locked="0"/>
    </xf>
    <xf numFmtId="49" fontId="0" fillId="38" borderId="14" xfId="0" applyFont="1" applyFill="1" applyBorder="1" applyNumberFormat="1">
      <alignment horizontal="center" vertical="top" wrapText="1"/>
    </xf>
    <xf numFmtId="0" fontId="23" fillId="38" borderId="14" xfId="0" applyFont="1" applyFill="1" applyBorder="1" applyNumberFormat="1">
      <alignment horizontal="center" vertical="top" wrapText="1"/>
    </xf>
    <xf numFmtId="0" fontId="23" fillId="39" borderId="14" xfId="0" applyFont="1" applyFill="1" applyBorder="1" applyNumberFormat="1">
      <alignment horizontal="left" vertical="top" wrapText="1"/>
      <protection locked="0"/>
    </xf>
    <xf numFmtId="49" fontId="23" fillId="43" borderId="14" xfId="0" applyFont="1" applyFill="1" applyBorder="1" applyNumberFormat="1">
      <alignment horizontal="center" vertical="top" wrapText="1"/>
    </xf>
    <xf numFmtId="0" fontId="23" fillId="0" borderId="38" xfId="0" applyFont="1" applyBorder="1" applyNumberFormat="1">
      <alignment horizontal="center" vertical="center" wrapText="1"/>
    </xf>
    <xf numFmtId="0" fontId="23" fillId="0" borderId="14" xfId="0" applyFont="1" applyBorder="1" applyNumberFormat="1">
      <alignment horizontal="center" vertical="center" wrapText="1"/>
    </xf>
    <xf numFmtId="49" fontId="23" fillId="42" borderId="19" xfId="0" applyFont="1" applyFill="1" applyBorder="1" applyNumberFormat="1">
      <alignment horizontal="left" vertical="center" wrapText="1" indent="1"/>
      <protection locked="0"/>
    </xf>
    <xf numFmtId="0" fontId="23" fillId="0" borderId="26" xfId="0" applyFont="1" applyBorder="1" applyNumberFormat="1">
      <alignment vertical="top" wrapText="1"/>
    </xf>
    <xf numFmtId="49" fontId="23" fillId="43" borderId="25" xfId="0" applyFont="1" applyFill="1" applyBorder="1" applyNumberFormat="1">
      <alignment horizontal="center" vertical="top" wrapText="1"/>
    </xf>
    <xf numFmtId="49" fontId="0" fillId="42" borderId="14" xfId="0" applyFont="1" applyFill="1" applyBorder="1" applyNumberFormat="1">
      <alignment horizontal="center" vertical="top" wrapText="1"/>
      <protection locked="0"/>
    </xf>
    <xf numFmtId="49" fontId="0" fillId="39" borderId="14" xfId="0" applyFont="1" applyFill="1" applyBorder="1" applyNumberFormat="1">
      <alignment horizontal="center" vertical="top" wrapText="1"/>
      <protection locked="0"/>
    </xf>
    <xf numFmtId="49" fontId="23" fillId="43" borderId="16" xfId="0" applyFont="1" applyFill="1" applyBorder="1" applyNumberFormat="1">
      <alignment horizontal="center" vertical="top" wrapText="1"/>
    </xf>
    <xf numFmtId="49" fontId="23" fillId="0" borderId="38" xfId="0" applyFont="1" applyBorder="1" applyNumberFormat="1">
      <alignment horizontal="center" vertical="top" wrapText="1"/>
    </xf>
    <xf numFmtId="0" fontId="0" fillId="38" borderId="38" xfId="0" applyFont="1" applyFill="1" applyBorder="1" applyNumberFormat="1">
      <alignment horizontal="left" vertical="top" wrapText="1" indent="1"/>
    </xf>
    <xf numFmtId="49" fontId="23" fillId="43" borderId="38" xfId="0" applyFont="1" applyFill="1" applyBorder="1" applyNumberFormat="1">
      <alignment horizontal="center" vertical="top" wrapText="1"/>
    </xf>
    <xf numFmtId="49" fontId="0" fillId="42" borderId="38" xfId="0" applyFont="1" applyFill="1" applyBorder="1" applyNumberFormat="1">
      <alignment horizontal="center" vertical="top" wrapText="1"/>
      <protection locked="0"/>
    </xf>
    <xf numFmtId="49" fontId="0" fillId="39" borderId="38" xfId="0" applyFont="1" applyFill="1" applyBorder="1" applyNumberFormat="1">
      <alignment horizontal="center" vertical="top" wrapText="1"/>
      <protection locked="0"/>
    </xf>
    <xf numFmtId="49" fontId="23" fillId="43" borderId="38" xfId="0" applyFont="1" applyFill="1" applyBorder="1" applyNumberFormat="1">
      <alignment horizontal="left" vertical="top" wrapText="1"/>
    </xf>
    <xf numFmtId="49" fontId="23" fillId="42" borderId="38" xfId="0" applyFont="1" applyFill="1" applyBorder="1" applyNumberFormat="1">
      <alignment horizontal="left" vertical="top" wrapText="1"/>
      <protection locked="0"/>
    </xf>
    <xf numFmtId="49" fontId="0" fillId="38" borderId="38" xfId="0" applyFont="1" applyFill="1" applyBorder="1" applyNumberFormat="1">
      <alignment horizontal="center" vertical="top" wrapText="1"/>
    </xf>
    <xf numFmtId="0" fontId="23" fillId="38" borderId="38" xfId="0" applyFont="1" applyFill="1" applyBorder="1" applyNumberFormat="1">
      <alignment horizontal="center" vertical="top" wrapText="1"/>
    </xf>
    <xf numFmtId="0" fontId="23" fillId="39" borderId="38" xfId="0" applyFont="1" applyFill="1" applyBorder="1" applyNumberFormat="1">
      <alignment horizontal="left" vertical="top" wrapText="1"/>
      <protection locked="0"/>
    </xf>
    <xf numFmtId="0" fontId="108" fillId="0" borderId="50" xfId="0" applyFont="1" applyBorder="1" applyNumberFormat="1">
      <alignment horizontal="left" vertical="center" indent="1"/>
    </xf>
    <xf numFmtId="0" fontId="108" fillId="0" borderId="51" xfId="0" applyFont="1" applyBorder="1" applyNumberFormat="1">
      <alignment horizontal="left" vertical="center" indent="1"/>
    </xf>
    <xf numFmtId="0" fontId="0" fillId="0" borderId="51" xfId="0" applyFont="1" applyBorder="1" applyNumberFormat="1">
      <alignment horizontal="left" vertical="center" wrapText="1"/>
    </xf>
    <xf numFmtId="0" fontId="23" fillId="0" borderId="51" xfId="0" applyFont="1" applyBorder="1" applyNumberFormat="1">
      <alignment vertical="center" wrapText="1"/>
    </xf>
    <xf numFmtId="0" fontId="23" fillId="0" borderId="56" xfId="0" applyFont="1" applyBorder="1" applyNumberFormat="1">
      <alignment vertical="center" wrapText="1"/>
    </xf>
    <xf numFmtId="0" fontId="23" fillId="0" borderId="57" xfId="0" applyFont="1" applyBorder="1" applyNumberFormat="1">
      <alignment vertical="center" wrapText="1"/>
    </xf>
    <xf numFmtId="0" fontId="23" fillId="0" borderId="40" xfId="0" applyFont="1" applyBorder="1" applyNumberFormat="1">
      <alignment vertical="center" wrapText="1"/>
    </xf>
    <xf numFmtId="49" fontId="23" fillId="38" borderId="14" xfId="0" applyFont="1" applyFill="1" applyBorder="1" applyNumberFormat="1">
      <alignment horizontal="center" vertical="center" wrapText="1"/>
    </xf>
    <xf numFmtId="49" fontId="23" fillId="0" borderId="15" xfId="0" applyFont="1" applyBorder="1" applyNumberFormat="1">
      <alignment horizontal="center" vertical="center" wrapText="1"/>
    </xf>
    <xf numFmtId="49" fontId="23" fillId="43" borderId="15" xfId="0" applyFont="1" applyFill="1" applyBorder="1" applyNumberFormat="1">
      <alignment horizontal="left" vertical="center" wrapText="1"/>
    </xf>
    <xf numFmtId="49" fontId="23" fillId="42" borderId="14" xfId="0" applyFont="1" applyFill="1" applyBorder="1" applyNumberFormat="1">
      <alignment horizontal="left" vertical="center" wrapText="1"/>
      <protection locked="0"/>
    </xf>
    <xf numFmtId="49" fontId="23" fillId="43" borderId="16" xfId="0" applyFont="1" applyFill="1" applyBorder="1" applyNumberFormat="1">
      <alignment horizontal="center" vertical="center" wrapText="1"/>
    </xf>
    <xf numFmtId="49" fontId="110" fillId="40" borderId="45" xfId="0" applyFont="1" applyFill="1" applyBorder="1" applyNumberFormat="1">
      <alignment horizontal="left" vertical="center" indent="1"/>
    </xf>
    <xf numFmtId="49" fontId="99" fillId="40" borderId="45" xfId="0" applyFont="1" applyFill="1" applyBorder="1" applyNumberFormat="1">
      <alignment horizontal="center" vertical="center"/>
    </xf>
    <xf numFmtId="3" fontId="23" fillId="42" borderId="14" xfId="0" applyFont="1" applyFill="1" applyBorder="1" applyNumberFormat="1">
      <alignment horizontal="center" vertical="center" wrapText="1"/>
      <protection locked="0"/>
    </xf>
    <xf numFmtId="49" fontId="128" fillId="0" borderId="15" xfId="0" applyFont="1" applyBorder="1" applyNumberFormat="1">
      <alignment horizontal="center" vertical="center" wrapText="1"/>
    </xf>
    <xf numFmtId="0" fontId="53" fillId="0" borderId="14" xfId="0" applyFont="1" applyBorder="1" applyNumberFormat="1">
      <alignment horizontal="center" vertical="center"/>
    </xf>
    <xf numFmtId="49" fontId="23" fillId="43" borderId="19" xfId="0" applyFont="1" applyFill="1" applyBorder="1" applyNumberFormat="1">
      <alignment horizontal="left" vertical="center" wrapText="1" indent="1"/>
    </xf>
    <xf numFmtId="49" fontId="23" fillId="0" borderId="14" xfId="0" applyFont="1" applyBorder="1" applyNumberFormat="1">
      <alignment horizontal="left" vertical="center" wrapText="1"/>
    </xf>
    <xf numFmtId="49" fontId="110" fillId="40" borderId="16" xfId="0" applyFont="1" applyFill="1" applyBorder="1" applyNumberFormat="1">
      <alignment horizontal="left" vertical="center" indent="1"/>
    </xf>
    <xf numFmtId="49" fontId="110" fillId="40" borderId="17" xfId="0" applyFont="1" applyFill="1" applyBorder="1" applyNumberFormat="1">
      <alignment horizontal="left" vertical="center" indent="1"/>
    </xf>
    <xf numFmtId="49" fontId="53" fillId="40" borderId="17" xfId="0" applyFont="1" applyFill="1" applyBorder="1" applyNumberFormat="1">
      <alignment vertical="top" wrapText="1"/>
    </xf>
    <xf numFmtId="49" fontId="53" fillId="40" borderId="15" xfId="0" applyFont="1" applyFill="1" applyBorder="1" applyNumberFormat="1">
      <alignment vertical="top" wrapText="1"/>
    </xf>
    <xf numFmtId="49" fontId="23" fillId="43" borderId="38" xfId="0" applyFont="1" applyFill="1" applyBorder="1" applyNumberFormat="1">
      <alignment horizontal="left" vertical="center" wrapText="1" indent="1"/>
    </xf>
    <xf numFmtId="49" fontId="23" fillId="38" borderId="14" xfId="0" applyFont="1" applyFill="1" applyBorder="1" applyNumberFormat="1">
      <alignment horizontal="left" vertical="center" wrapText="1"/>
    </xf>
    <xf numFmtId="49" fontId="128" fillId="0" borderId="0" xfId="0" applyFont="1" applyNumberFormat="1">
      <alignment horizontal="center" vertical="top" wrapText="1"/>
    </xf>
    <xf numFmtId="0" fontId="53" fillId="0" borderId="14" xfId="0" applyFont="1" applyBorder="1" applyNumberFormat="1">
      <alignment horizontal="center" vertical="center"/>
    </xf>
    <xf numFmtId="0" fontId="53" fillId="43" borderId="14" xfId="0" applyFont="1" applyFill="1" applyBorder="1" applyNumberFormat="1">
      <alignment horizontal="left" vertical="center" wrapText="1" indent="1"/>
    </xf>
    <xf numFmtId="4" fontId="23" fillId="42" borderId="33" xfId="0" applyFont="1" applyFill="1" applyBorder="1" applyNumberFormat="1">
      <alignment horizontal="right" vertical="center" wrapText="1"/>
      <protection locked="0"/>
    </xf>
    <xf numFmtId="49" fontId="23" fillId="43" borderId="25" xfId="0" applyFont="1" applyFill="1" applyBorder="1" applyNumberFormat="1">
      <alignment horizontal="left" vertical="center" wrapText="1" indent="1"/>
    </xf>
    <xf numFmtId="49" fontId="48" fillId="40" borderId="17" xfId="0" applyFont="1" applyFill="1" applyBorder="1" applyNumberFormat="1">
      <alignment horizontal="left" vertical="center" indent="1"/>
    </xf>
    <xf numFmtId="49" fontId="53" fillId="40" borderId="54" xfId="0" applyFont="1" applyFill="1" applyBorder="1" applyNumberFormat="1">
      <alignment vertical="top" wrapText="1"/>
    </xf>
    <xf numFmtId="49" fontId="110" fillId="40" borderId="54" xfId="0" applyFont="1" applyFill="1" applyBorder="1" applyNumberFormat="1">
      <alignment horizontal="left" vertical="center" indent="1"/>
    </xf>
    <xf numFmtId="49" fontId="23" fillId="38" borderId="77" xfId="0" applyFont="1" applyFill="1" applyBorder="1" applyNumberFormat="1">
      <alignment horizontal="center" vertical="center" wrapText="1"/>
    </xf>
    <xf numFmtId="0" fontId="0" fillId="40" borderId="52" xfId="0" applyFont="1" applyFill="1" applyBorder="1" applyNumberFormat="1">
      <alignment horizontal="left" vertical="center"/>
    </xf>
    <xf numFmtId="49" fontId="48" fillId="40" borderId="53" xfId="0" applyFont="1" applyFill="1" applyBorder="1" applyNumberFormat="1">
      <alignment horizontal="left" vertical="center" indent="1"/>
    </xf>
    <xf numFmtId="0" fontId="23" fillId="40" borderId="52" xfId="0" applyFont="1" applyFill="1" applyBorder="1" applyNumberFormat="1">
      <alignment vertical="center" wrapText="1"/>
    </xf>
    <xf numFmtId="0" fontId="23" fillId="40" borderId="53" xfId="0" applyFont="1" applyFill="1" applyBorder="1" applyNumberFormat="1">
      <alignment vertical="center" wrapText="1"/>
    </xf>
    <xf numFmtId="0" fontId="23" fillId="40" borderId="55" xfId="0" applyFont="1" applyFill="1" applyBorder="1" applyNumberFormat="1">
      <alignment vertical="center" wrapText="1"/>
    </xf>
    <xf numFmtId="49" fontId="0" fillId="38" borderId="38" xfId="0" applyFont="1" applyFill="1" applyBorder="1" applyNumberFormat="1">
      <alignment vertical="top"/>
    </xf>
    <xf numFmtId="49" fontId="0" fillId="0" borderId="38" xfId="0" applyFont="1" applyBorder="1" applyNumberFormat="1">
      <alignment vertical="top"/>
    </xf>
    <xf numFmtId="49" fontId="23" fillId="43" borderId="19" xfId="0" applyFont="1" applyFill="1" applyBorder="1" applyNumberFormat="1">
      <alignment vertical="center" wrapText="1"/>
    </xf>
    <xf numFmtId="49" fontId="0" fillId="42" borderId="38" xfId="0" applyFont="1" applyFill="1" applyBorder="1" applyNumberFormat="1">
      <alignment vertical="top"/>
      <protection locked="0"/>
    </xf>
    <xf numFmtId="49" fontId="128" fillId="0" borderId="14" xfId="0" applyFont="1" applyBorder="1" applyNumberFormat="1">
      <alignment horizontal="center" vertical="center" wrapText="1"/>
    </xf>
    <xf numFmtId="49" fontId="0" fillId="42" borderId="19" xfId="0" applyFont="1" applyFill="1" applyBorder="1" applyNumberFormat="1">
      <alignment vertical="top"/>
      <protection locked="0"/>
    </xf>
    <xf numFmtId="14" fontId="23" fillId="43" borderId="38" xfId="0" applyFont="1" applyFill="1" applyBorder="1" applyNumberFormat="1">
      <alignment horizontal="left" vertical="center" wrapText="1" indent="1"/>
    </xf>
    <xf numFmtId="49" fontId="23" fillId="43" borderId="38" xfId="0" applyFont="1" applyFill="1" applyBorder="1" applyNumberFormat="1">
      <alignment vertical="center" wrapText="1"/>
    </xf>
    <xf numFmtId="49" fontId="23" fillId="43" borderId="25" xfId="0" applyFont="1" applyFill="1" applyBorder="1" applyNumberFormat="1">
      <alignment vertical="center" wrapText="1"/>
    </xf>
    <xf numFmtId="49" fontId="0" fillId="42" borderId="25" xfId="0" applyFont="1" applyFill="1" applyBorder="1" applyNumberFormat="1">
      <alignment vertical="top"/>
      <protection locked="0"/>
    </xf>
    <xf numFmtId="49" fontId="128" fillId="0" borderId="38" xfId="0" applyFont="1" applyBorder="1" applyNumberFormat="1">
      <alignment horizontal="center" vertical="top" wrapText="1"/>
    </xf>
    <xf numFmtId="0" fontId="53" fillId="0" borderId="15" xfId="0" applyFont="1" applyBorder="1" applyNumberFormat="1">
      <alignment horizontal="center" vertical="center"/>
    </xf>
    <xf numFmtId="0" fontId="108" fillId="0" borderId="49" xfId="0" applyFont="1" applyBorder="1" applyNumberFormat="1">
      <alignment horizontal="left" vertical="center" indent="1"/>
    </xf>
    <xf numFmtId="49" fontId="23" fillId="0" borderId="58" xfId="0" applyFont="1" applyBorder="1" applyNumberFormat="1">
      <alignment horizontal="center" vertical="center"/>
    </xf>
    <xf numFmtId="0" fontId="23" fillId="0" borderId="58" xfId="0" applyFont="1" applyBorder="1" applyNumberFormat="1">
      <alignment horizontal="right" vertical="center"/>
    </xf>
    <xf numFmtId="0" fontId="23" fillId="0" borderId="58" xfId="0" applyFont="1" applyBorder="1" applyNumberFormat="1">
      <alignment horizontal="center" vertical="center"/>
    </xf>
    <xf numFmtId="0" fontId="23" fillId="0" borderId="17" xfId="0" applyFont="1" applyBorder="1" applyNumberFormat="1">
      <alignment horizontal="right" vertical="center"/>
    </xf>
    <xf numFmtId="0" fontId="23" fillId="0" borderId="15" xfId="0" applyFont="1" applyBorder="1" applyNumberFormat="1">
      <alignment horizontal="right" vertical="center"/>
    </xf>
    <xf numFmtId="49" fontId="0" fillId="0" borderId="0" xfId="0" applyFont="1" applyNumberFormat="1">
      <alignment vertical="top"/>
    </xf>
    <xf numFmtId="0" fontId="23" fillId="37" borderId="14" xfId="0" applyFont="1" applyFill="1" applyBorder="1" applyNumberFormat="1">
      <alignment horizontal="center" vertical="center"/>
    </xf>
    <xf numFmtId="0" fontId="23" fillId="43" borderId="14" xfId="0" applyFont="1" applyFill="1" applyBorder="1" applyNumberFormat="1">
      <alignment horizontal="left" vertical="center" wrapText="1" indent="1"/>
    </xf>
    <xf numFmtId="0" fontId="23" fillId="42" borderId="14" xfId="0" applyFont="1" applyFill="1" applyBorder="1" applyNumberFormat="1">
      <alignment horizontal="left" vertical="center" wrapText="1" indent="1"/>
      <protection locked="0"/>
    </xf>
    <xf numFmtId="49" fontId="23" fillId="39" borderId="14" xfId="0" applyFont="1" applyFill="1" applyBorder="1" applyNumberFormat="1">
      <alignment horizontal="left" vertical="center" indent="1"/>
      <protection locked="0"/>
    </xf>
    <xf numFmtId="0" fontId="23" fillId="34" borderId="14" xfId="0" applyFont="1" applyFill="1" applyBorder="1" applyNumberFormat="1">
      <alignment horizontal="right" vertical="center"/>
    </xf>
    <xf numFmtId="4" fontId="23" fillId="39" borderId="14" xfId="0" applyFont="1" applyFill="1" applyBorder="1" applyNumberFormat="1">
      <alignment horizontal="right" vertical="center"/>
      <protection locked="0"/>
    </xf>
    <xf numFmtId="49" fontId="48" fillId="40" borderId="59" xfId="0" applyFont="1" applyFill="1" applyBorder="1" applyNumberFormat="1">
      <alignment horizontal="left" vertical="center" indent="1"/>
    </xf>
    <xf numFmtId="49" fontId="48" fillId="40" borderId="53" xfId="0" applyFont="1" applyFill="1" applyBorder="1" applyNumberFormat="1">
      <alignment horizontal="left" vertical="center" indent="1"/>
    </xf>
    <xf numFmtId="49" fontId="48" fillId="40" borderId="53" xfId="0" applyFont="1" applyFill="1" applyBorder="1" applyNumberFormat="1">
      <alignment horizontal="left" vertical="center" indent="1"/>
    </xf>
    <xf numFmtId="49" fontId="48" fillId="54" borderId="15" xfId="0" applyFont="1" applyFill="1" applyBorder="1" applyNumberFormat="1">
      <alignment horizontal="left" vertical="center" indent="1"/>
    </xf>
    <xf numFmtId="49" fontId="23" fillId="0" borderId="0" xfId="0" applyFont="1" applyNumberFormat="1">
      <alignment vertical="top"/>
    </xf>
    <xf numFmtId="49" fontId="23" fillId="0" borderId="19" xfId="0" applyFont="1" applyBorder="1" applyNumberFormat="1">
      <alignment horizontal="center" vertical="center" wrapText="1"/>
    </xf>
    <xf numFmtId="49" fontId="23" fillId="0" borderId="38" xfId="0" applyFont="1" applyBorder="1" applyNumberFormat="1">
      <alignment horizontal="center" vertical="center" wrapText="1"/>
    </xf>
    <xf numFmtId="0" fontId="54" fillId="0" borderId="0" xfId="0" applyFont="1" applyNumberFormat="1">
      <alignment horizontal="center" vertical="center" wrapText="1"/>
    </xf>
    <xf numFmtId="0" fontId="23" fillId="0" borderId="14" xfId="0" applyFont="1" applyBorder="1" applyNumberFormat="1">
      <alignment horizontal="left" vertical="center" wrapText="1"/>
    </xf>
    <xf numFmtId="0" fontId="55" fillId="0" borderId="0" xfId="0" applyFont="1" applyNumberFormat="1">
      <alignment horizontal="center" vertical="center" wrapText="1"/>
    </xf>
    <xf numFmtId="0" fontId="48" fillId="0" borderId="14" xfId="0" applyFont="1" applyBorder="1" applyNumberFormat="1">
      <alignment horizontal="left" vertical="center" indent="1"/>
    </xf>
    <xf numFmtId="0" fontId="54" fillId="0" borderId="0" xfId="0" applyFont="1" applyNumberFormat="1">
      <alignment horizontal="center" vertical="top"/>
    </xf>
    <xf numFmtId="49" fontId="23" fillId="0" borderId="25" xfId="0" applyFont="1" applyBorder="1" applyNumberFormat="1">
      <alignment horizontal="center" vertical="center" wrapText="1"/>
    </xf>
    <xf numFmtId="0" fontId="55" fillId="0" borderId="25" xfId="0" applyFont="1" applyBorder="1" applyNumberFormat="1">
      <alignment vertical="center" wrapText="1"/>
    </xf>
    <xf numFmtId="4" fontId="55" fillId="0" borderId="14" xfId="0" applyFont="1" applyBorder="1" applyNumberFormat="1">
      <alignment horizontal="right" vertical="center" wrapText="1"/>
    </xf>
    <xf numFmtId="2" fontId="55" fillId="0" borderId="25" xfId="0" applyFont="1" applyBorder="1" applyNumberFormat="1">
      <alignment horizontal="center" vertical="center" wrapText="1"/>
    </xf>
    <xf numFmtId="0" fontId="55" fillId="0" borderId="0" xfId="0" applyFont="1" applyNumberFormat="1">
      <alignment horizontal="center" vertical="top"/>
    </xf>
    <xf numFmtId="49" fontId="55" fillId="0" borderId="0" xfId="0" applyFont="1" applyNumberFormat="1">
      <alignment vertical="top"/>
    </xf>
    <xf numFmtId="49" fontId="55" fillId="0" borderId="16" xfId="0" applyFont="1" applyBorder="1" applyNumberFormat="1">
      <alignment horizontal="left" vertical="center"/>
    </xf>
    <xf numFmtId="49" fontId="55" fillId="0" borderId="17" xfId="0" applyFont="1" applyBorder="1" applyNumberFormat="1">
      <alignment horizontal="left" vertical="center" indent="1"/>
    </xf>
    <xf numFmtId="49" fontId="55" fillId="0" borderId="17" xfId="0" applyFont="1" applyBorder="1" applyNumberFormat="1">
      <alignment horizontal="left" vertical="center"/>
    </xf>
    <xf numFmtId="49" fontId="55" fillId="0" borderId="15" xfId="0" applyFont="1" applyBorder="1" applyNumberFormat="1">
      <alignment horizontal="left" vertical="center" indent="1"/>
    </xf>
    <xf numFmtId="0" fontId="55" fillId="0" borderId="14" xfId="0" applyFont="1" applyBorder="1" applyNumberFormat="1">
      <alignment horizontal="left" vertical="center" indent="1"/>
    </xf>
    <xf numFmtId="49" fontId="0" fillId="0" borderId="21" xfId="0" applyFont="1" applyBorder="1" applyNumberFormat="1">
      <alignment vertical="top"/>
    </xf>
    <xf numFmtId="49" fontId="45" fillId="0" borderId="19" xfId="0" applyFont="1" applyBorder="1" applyNumberFormat="1">
      <alignment horizontal="center" vertical="top" wrapText="1"/>
    </xf>
    <xf numFmtId="49" fontId="23" fillId="42" borderId="16" xfId="0" applyFont="1" applyFill="1" applyBorder="1" applyNumberFormat="1">
      <alignment horizontal="left" vertical="center" wrapText="1" indent="1"/>
      <protection locked="0"/>
    </xf>
    <xf numFmtId="49" fontId="0" fillId="0" borderId="15" xfId="0" applyFont="1" applyBorder="1" applyNumberFormat="1">
      <alignment horizontal="center" vertical="center" wrapText="1"/>
    </xf>
    <xf numFmtId="0" fontId="0" fillId="0" borderId="14" xfId="0" applyFont="1" applyBorder="1" applyNumberFormat="1">
      <alignment horizontal="left" vertical="center" wrapText="1"/>
    </xf>
    <xf numFmtId="49" fontId="0" fillId="0" borderId="14" xfId="0" applyFont="1" applyBorder="1" applyNumberFormat="1">
      <alignment horizontal="center" vertical="center"/>
    </xf>
    <xf numFmtId="0" fontId="0" fillId="0" borderId="14" xfId="0" applyFont="1" applyBorder="1" applyNumberFormat="1">
      <alignment horizontal="center" vertical="center" wrapText="1"/>
    </xf>
    <xf numFmtId="4" fontId="0" fillId="38" borderId="14" xfId="0" applyFont="1" applyFill="1" applyBorder="1" applyNumberFormat="1">
      <alignment horizontal="right" vertical="center" wrapText="1"/>
    </xf>
    <xf numFmtId="49" fontId="23" fillId="0" borderId="38" xfId="0" applyFont="1" applyBorder="1" applyNumberFormat="1">
      <alignment horizontal="center" vertical="top" wrapText="1"/>
    </xf>
    <xf numFmtId="0" fontId="0" fillId="42" borderId="14" xfId="0" applyFont="1" applyFill="1" applyBorder="1" applyNumberFormat="1">
      <alignment horizontal="left" vertical="center" wrapText="1"/>
      <protection locked="0"/>
    </xf>
    <xf numFmtId="49" fontId="0" fillId="42" borderId="16" xfId="0" applyFont="1" applyFill="1" applyBorder="1" applyNumberFormat="1">
      <alignment horizontal="left" vertical="center" wrapText="1"/>
      <protection locked="0"/>
    </xf>
    <xf numFmtId="0" fontId="0" fillId="0" borderId="14" xfId="0" applyFont="1" applyBorder="1" applyNumberFormat="1">
      <alignment vertical="center" wrapText="1"/>
    </xf>
    <xf numFmtId="49" fontId="0" fillId="0" borderId="31" xfId="0" applyFont="1" applyBorder="1" applyNumberFormat="1">
      <alignment horizontal="center" vertical="center" wrapText="1"/>
    </xf>
    <xf numFmtId="49" fontId="0" fillId="42" borderId="14" xfId="0" applyFont="1" applyFill="1" applyBorder="1" applyNumberFormat="1">
      <alignment horizontal="left" vertical="center" wrapText="1"/>
      <protection locked="0"/>
    </xf>
    <xf numFmtId="4" fontId="0" fillId="42" borderId="14" xfId="0" applyFont="1" applyFill="1" applyBorder="1" applyNumberFormat="1">
      <alignment horizontal="right" vertical="center" wrapText="1"/>
      <protection locked="0"/>
    </xf>
    <xf numFmtId="49" fontId="0" fillId="42" borderId="14" xfId="0" applyFont="1" applyFill="1" applyBorder="1" applyNumberFormat="1">
      <alignment horizontal="center" vertical="center" wrapText="1"/>
      <protection locked="0"/>
    </xf>
    <xf numFmtId="4" fontId="54" fillId="0" borderId="14" xfId="0" applyFont="1" applyBorder="1" applyNumberFormat="1">
      <alignment horizontal="right" vertical="center" wrapText="1"/>
    </xf>
    <xf numFmtId="49" fontId="0" fillId="42" borderId="14" xfId="0" applyFont="1" applyFill="1" applyBorder="1" applyNumberFormat="1">
      <alignment horizontal="left" vertical="center" wrapText="1"/>
      <protection locked="0"/>
    </xf>
    <xf numFmtId="49" fontId="0" fillId="40" borderId="32" xfId="0" applyFont="1" applyFill="1" applyBorder="1" applyNumberFormat="1">
      <alignment horizontal="center" vertical="center"/>
    </xf>
    <xf numFmtId="49" fontId="0" fillId="40" borderId="17" xfId="0" applyFont="1" applyFill="1" applyBorder="1" applyNumberFormat="1">
      <alignment horizontal="center" vertical="center"/>
    </xf>
    <xf numFmtId="49" fontId="48" fillId="40" borderId="17" xfId="0" applyFont="1" applyFill="1" applyBorder="1" applyNumberFormat="1">
      <alignment horizontal="left" vertical="center"/>
    </xf>
    <xf numFmtId="49" fontId="48" fillId="40" borderId="15" xfId="0" applyFont="1" applyFill="1" applyBorder="1" applyNumberFormat="1">
      <alignment horizontal="left" vertical="center" indent="1"/>
    </xf>
    <xf numFmtId="49" fontId="23" fillId="0" borderId="25" xfId="0" applyFont="1" applyBorder="1" applyNumberFormat="1">
      <alignment horizontal="center" vertical="top" wrapText="1"/>
    </xf>
    <xf numFmtId="49" fontId="23" fillId="42" borderId="14" xfId="0" applyFont="1" applyFill="1" applyBorder="1" applyNumberFormat="1">
      <alignment horizontal="left" vertical="center" wrapText="1" indent="1"/>
      <protection locked="0"/>
    </xf>
    <xf numFmtId="49" fontId="0" fillId="0" borderId="24" xfId="0" applyFont="1" applyBorder="1" applyNumberFormat="1">
      <alignment vertical="top"/>
    </xf>
    <xf numFmtId="49" fontId="0" fillId="0" borderId="26" xfId="0" applyFont="1" applyBorder="1" applyNumberFormat="1">
      <alignment vertical="top"/>
    </xf>
    <xf numFmtId="49" fontId="0" fillId="0" borderId="0" xfId="0" applyFont="1" applyNumberFormat="1">
      <alignment horizontal="left" vertical="top"/>
    </xf>
    <xf numFmtId="0" fontId="0" fillId="0" borderId="0" xfId="0" applyFont="1" applyNumberFormat="1">
      <alignment vertical="center"/>
    </xf>
    <xf numFmtId="49" fontId="0" fillId="0" borderId="0" xfId="0" applyFont="1" applyNumberFormat="1">
      <alignment vertical="center"/>
    </xf>
    <xf numFmtId="0" fontId="45" fillId="0" borderId="0" xfId="0" applyFont="1" applyNumberFormat="1">
      <alignment horizontal="center" vertical="center" wrapText="1"/>
    </xf>
    <xf numFmtId="0" fontId="0" fillId="0" borderId="14" xfId="0" applyFont="1" applyBorder="1" applyNumberFormat="1">
      <alignment horizontal="center" vertical="center"/>
    </xf>
    <xf numFmtId="0" fontId="23" fillId="43" borderId="14" xfId="0" applyFont="1" applyFill="1" applyBorder="1" applyNumberFormat="1">
      <alignment horizontal="left" vertical="top" wrapText="1"/>
    </xf>
    <xf numFmtId="49" fontId="23" fillId="39" borderId="14" xfId="0" applyFont="1" applyFill="1" applyBorder="1" applyNumberFormat="1">
      <alignment horizontal="left" vertical="center" wrapText="1"/>
      <protection locked="0"/>
    </xf>
    <xf numFmtId="0" fontId="0" fillId="43" borderId="14" xfId="0" applyFont="1" applyFill="1" applyBorder="1" applyNumberFormat="1">
      <alignment horizontal="left" vertical="center" wrapText="1"/>
      <protection locked="0"/>
    </xf>
    <xf numFmtId="49" fontId="0" fillId="42" borderId="14" xfId="0" applyFont="1" applyFill="1" applyBorder="1" applyNumberFormat="1">
      <alignment horizontal="left" vertical="center" wrapText="1"/>
      <protection locked="0"/>
    </xf>
    <xf numFmtId="49" fontId="23" fillId="0" borderId="14" xfId="0" applyFont="1" applyBorder="1" applyNumberFormat="1">
      <alignment horizontal="center" vertical="center" wrapText="1"/>
    </xf>
    <xf numFmtId="49" fontId="0" fillId="42" borderId="14" xfId="0" applyFont="1" applyFill="1" applyBorder="1" applyNumberFormat="1">
      <alignment horizontal="left" vertical="center" wrapText="1"/>
      <protection locked="0"/>
    </xf>
    <xf numFmtId="49" fontId="23" fillId="39" borderId="14" xfId="0" applyFont="1" applyFill="1" applyBorder="1" applyNumberFormat="1">
      <alignment horizontal="left" vertical="center" wrapText="1"/>
      <protection locked="0"/>
    </xf>
    <xf numFmtId="0" fontId="0" fillId="0" borderId="0" xfId="0" applyFont="1" applyNumberFormat="1">
      <alignment horizontal="left" vertical="center" indent="1"/>
    </xf>
    <xf numFmtId="0" fontId="0" fillId="0" borderId="0" xfId="0" applyFont="1" applyNumberFormat="1">
      <alignment vertical="center"/>
    </xf>
    <xf numFmtId="0" fontId="48" fillId="40" borderId="16" xfId="0" applyFont="1" applyFill="1" applyBorder="1" applyNumberFormat="1">
      <alignment horizontal="left" vertical="center"/>
    </xf>
    <xf numFmtId="0" fontId="48" fillId="40" borderId="17" xfId="0" applyFont="1" applyFill="1" applyBorder="1" applyNumberFormat="1">
      <alignment horizontal="left" vertical="center"/>
    </xf>
    <xf numFmtId="0" fontId="48" fillId="40" borderId="15" xfId="0" applyFont="1" applyFill="1" applyBorder="1" applyNumberFormat="1">
      <alignment horizontal="left" vertical="center"/>
    </xf>
    <xf numFmtId="49" fontId="0" fillId="0" borderId="14" xfId="0" applyFont="1" applyBorder="1" applyNumberFormat="1">
      <alignment vertical="top"/>
    </xf>
    <xf numFmtId="49" fontId="0" fillId="0" borderId="14" xfId="0" applyFont="1" applyBorder="1" applyNumberFormat="1">
      <alignment horizontal="left" vertical="top"/>
    </xf>
    <xf numFmtId="49" fontId="0" fillId="43" borderId="14" xfId="0" applyFont="1" applyFill="1" applyBorder="1" applyNumberFormat="1">
      <alignment horizontal="left" vertical="top"/>
    </xf>
    <xf numFmtId="49" fontId="0" fillId="39" borderId="14" xfId="0" applyFont="1" applyFill="1" applyBorder="1" applyNumberFormat="1">
      <alignment horizontal="left" vertical="top"/>
      <protection locked="0"/>
    </xf>
    <xf numFmtId="49" fontId="0" fillId="43" borderId="14" xfId="0" applyFont="1" applyFill="1" applyBorder="1" applyNumberFormat="1">
      <alignment horizontal="left" vertical="center" wrapText="1"/>
      <protection locked="0"/>
    </xf>
    <xf numFmtId="0" fontId="0" fillId="40" borderId="17" xfId="0" applyFont="1" applyFill="1" applyBorder="1" applyNumberFormat="1">
      <alignment vertical="center"/>
    </xf>
    <xf numFmtId="49" fontId="0" fillId="0" borderId="38" xfId="0" applyFont="1" applyBorder="1" applyNumberFormat="1">
      <alignment horizontal="left" vertical="top"/>
    </xf>
    <xf numFmtId="0" fontId="23" fillId="43" borderId="38" xfId="0" applyFont="1" applyFill="1" applyBorder="1" applyNumberFormat="1">
      <alignment horizontal="center" vertical="top" wrapText="1"/>
    </xf>
    <xf numFmtId="49" fontId="0" fillId="43" borderId="38" xfId="0" applyFont="1" applyFill="1" applyBorder="1" applyNumberFormat="1">
      <alignment horizontal="left" vertical="top"/>
    </xf>
    <xf numFmtId="49" fontId="0" fillId="39" borderId="38" xfId="0" applyFont="1" applyFill="1" applyBorder="1" applyNumberFormat="1">
      <alignment horizontal="left" vertical="top"/>
      <protection locked="0"/>
    </xf>
    <xf numFmtId="49" fontId="23" fillId="43" borderId="0" xfId="0" applyFont="1" applyFill="1" applyNumberFormat="1">
      <alignment horizontal="center" vertical="center" wrapText="1"/>
    </xf>
    <xf numFmtId="0" fontId="48" fillId="0" borderId="38" xfId="0" applyFont="1" applyBorder="1" applyNumberFormat="1">
      <alignment horizontal="left" vertical="center"/>
    </xf>
    <xf numFmtId="49" fontId="0" fillId="43" borderId="38" xfId="0" applyFont="1" applyFill="1" applyBorder="1" applyNumberFormat="1">
      <alignment horizontal="left" vertical="center" wrapText="1"/>
      <protection locked="0"/>
    </xf>
    <xf numFmtId="49" fontId="23" fillId="43" borderId="38" xfId="0" applyFont="1" applyFill="1" applyBorder="1" applyNumberFormat="1">
      <alignment horizontal="center" vertical="center" wrapText="1"/>
    </xf>
    <xf numFmtId="0" fontId="48" fillId="39" borderId="38" xfId="0" applyFont="1" applyFill="1" applyBorder="1" applyNumberFormat="1">
      <alignment horizontal="left" vertical="center"/>
      <protection locked="0"/>
    </xf>
    <xf numFmtId="0" fontId="48" fillId="42" borderId="38" xfId="0" applyFont="1" applyFill="1" applyBorder="1" applyNumberFormat="1">
      <alignment horizontal="left" vertical="center"/>
      <protection locked="0"/>
    </xf>
    <xf numFmtId="49" fontId="55" fillId="0" borderId="14" xfId="0" applyFont="1" applyBorder="1" applyNumberFormat="1">
      <alignment horizontal="center" vertical="center" wrapText="1"/>
    </xf>
    <xf numFmtId="49" fontId="55" fillId="0" borderId="16" xfId="0" applyFont="1" applyBorder="1" applyNumberFormat="1">
      <alignment horizontal="left" vertical="center" wrapText="1"/>
    </xf>
    <xf numFmtId="0" fontId="55" fillId="0" borderId="16" xfId="0" applyFont="1" applyBorder="1" applyNumberFormat="1">
      <alignment horizontal="left" vertical="center"/>
    </xf>
    <xf numFmtId="0" fontId="55" fillId="0" borderId="17" xfId="0" applyFont="1" applyBorder="1" applyNumberFormat="1">
      <alignment horizontal="left" vertical="center"/>
    </xf>
    <xf numFmtId="0" fontId="48" fillId="40" borderId="31" xfId="0" applyFont="1" applyFill="1" applyBorder="1" applyNumberFormat="1">
      <alignment horizontal="left" vertical="center"/>
    </xf>
    <xf numFmtId="49" fontId="0" fillId="0" borderId="0" xfId="0" applyFont="1" applyNumberFormat="1">
      <alignment vertical="top"/>
    </xf>
    <xf numFmtId="49" fontId="0" fillId="39" borderId="38" xfId="0" applyFont="1" applyFill="1" applyBorder="1" applyNumberFormat="1">
      <alignment vertical="top"/>
      <protection locked="0"/>
    </xf>
    <xf numFmtId="0" fontId="0" fillId="0" borderId="0" xfId="0" applyFont="1" applyNumberFormat="1">
      <alignment vertical="center"/>
    </xf>
    <xf numFmtId="0" fontId="0" fillId="0" borderId="14" xfId="0" applyFont="1" applyBorder="1" applyNumberFormat="1">
      <alignment horizontal="center" vertical="center"/>
    </xf>
    <xf numFmtId="0" fontId="0" fillId="0" borderId="39" xfId="0" applyFont="1" applyBorder="1" applyNumberFormat="1">
      <alignment horizontal="center" vertical="center"/>
    </xf>
    <xf numFmtId="0" fontId="0" fillId="0" borderId="21" xfId="0" applyFont="1" applyBorder="1" applyNumberFormat="1">
      <alignment horizontal="center" vertical="center"/>
    </xf>
    <xf numFmtId="0" fontId="0" fillId="0" borderId="21" xfId="0" applyFont="1" applyBorder="1" applyNumberFormat="1">
      <alignment horizontal="left" vertical="center" wrapText="1"/>
    </xf>
    <xf numFmtId="49" fontId="0" fillId="0" borderId="21" xfId="0" applyFont="1" applyBorder="1" applyNumberFormat="1">
      <alignment horizontal="left" vertical="center" wrapText="1"/>
    </xf>
    <xf numFmtId="49" fontId="23" fillId="0" borderId="21" xfId="0" applyFont="1" applyBorder="1" applyNumberFormat="1">
      <alignment horizontal="center" vertical="center" wrapText="1"/>
    </xf>
    <xf numFmtId="49" fontId="0" fillId="0" borderId="21" xfId="0" applyFont="1" applyBorder="1" applyNumberFormat="1">
      <alignment horizontal="left" vertical="center" wrapText="1"/>
    </xf>
    <xf numFmtId="0" fontId="0" fillId="0" borderId="24" xfId="0" applyFont="1" applyBorder="1" applyNumberFormat="1">
      <alignment horizontal="center" vertical="center"/>
    </xf>
    <xf numFmtId="0" fontId="0" fillId="0" borderId="0" xfId="0" applyFont="1" applyNumberFormat="1">
      <alignment horizontal="center" vertical="center"/>
    </xf>
    <xf numFmtId="0" fontId="0" fillId="0" borderId="0" xfId="0" applyFont="1" applyNumberFormat="1">
      <alignment horizontal="left" vertical="center" wrapText="1"/>
    </xf>
    <xf numFmtId="49" fontId="0" fillId="0" borderId="0" xfId="0" applyFont="1" applyNumberFormat="1">
      <alignment horizontal="left" vertical="center" wrapText="1"/>
    </xf>
    <xf numFmtId="49" fontId="0" fillId="0" borderId="0" xfId="0" applyFont="1" applyNumberFormat="1">
      <alignment horizontal="left" vertical="top"/>
    </xf>
    <xf numFmtId="49" fontId="23" fillId="0" borderId="0" xfId="0" applyFont="1" applyNumberFormat="1">
      <alignment horizontal="center" vertical="center" wrapText="1"/>
    </xf>
    <xf numFmtId="0" fontId="0" fillId="0" borderId="0" xfId="0" applyFont="1" applyNumberFormat="1">
      <alignment vertical="center"/>
    </xf>
    <xf numFmtId="0" fontId="0" fillId="0" borderId="29" xfId="0" applyFont="1" applyBorder="1" applyNumberFormat="1">
      <alignment vertical="center"/>
    </xf>
    <xf numFmtId="49" fontId="23" fillId="0" borderId="38" xfId="0" applyFont="1" applyBorder="1" applyNumberFormat="1">
      <alignment horizontal="center" vertical="center"/>
    </xf>
    <xf numFmtId="49" fontId="23" fillId="0" borderId="38" xfId="0" applyFont="1" applyBorder="1" applyNumberFormat="1">
      <alignment vertical="center" wrapText="1"/>
    </xf>
    <xf numFmtId="0" fontId="23" fillId="0" borderId="26" xfId="0" applyFont="1" applyBorder="1" applyNumberFormat="1">
      <alignment horizontal="center" vertical="center"/>
    </xf>
    <xf numFmtId="49" fontId="23" fillId="0" borderId="19" xfId="0" applyFont="1" applyBorder="1" applyNumberFormat="1">
      <alignment horizontal="left" vertical="center" wrapText="1"/>
    </xf>
    <xf numFmtId="49" fontId="23" fillId="0" borderId="19" xfId="0" applyFont="1" applyBorder="1" applyNumberFormat="1">
      <alignment horizontal="left" vertical="center" wrapText="1"/>
    </xf>
    <xf numFmtId="49" fontId="45" fillId="0" borderId="38" xfId="0" applyFont="1" applyBorder="1" applyNumberFormat="1">
      <alignment vertical="center" wrapText="1"/>
    </xf>
    <xf numFmtId="0" fontId="23" fillId="43" borderId="19" xfId="0" applyFont="1" applyFill="1" applyBorder="1" applyNumberFormat="1">
      <alignment horizontal="left" vertical="center" wrapText="1"/>
    </xf>
    <xf numFmtId="49" fontId="23" fillId="0" borderId="19" xfId="0" applyFont="1" applyBorder="1" applyNumberFormat="1">
      <alignment horizontal="center" vertical="center" wrapText="1"/>
    </xf>
    <xf numFmtId="49" fontId="23" fillId="43" borderId="19" xfId="0" applyFont="1" applyFill="1" applyBorder="1" applyNumberFormat="1">
      <alignment horizontal="left" vertical="center" wrapText="1"/>
    </xf>
    <xf numFmtId="0" fontId="23" fillId="0" borderId="19" xfId="0" applyFont="1" applyBorder="1" applyNumberFormat="1">
      <alignment horizontal="left" vertical="center" wrapText="1"/>
    </xf>
    <xf numFmtId="49" fontId="23" fillId="0" borderId="19" xfId="0" applyFont="1" applyBorder="1" applyNumberFormat="1">
      <alignment horizontal="center" vertical="center" wrapText="1"/>
    </xf>
    <xf numFmtId="49" fontId="23" fillId="43" borderId="19" xfId="0" applyFont="1" applyFill="1" applyBorder="1" applyNumberFormat="1">
      <alignment vertical="center" wrapText="1"/>
    </xf>
    <xf numFmtId="0" fontId="23" fillId="0" borderId="38" xfId="0" applyFont="1" applyBorder="1" applyNumberFormat="1">
      <alignment horizontal="left" vertical="center" wrapText="1"/>
    </xf>
    <xf numFmtId="49" fontId="23" fillId="0" borderId="38" xfId="0" applyFont="1" applyBorder="1" applyNumberFormat="1">
      <alignment horizontal="left" vertical="center" wrapText="1"/>
    </xf>
    <xf numFmtId="0" fontId="23" fillId="43" borderId="38" xfId="0" applyFont="1" applyFill="1" applyBorder="1" applyNumberFormat="1">
      <alignment horizontal="left" vertical="center" wrapText="1"/>
    </xf>
    <xf numFmtId="49" fontId="23" fillId="0" borderId="38" xfId="0" applyFont="1" applyBorder="1" applyNumberFormat="1">
      <alignment horizontal="center" vertical="center" wrapText="1"/>
    </xf>
    <xf numFmtId="0" fontId="23" fillId="0" borderId="25" xfId="0" applyFont="1" applyBorder="1" applyNumberFormat="1">
      <alignment horizontal="left" vertical="center" wrapText="1"/>
    </xf>
    <xf numFmtId="0" fontId="48" fillId="0" borderId="25" xfId="0" applyFont="1" applyBorder="1" applyNumberFormat="1">
      <alignment horizontal="left" vertical="center"/>
    </xf>
    <xf numFmtId="0" fontId="48" fillId="40" borderId="16" xfId="0" applyFont="1" applyFill="1" applyBorder="1" applyNumberFormat="1">
      <alignment horizontal="left" vertical="center"/>
    </xf>
    <xf numFmtId="0" fontId="48" fillId="40" borderId="17" xfId="0" applyFont="1" applyFill="1" applyBorder="1" applyNumberFormat="1">
      <alignment horizontal="left" vertical="center"/>
    </xf>
    <xf numFmtId="0" fontId="48" fillId="40" borderId="15" xfId="0" applyFont="1" applyFill="1" applyBorder="1" applyNumberFormat="1">
      <alignment horizontal="left" vertical="center"/>
    </xf>
    <xf numFmtId="49" fontId="23" fillId="0" borderId="38" xfId="0" applyFont="1" applyBorder="1" applyNumberFormat="1">
      <alignment horizontal="center" vertical="center" wrapText="1"/>
    </xf>
    <xf numFmtId="0" fontId="48" fillId="40" borderId="39" xfId="0" applyFont="1" applyFill="1" applyBorder="1" applyNumberFormat="1">
      <alignment horizontal="left" vertical="center"/>
    </xf>
    <xf numFmtId="0" fontId="48" fillId="40" borderId="21" xfId="0" applyFont="1" applyFill="1" applyBorder="1" applyNumberFormat="1">
      <alignment horizontal="left" vertical="center"/>
    </xf>
    <xf numFmtId="0" fontId="48" fillId="40" borderId="22" xfId="0" applyFont="1" applyFill="1" applyBorder="1" applyNumberFormat="1">
      <alignment horizontal="left" vertical="center"/>
    </xf>
    <xf numFmtId="49" fontId="23" fillId="42" borderId="19" xfId="0" applyFont="1" applyFill="1" applyBorder="1" applyNumberFormat="1">
      <alignment horizontal="left" vertical="center" wrapText="1"/>
      <protection locked="0"/>
    </xf>
    <xf numFmtId="49" fontId="45" fillId="0" borderId="38" xfId="0" applyFont="1" applyBorder="1" applyNumberFormat="1">
      <alignment horizontal="center" vertical="center" wrapText="1"/>
    </xf>
    <xf numFmtId="0" fontId="48" fillId="40" borderId="39" xfId="0" applyFont="1" applyFill="1" applyBorder="1" applyNumberFormat="1">
      <alignment vertical="center"/>
    </xf>
    <xf numFmtId="0" fontId="48" fillId="0" borderId="38" xfId="0" applyFont="1" applyBorder="1" applyNumberFormat="1">
      <alignment horizontal="left" vertical="center"/>
    </xf>
    <xf numFmtId="49" fontId="23" fillId="39" borderId="19" xfId="0" applyFont="1" applyFill="1" applyBorder="1" applyNumberFormat="1">
      <alignment horizontal="left" vertical="center" wrapText="1"/>
      <protection locked="0"/>
    </xf>
    <xf numFmtId="49" fontId="72" fillId="40" borderId="16" xfId="0" applyFont="1" applyFill="1" applyBorder="1" applyNumberFormat="1">
      <alignment vertical="top"/>
    </xf>
    <xf numFmtId="49" fontId="72" fillId="40" borderId="17" xfId="0" applyFont="1" applyFill="1" applyBorder="1" applyNumberFormat="1">
      <alignment vertical="top"/>
    </xf>
    <xf numFmtId="49" fontId="23" fillId="0" borderId="21" xfId="0" applyFont="1" applyBorder="1" applyNumberFormat="1">
      <alignment horizontal="left" vertical="center" wrapText="1"/>
    </xf>
    <xf numFmtId="49" fontId="23" fillId="0" borderId="21" xfId="0" applyFont="1" applyBorder="1" applyNumberFormat="1">
      <alignment horizontal="left" vertical="center" wrapText="1"/>
    </xf>
    <xf numFmtId="49" fontId="45" fillId="0" borderId="21" xfId="0" applyFont="1" applyBorder="1" applyNumberFormat="1">
      <alignment vertical="center" wrapText="1"/>
    </xf>
    <xf numFmtId="49" fontId="23" fillId="0" borderId="0" xfId="0" applyFont="1" applyNumberFormat="1">
      <alignment horizontal="left" vertical="center" wrapText="1"/>
    </xf>
    <xf numFmtId="49" fontId="45" fillId="0" borderId="0" xfId="0" applyFont="1" applyNumberFormat="1">
      <alignment vertical="center" wrapText="1"/>
    </xf>
    <xf numFmtId="0" fontId="48" fillId="0" borderId="0" xfId="0" applyFont="1" applyNumberFormat="1">
      <alignment horizontal="left" vertical="center"/>
    </xf>
    <xf numFmtId="49" fontId="45" fillId="0" borderId="0" xfId="0" applyFont="1" applyNumberFormat="1">
      <alignment horizontal="center" vertical="center" wrapText="1"/>
    </xf>
    <xf numFmtId="49" fontId="100" fillId="0" borderId="14" xfId="0" applyFont="1" applyBorder="1" applyNumberFormat="1">
      <alignment vertical="top" wrapText="1"/>
    </xf>
    <xf numFmtId="49" fontId="96" fillId="0" borderId="14" xfId="0" applyFont="1" applyBorder="1" applyNumberFormat="1">
      <alignment horizontal="center" vertical="top" wrapText="1"/>
    </xf>
    <xf numFmtId="49" fontId="96" fillId="34" borderId="14" xfId="0" applyFont="1" applyFill="1" applyBorder="1" applyNumberFormat="1">
      <alignment horizontal="center" vertical="top"/>
    </xf>
    <xf numFmtId="49" fontId="96" fillId="0" borderId="14" xfId="0" applyFont="1" applyBorder="1" applyNumberFormat="1">
      <alignment vertical="top" wrapText="1"/>
    </xf>
    <xf numFmtId="0" fontId="96" fillId="0" borderId="14" xfId="0" applyFont="1" applyBorder="1" applyNumberFormat="1">
      <alignment vertical="top" wrapText="1"/>
    </xf>
    <xf numFmtId="49" fontId="96" fillId="0" borderId="14" xfId="0" applyFont="1" applyBorder="1" applyNumberFormat="1">
      <alignment vertical="top"/>
    </xf>
    <xf numFmtId="49" fontId="100" fillId="0" borderId="14" xfId="0" applyFont="1" applyBorder="1" applyNumberFormat="1">
      <alignment vertical="top"/>
    </xf>
    <xf numFmtId="0" fontId="100" fillId="0" borderId="14" xfId="0" applyFont="1" applyBorder="1" applyNumberFormat="1">
      <alignment vertical="top" wrapText="1"/>
    </xf>
    <xf numFmtId="49" fontId="100" fillId="0" borderId="0" xfId="0" applyFont="1" applyNumberFormat="1">
      <alignment vertical="top" wrapText="1"/>
    </xf>
    <xf numFmtId="49" fontId="100" fillId="0" borderId="0" xfId="0" applyFont="1" applyNumberFormat="1">
      <alignment vertical="top"/>
    </xf>
    <xf numFmtId="49" fontId="100" fillId="0" borderId="0" xfId="0" applyFont="1" applyNumberFormat="1">
      <alignment horizontal="center" vertical="top" wrapText="1"/>
    </xf>
    <xf numFmtId="49" fontId="100" fillId="0" borderId="14" xfId="0" applyFont="1" applyBorder="1" applyNumberFormat="1">
      <alignment horizontal="center" vertical="top" wrapText="1"/>
    </xf>
    <xf numFmtId="49" fontId="100" fillId="0" borderId="14" xfId="0" applyFont="1" applyBorder="1" applyNumberFormat="1">
      <alignment horizontal="center" vertical="top" wrapText="1"/>
    </xf>
    <xf numFmtId="49" fontId="100" fillId="34" borderId="14" xfId="0" applyFont="1" applyFill="1" applyBorder="1" applyNumberFormat="1">
      <alignment horizontal="center" vertical="top" wrapText="1"/>
    </xf>
    <xf numFmtId="49" fontId="96" fillId="34" borderId="14" xfId="0" applyFont="1" applyFill="1" applyBorder="1" applyNumberFormat="1">
      <alignment horizontal="center" vertical="top" wrapText="1"/>
    </xf>
    <xf numFmtId="49" fontId="100" fillId="0" borderId="14" xfId="0" applyFont="1" applyBorder="1" applyNumberFormat="1">
      <alignment horizontal="left" vertical="top" wrapText="1"/>
    </xf>
    <xf numFmtId="0" fontId="96" fillId="34" borderId="14" xfId="0" applyFont="1" applyFill="1" applyBorder="1" applyNumberFormat="1">
      <alignment horizontal="center" vertical="top" wrapText="1"/>
    </xf>
    <xf numFmtId="0" fontId="100" fillId="34" borderId="14" xfId="0" applyFont="1" applyFill="1" applyBorder="1" applyNumberFormat="1">
      <alignment horizontal="right" vertical="center" wrapText="1"/>
    </xf>
    <xf numFmtId="49" fontId="100" fillId="0" borderId="16" xfId="0" applyFont="1" applyBorder="1" applyNumberFormat="1">
      <alignment horizontal="center" vertical="top" wrapText="1"/>
    </xf>
    <xf numFmtId="49" fontId="100" fillId="0" borderId="17" xfId="0" applyFont="1" applyBorder="1" applyNumberFormat="1">
      <alignment horizontal="center" vertical="top" wrapText="1"/>
    </xf>
    <xf numFmtId="49" fontId="100" fillId="0" borderId="15" xfId="0" applyFont="1" applyBorder="1" applyNumberFormat="1">
      <alignment horizontal="center" vertical="top" wrapText="1"/>
    </xf>
    <xf numFmtId="0" fontId="100" fillId="0" borderId="14" xfId="0" applyFont="1" applyBorder="1" applyNumberFormat="1">
      <alignment horizontal="left" vertical="top" wrapText="1"/>
    </xf>
    <xf numFmtId="49" fontId="100" fillId="34" borderId="14" xfId="0" applyFont="1" applyFill="1" applyBorder="1" applyNumberFormat="1">
      <alignment horizontal="left" vertical="top" wrapText="1"/>
    </xf>
    <xf numFmtId="0" fontId="100" fillId="34" borderId="14" xfId="0" applyFont="1" applyFill="1" applyBorder="1" applyNumberFormat="1">
      <alignment horizontal="center" vertical="center" wrapText="1"/>
    </xf>
    <xf numFmtId="0" fontId="100" fillId="34" borderId="14" xfId="0" applyFont="1" applyFill="1" applyBorder="1" applyNumberFormat="1">
      <alignment horizontal="center" vertical="center" wrapText="1"/>
    </xf>
    <xf numFmtId="49" fontId="100" fillId="0" borderId="19" xfId="0" applyFont="1" applyBorder="1" applyNumberFormat="1">
      <alignment horizontal="center" vertical="top" wrapText="1"/>
    </xf>
    <xf numFmtId="49" fontId="100" fillId="0" borderId="38" xfId="0" applyFont="1" applyBorder="1" applyNumberFormat="1">
      <alignment horizontal="center" vertical="top" wrapText="1"/>
    </xf>
    <xf numFmtId="49" fontId="100" fillId="0" borderId="19" xfId="0" applyFont="1" applyBorder="1" applyNumberFormat="1">
      <alignment horizontal="center" vertical="top" wrapText="1"/>
    </xf>
    <xf numFmtId="0" fontId="100" fillId="0" borderId="19" xfId="0" applyFont="1" applyBorder="1" applyNumberFormat="1">
      <alignment horizontal="left" vertical="top" wrapText="1"/>
    </xf>
    <xf numFmtId="49" fontId="100" fillId="0" borderId="39" xfId="0" applyFont="1" applyBorder="1" applyNumberFormat="1">
      <alignment horizontal="center" vertical="top" wrapText="1"/>
    </xf>
    <xf numFmtId="49" fontId="100" fillId="0" borderId="39" xfId="0" applyFont="1" applyBorder="1" applyNumberFormat="1">
      <alignment horizontal="center" vertical="top" wrapText="1"/>
    </xf>
    <xf numFmtId="0" fontId="100" fillId="0" borderId="15" xfId="0" applyFont="1" applyBorder="1" applyNumberFormat="1">
      <alignment horizontal="left" vertical="top" wrapText="1"/>
    </xf>
    <xf numFmtId="49" fontId="100" fillId="0" borderId="25" xfId="0" applyFont="1" applyBorder="1" applyNumberFormat="1">
      <alignment horizontal="center" vertical="top" wrapText="1"/>
    </xf>
    <xf numFmtId="49" fontId="100" fillId="0" borderId="32" xfId="0" applyFont="1" applyBorder="1" applyNumberFormat="1">
      <alignment horizontal="center" vertical="top" wrapText="1"/>
    </xf>
    <xf numFmtId="49" fontId="100" fillId="0" borderId="24" xfId="0" applyFont="1" applyBorder="1" applyNumberFormat="1">
      <alignment horizontal="center" vertical="top" wrapText="1"/>
    </xf>
    <xf numFmtId="0" fontId="100" fillId="0" borderId="19" xfId="0" applyFont="1" applyBorder="1" applyNumberFormat="1">
      <alignment vertical="top" wrapText="1"/>
    </xf>
    <xf numFmtId="49" fontId="96" fillId="0" borderId="14" xfId="0" applyFont="1" applyBorder="1" applyNumberFormat="1">
      <alignment horizontal="left" vertical="top" wrapText="1"/>
    </xf>
    <xf numFmtId="0" fontId="96" fillId="0" borderId="16" xfId="0" applyFont="1" applyBorder="1" applyNumberFormat="1">
      <alignment horizontal="center" vertical="center" wrapText="1"/>
    </xf>
    <xf numFmtId="0" fontId="96" fillId="0" borderId="16" xfId="0" applyFont="1" applyBorder="1" applyNumberFormat="1">
      <alignment horizontal="center" vertical="center"/>
    </xf>
    <xf numFmtId="49" fontId="96" fillId="0" borderId="14" xfId="0" applyFont="1" applyBorder="1" applyNumberFormat="1">
      <alignment horizontal="center" vertical="center" wrapText="1"/>
    </xf>
    <xf numFmtId="0" fontId="96" fillId="0" borderId="14" xfId="0" applyFont="1" applyBorder="1" applyNumberFormat="1">
      <alignment vertical="center" wrapText="1"/>
    </xf>
    <xf numFmtId="49" fontId="100" fillId="0" borderId="16" xfId="0" applyFont="1" applyBorder="1" applyNumberFormat="1">
      <alignment horizontal="left" vertical="top" wrapText="1"/>
    </xf>
    <xf numFmtId="0" fontId="96" fillId="0" borderId="14" xfId="0" applyFont="1" applyBorder="1" applyNumberFormat="1">
      <alignment horizontal="center" vertical="center" wrapText="1"/>
    </xf>
    <xf numFmtId="0" fontId="96" fillId="0" borderId="19" xfId="0" applyFont="1" applyBorder="1" applyNumberFormat="1">
      <alignment vertical="center" wrapText="1"/>
    </xf>
    <xf numFmtId="0" fontId="96" fillId="0" borderId="25" xfId="0" applyFont="1" applyBorder="1" applyNumberFormat="1">
      <alignment vertical="center" wrapText="1"/>
    </xf>
    <xf numFmtId="49" fontId="100" fillId="0" borderId="32" xfId="0" applyFont="1" applyBorder="1" applyNumberFormat="1">
      <alignment horizontal="left" vertical="top" wrapText="1"/>
    </xf>
    <xf numFmtId="49" fontId="100" fillId="0" borderId="15" xfId="0" applyFont="1" applyBorder="1" applyNumberFormat="1">
      <alignment horizontal="left" vertical="top" wrapText="1"/>
    </xf>
    <xf numFmtId="49" fontId="96" fillId="0" borderId="19" xfId="0" applyFont="1" applyBorder="1" applyNumberFormat="1">
      <alignment horizontal="center" vertical="center" wrapText="1"/>
    </xf>
    <xf numFmtId="49" fontId="96" fillId="0" borderId="25" xfId="0" applyFont="1" applyBorder="1" applyNumberFormat="1">
      <alignment horizontal="center" vertical="center" wrapText="1"/>
    </xf>
    <xf numFmtId="0" fontId="96" fillId="0" borderId="19" xfId="0" applyFont="1" applyBorder="1" applyNumberFormat="1">
      <alignment horizontal="center" vertical="center" wrapText="1"/>
    </xf>
    <xf numFmtId="49" fontId="100" fillId="0" borderId="38" xfId="0" applyFont="1" applyBorder="1" applyNumberFormat="1">
      <alignment horizontal="left" vertical="top" wrapText="1"/>
    </xf>
    <xf numFmtId="0" fontId="100" fillId="0" borderId="38" xfId="0" applyFont="1" applyBorder="1" applyNumberFormat="1">
      <alignment horizontal="left" vertical="top" wrapText="1"/>
    </xf>
    <xf numFmtId="49" fontId="100" fillId="0" borderId="0" xfId="0" applyFont="1" applyNumberFormat="1">
      <alignment horizontal="left" vertical="top" wrapText="1"/>
    </xf>
    <xf numFmtId="49" fontId="100" fillId="34" borderId="0" xfId="0" applyFont="1" applyFill="1" applyNumberFormat="1">
      <alignment horizontal="left" vertical="top" wrapText="1"/>
    </xf>
    <xf numFmtId="0" fontId="100" fillId="0" borderId="0" xfId="0" applyFont="1" applyNumberFormat="1">
      <alignment vertical="top" wrapText="1"/>
    </xf>
    <xf numFmtId="0" fontId="22" fillId="0" borderId="21" xfId="0" applyFont="1" applyBorder="1" applyNumberFormat="1">
      <alignment horizontal="left" vertical="center" wrapText="1" indent="1"/>
    </xf>
    <xf numFmtId="0" fontId="22" fillId="0" borderId="29" xfId="0" applyFont="1" applyBorder="1" applyNumberFormat="1">
      <alignment horizontal="left" vertical="center" wrapText="1" indent="1"/>
    </xf>
    <xf numFmtId="0" fontId="0" fillId="0" borderId="0" xfId="0" applyFont="1" applyNumberFormat="1">
      <alignment horizontal="left" vertical="center"/>
    </xf>
    <xf numFmtId="0" fontId="0" fillId="37" borderId="14" xfId="0" applyFont="1" applyFill="1" applyBorder="1" applyNumberFormat="1">
      <alignment horizontal="right" vertical="center" wrapText="1" indent="1"/>
    </xf>
    <xf numFmtId="0" fontId="0" fillId="0" borderId="16" xfId="0" applyFont="1" applyBorder="1" applyNumberFormat="1">
      <alignment vertical="center"/>
    </xf>
    <xf numFmtId="0" fontId="23" fillId="0" borderId="0" xfId="0" applyFont="1" applyNumberFormat="1">
      <alignment horizontal="left" vertical="center" wrapText="1"/>
    </xf>
    <xf numFmtId="0" fontId="23" fillId="0" borderId="0" xfId="0" applyFont="1" applyNumberFormat="1">
      <alignment horizontal="right" vertical="center" wrapText="1"/>
    </xf>
    <xf numFmtId="0" fontId="23" fillId="0" borderId="0" xfId="0" applyFont="1" applyNumberFormat="1">
      <alignment horizontal="right" vertical="center" wrapText="1"/>
    </xf>
    <xf numFmtId="0" fontId="0" fillId="0" borderId="14" xfId="0" applyFont="1" applyBorder="1" applyNumberFormat="1">
      <alignment horizontal="center" vertical="center" wrapText="1"/>
    </xf>
    <xf numFmtId="0" fontId="85" fillId="37" borderId="21" xfId="0" applyFont="1" applyFill="1" applyBorder="1" applyNumberFormat="1">
      <alignment horizontal="center" vertical="center" wrapText="1"/>
    </xf>
    <xf numFmtId="0" fontId="23" fillId="37" borderId="14" xfId="0" applyFont="1" applyFill="1" applyBorder="1" applyNumberFormat="1">
      <alignment horizontal="left" vertical="center" wrapText="1"/>
    </xf>
    <xf numFmtId="4" fontId="23" fillId="38" borderId="14" xfId="0" applyFont="1" applyFill="1" applyBorder="1" applyNumberFormat="1">
      <alignment horizontal="left" vertical="center" wrapText="1"/>
    </xf>
    <xf numFmtId="0" fontId="23" fillId="0" borderId="0" xfId="0" applyFont="1" applyNumberFormat="1">
      <alignment horizontal="center" vertical="center" wrapText="1"/>
    </xf>
    <xf numFmtId="0" fontId="54" fillId="0" borderId="0" xfId="0" applyFont="1" applyNumberFormat="1">
      <alignment horizontal="center" vertical="center" wrapText="1"/>
    </xf>
    <xf numFmtId="0" fontId="55" fillId="0" borderId="0" xfId="0" applyFont="1" applyNumberFormat="1">
      <alignment horizontal="center" vertical="center" wrapText="1"/>
    </xf>
    <xf numFmtId="0" fontId="23" fillId="43" borderId="14" xfId="0" applyFont="1" applyFill="1" applyBorder="1" applyNumberFormat="1">
      <alignment horizontal="left" vertical="center" wrapText="1"/>
      <protection locked="0"/>
    </xf>
    <xf numFmtId="0" fontId="23" fillId="43" borderId="16" xfId="0" applyFont="1" applyFill="1" applyBorder="1" applyNumberFormat="1">
      <alignment horizontal="left" vertical="center" wrapText="1"/>
      <protection locked="0"/>
    </xf>
    <xf numFmtId="0" fontId="23" fillId="43" borderId="17" xfId="0" applyFont="1" applyFill="1" applyBorder="1" applyNumberFormat="1">
      <alignment horizontal="left" vertical="center" wrapText="1"/>
      <protection locked="0"/>
    </xf>
    <xf numFmtId="0" fontId="23" fillId="43" borderId="15" xfId="0" applyFont="1" applyFill="1" applyBorder="1" applyNumberFormat="1">
      <alignment horizontal="left" vertical="center" wrapText="1"/>
      <protection locked="0"/>
    </xf>
    <xf numFmtId="0" fontId="23" fillId="43" borderId="14" xfId="0" applyFont="1" applyFill="1" applyBorder="1" applyNumberFormat="1">
      <alignment horizontal="left" vertical="center" wrapText="1" indent="6"/>
      <protection locked="0"/>
    </xf>
    <xf numFmtId="167" fontId="0" fillId="42" borderId="14" xfId="0" applyFont="1" applyFill="1" applyBorder="1" applyNumberFormat="1">
      <alignment horizontal="center" vertical="center" wrapText="1"/>
      <protection locked="0"/>
    </xf>
    <xf numFmtId="49" fontId="23" fillId="0" borderId="14" xfId="0" applyFont="1" applyBorder="1" applyNumberFormat="1">
      <alignment horizontal="left" vertical="center" wrapText="1"/>
    </xf>
    <xf numFmtId="49" fontId="106" fillId="40" borderId="16" xfId="0" applyFont="1" applyFill="1" applyBorder="1" applyNumberFormat="1">
      <alignment horizontal="left" vertical="center"/>
    </xf>
    <xf numFmtId="49" fontId="114" fillId="40" borderId="17" xfId="0" applyFont="1" applyFill="1" applyBorder="1" applyNumberFormat="1">
      <alignment horizontal="left" vertical="center" indent="3"/>
    </xf>
    <xf numFmtId="49" fontId="77" fillId="40" borderId="17" xfId="0" applyFont="1" applyFill="1" applyBorder="1" applyNumberFormat="1">
      <alignment horizontal="center" vertical="center" wrapText="1"/>
    </xf>
    <xf numFmtId="49" fontId="72" fillId="40" borderId="17" xfId="0" applyFont="1" applyFill="1" applyBorder="1" applyNumberFormat="1">
      <alignment horizontal="center" vertical="center" wrapText="1"/>
    </xf>
    <xf numFmtId="49" fontId="72" fillId="40" borderId="15" xfId="0" applyFont="1" applyFill="1" applyBorder="1" applyNumberFormat="1">
      <alignment horizontal="center" vertical="center" wrapText="1"/>
    </xf>
    <xf numFmtId="49" fontId="54" fillId="0" borderId="0" xfId="0" applyFont="1" applyNumberFormat="1">
      <alignment horizontal="left" vertical="center"/>
    </xf>
    <xf numFmtId="49" fontId="40" fillId="0" borderId="0" xfId="0" applyFont="1" applyNumberFormat="1">
      <alignment vertical="top"/>
    </xf>
    <xf numFmtId="49" fontId="0" fillId="0" borderId="26" xfId="0" applyFont="1" applyBorder="1" applyNumberFormat="1">
      <alignment vertical="top"/>
    </xf>
    <xf numFmtId="49" fontId="114" fillId="40" borderId="17" xfId="0" applyFont="1" applyFill="1" applyBorder="1" applyNumberFormat="1">
      <alignment horizontal="left" vertical="center" indent="2"/>
    </xf>
    <xf numFmtId="49" fontId="114" fillId="40" borderId="17" xfId="0" applyFont="1" applyFill="1" applyBorder="1" applyNumberFormat="1">
      <alignment horizontal="left" vertical="center" indent="1"/>
    </xf>
    <xf numFmtId="49" fontId="0" fillId="0" borderId="0" xfId="0" applyFont="1" applyNumberFormat="1">
      <alignment vertical="top"/>
    </xf>
    <xf numFmtId="49" fontId="54" fillId="0" borderId="0" xfId="0" applyFont="1" applyNumberFormat="1">
      <alignment horizontal="left" vertical="center"/>
    </xf>
    <xf numFmtId="49" fontId="54" fillId="0" borderId="0" xfId="0" applyFont="1" applyNumberFormat="1">
      <alignment horizontal="left" vertical="top"/>
    </xf>
    <xf numFmtId="49" fontId="72" fillId="40" borderId="16" xfId="0" applyFont="1" applyFill="1" applyBorder="1" applyNumberFormat="1">
      <alignment horizontal="left" vertical="top"/>
    </xf>
    <xf numFmtId="49" fontId="114" fillId="40" borderId="17" xfId="0" applyFont="1" applyFill="1" applyBorder="1" applyNumberFormat="1">
      <alignment horizontal="left" vertical="center"/>
    </xf>
    <xf numFmtId="49" fontId="55" fillId="0" borderId="0" xfId="0" applyFont="1" applyNumberFormat="1">
      <alignment vertical="top"/>
    </xf>
    <xf numFmtId="0" fontId="23" fillId="0" borderId="0" xfId="0" applyFont="1" applyNumberFormat="1">
      <alignment horizontal="left" vertical="top" wrapText="1"/>
    </xf>
    <xf numFmtId="49" fontId="23" fillId="0" borderId="0" xfId="0" applyFont="1" applyNumberFormat="1">
      <alignment vertical="center" wrapText="1"/>
    </xf>
    <xf numFmtId="49" fontId="0" fillId="0" borderId="0" xfId="0" applyFont="1" applyNumberFormat="1">
      <alignment vertical="top"/>
    </xf>
    <xf numFmtId="49" fontId="0" fillId="0" borderId="14" xfId="0" applyFont="1" applyBorder="1" applyNumberFormat="1">
      <alignment vertical="top"/>
    </xf>
    <xf numFmtId="49" fontId="0" fillId="0" borderId="16" xfId="0" applyFont="1" applyBorder="1" applyNumberFormat="1">
      <alignment vertical="top"/>
    </xf>
    <xf numFmtId="49" fontId="0" fillId="0" borderId="14" xfId="0" applyFont="1" applyBorder="1" applyNumberFormat="1">
      <alignment horizontal="center" vertical="top"/>
    </xf>
    <xf numFmtId="49" fontId="0" fillId="0" borderId="16" xfId="0" applyFont="1" applyBorder="1" applyNumberFormat="1">
      <alignment horizontal="center" vertical="top"/>
    </xf>
    <xf numFmtId="49" fontId="0" fillId="0" borderId="14" xfId="0" applyFont="1" applyBorder="1" applyNumberFormat="1">
      <alignment vertical="top"/>
    </xf>
    <xf numFmtId="49" fontId="0" fillId="45" borderId="19" xfId="0" applyFont="1" applyFill="1" applyBorder="1" applyNumberFormat="1">
      <alignment vertical="top"/>
    </xf>
    <xf numFmtId="49" fontId="0" fillId="0" borderId="16" xfId="0" applyFont="1" applyBorder="1" applyNumberFormat="1">
      <alignment horizontal="center" vertical="top"/>
    </xf>
    <xf numFmtId="49" fontId="0" fillId="46" borderId="14" xfId="0" applyFont="1" applyFill="1" applyBorder="1" applyNumberFormat="1">
      <alignment vertical="top"/>
    </xf>
    <xf numFmtId="49" fontId="0" fillId="0" borderId="17" xfId="0" applyFont="1" applyBorder="1" applyNumberFormat="1">
      <alignment horizontal="center" vertical="top"/>
    </xf>
    <xf numFmtId="49" fontId="0" fillId="3" borderId="14" xfId="0" applyFont="1" applyFill="1" applyBorder="1" applyNumberFormat="1">
      <alignment vertical="top"/>
    </xf>
    <xf numFmtId="49" fontId="0" fillId="47" borderId="14" xfId="0" applyFont="1" applyFill="1" applyBorder="1" applyNumberFormat="1">
      <alignment vertical="top"/>
    </xf>
    <xf numFmtId="49" fontId="0" fillId="16" borderId="19" xfId="0" applyFont="1" applyFill="1" applyBorder="1" applyNumberFormat="1">
      <alignment vertical="top"/>
    </xf>
    <xf numFmtId="49" fontId="0" fillId="5" borderId="16" xfId="0" applyFont="1" applyFill="1" applyBorder="1" applyNumberFormat="1">
      <alignment vertical="top"/>
    </xf>
    <xf numFmtId="49" fontId="0" fillId="5" borderId="14" xfId="0" applyFont="1" applyFill="1" applyBorder="1" applyNumberFormat="1">
      <alignment vertical="top"/>
    </xf>
    <xf numFmtId="49" fontId="0" fillId="16" borderId="14" xfId="0" applyFont="1" applyFill="1" applyBorder="1" applyNumberFormat="1">
      <alignment vertical="top"/>
    </xf>
    <xf numFmtId="49" fontId="0" fillId="0" borderId="0" xfId="0" applyFont="1" applyNumberFormat="1">
      <alignment vertical="top"/>
    </xf>
    <xf numFmtId="49" fontId="0" fillId="0" borderId="0" xfId="0" applyFont="1" applyNumberFormat="1">
      <alignment vertical="top"/>
    </xf>
    <xf numFmtId="49" fontId="0" fillId="0" borderId="0" xfId="0" applyFont="1" applyNumberFormat="1">
      <alignment vertical="top"/>
    </xf>
    <xf numFmtId="0" fontId="0" fillId="0" borderId="0" xfId="0" applyFont="1" applyNumberFormat="1">
      <alignment vertical="top"/>
    </xf>
    <xf numFmtId="0" fontId="0" fillId="0" borderId="0" xfId="0" applyFont="1" applyNumberFormat="1">
      <alignment vertical="top"/>
    </xf>
    <xf numFmtId="0" fontId="0" fillId="0" borderId="0" xfId="0" applyFont="1" applyNumberFormat="1">
      <alignment vertical="top"/>
    </xf>
    <xf numFmtId="0" fontId="0" fillId="0" borderId="0" xfId="0" applyFont="1" applyNumberFormat="1"/>
    <xf numFmtId="0" fontId="1" fillId="0" borderId="0" xfId="0" applyFont="1" applyNumberFormat="1"/>
    <xf numFmtId="0" fontId="38" fillId="0" borderId="0" xfId="0" applyFont="1" applyNumberFormat="1"/>
    <xf numFmtId="0" fontId="38" fillId="0" borderId="0" xfId="0" applyFont="1" applyNumberFormat="1"/>
    <xf numFmtId="49" fontId="23" fillId="38" borderId="12" xfId="0" applyFont="1" applyFill="1" applyBorder="1" applyNumberFormat="1">
      <alignment horizontal="center" vertical="top"/>
    </xf>
    <xf numFmtId="49" fontId="0" fillId="0" borderId="0" xfId="0" applyFont="1" applyNumberFormat="1">
      <alignment vertical="top"/>
    </xf>
    <xf numFmtId="49" fontId="46" fillId="0" borderId="13" xfId="0" applyFont="1" applyBorder="1" applyNumberFormat="1">
      <alignment vertical="top" wrapText="1"/>
    </xf>
    <xf numFmtId="0" fontId="0" fillId="0" borderId="13" xfId="0" applyFont="1" applyBorder="1" applyNumberFormat="1">
      <alignment vertical="top" wrapText="1"/>
    </xf>
    <xf numFmtId="0" fontId="22" fillId="0" borderId="20" xfId="0" applyFont="1" applyBorder="1" applyNumberFormat="1">
      <alignment vertical="top" wrapText="1"/>
    </xf>
    <xf numFmtId="0" fontId="0" fillId="0" borderId="0" xfId="0" applyFont="1" applyNumberFormat="1">
      <alignment vertical="top"/>
    </xf>
    <xf numFmtId="0" fontId="0" fillId="0" borderId="14" xfId="0" applyFont="1" applyBorder="1" applyNumberFormat="1">
      <alignment vertical="top" wrapText="1"/>
    </xf>
    <xf numFmtId="49" fontId="0" fillId="0" borderId="14" xfId="0" applyFont="1" applyBorder="1" applyNumberFormat="1">
      <alignment vertical="top" wrapText="1"/>
    </xf>
    <xf numFmtId="49" fontId="0" fillId="0" borderId="19" xfId="0" applyFont="1" applyBorder="1" applyNumberFormat="1">
      <alignment vertical="top"/>
    </xf>
    <xf numFmtId="49" fontId="0" fillId="0" borderId="0" xfId="0" applyFont="1" applyNumberFormat="1">
      <alignment vertical="top"/>
    </xf>
    <xf numFmtId="0" fontId="36" fillId="0" borderId="13" xfId="0" applyFont="1" applyBorder="1" applyNumberFormat="1">
      <alignment vertical="center" wrapText="1"/>
    </xf>
    <xf numFmtId="0" fontId="22" fillId="0" borderId="0" xfId="0" applyFont="1" applyNumberFormat="1">
      <alignment vertical="top" wrapText="1"/>
    </xf>
    <xf numFmtId="0" fontId="23" fillId="0" borderId="13" xfId="0" applyFont="1" applyBorder="1" applyNumberFormat="1">
      <alignment vertical="center" wrapText="1"/>
    </xf>
    <xf numFmtId="49" fontId="0" fillId="0" borderId="0" xfId="0" applyFont="1" applyNumberFormat="1">
      <alignment vertical="top"/>
    </xf>
    <xf numFmtId="0" fontId="120" fillId="0" borderId="0" xfId="0" applyFont="1" applyNumberFormat="1">
      <alignment wrapText="1"/>
    </xf>
    <xf numFmtId="49" fontId="71" fillId="0" borderId="0" xfId="0" applyFont="1" applyNumberFormat="1">
      <alignment wrapText="1"/>
    </xf>
    <xf numFmtId="49" fontId="71" fillId="0" borderId="0" xfId="0" applyFont="1" applyNumberFormat="1">
      <alignment vertical="center" wrapText="1"/>
    </xf>
    <xf numFmtId="49" fontId="121" fillId="0" borderId="0" xfId="0" applyFont="1" applyNumberFormat="1">
      <alignment wrapText="1"/>
    </xf>
    <xf numFmtId="0" fontId="107" fillId="0" borderId="0" xfId="0" applyFont="1" applyNumberFormat="1">
      <alignment vertical="center" wrapText="1"/>
    </xf>
    <xf numFmtId="0" fontId="107" fillId="0" borderId="0" xfId="0" applyFont="1" applyNumberFormat="1">
      <alignment horizontal="left" vertical="center" wrapText="1"/>
    </xf>
    <xf numFmtId="49" fontId="122" fillId="0" borderId="0" xfId="0" applyFont="1" applyNumberFormat="1">
      <alignment wrapText="1"/>
    </xf>
    <xf numFmtId="0" fontId="107" fillId="0" borderId="0" xfId="0" applyFont="1" applyNumberFormat="1">
      <alignment vertical="center"/>
    </xf>
    <xf numFmtId="0" fontId="22" fillId="0" borderId="0" xfId="0" applyFont="1" applyNumberFormat="1">
      <alignment horizontal="left" vertical="top" wrapText="1"/>
    </xf>
    <xf numFmtId="49" fontId="23" fillId="0" borderId="0" xfId="0" applyFont="1" applyNumberFormat="1">
      <alignment vertical="top" wrapText="1"/>
    </xf>
    <xf numFmtId="0" fontId="22" fillId="57" borderId="68" xfId="0" applyFont="1" applyFill="1" applyBorder="1" applyNumberFormat="1">
      <alignment horizontal="center" vertical="center" wrapText="1"/>
    </xf>
    <xf numFmtId="0" fontId="22" fillId="57" borderId="69" xfId="0" applyFont="1" applyFill="1" applyBorder="1" applyNumberFormat="1">
      <alignment horizontal="center" vertical="center" wrapText="1"/>
    </xf>
    <xf numFmtId="0" fontId="22" fillId="57" borderId="70" xfId="0" applyFont="1" applyFill="1" applyBorder="1" applyNumberFormat="1">
      <alignment horizontal="center" vertical="center" wrapText="1"/>
    </xf>
    <xf numFmtId="0" fontId="71" fillId="0" borderId="0" xfId="0" applyFont="1" applyNumberFormat="1">
      <alignment wrapText="1"/>
    </xf>
    <xf numFmtId="0" fontId="22" fillId="48" borderId="40" xfId="0" applyFont="1" applyFill="1" applyBorder="1" applyNumberFormat="1">
      <alignment horizontal="right" vertical="center" wrapText="1" indent="1"/>
    </xf>
    <xf numFmtId="0" fontId="22" fillId="48" borderId="67" xfId="0" applyFont="1" applyFill="1" applyBorder="1" applyNumberFormat="1">
      <alignment horizontal="right" vertical="center" wrapText="1" indent="1"/>
    </xf>
    <xf numFmtId="0" fontId="123" fillId="0" borderId="0" xfId="0" applyFont="1" applyNumberFormat="1">
      <alignment horizontal="left" vertical="center" wrapText="1"/>
    </xf>
    <xf numFmtId="0" fontId="124" fillId="0" borderId="0" xfId="0" applyFont="1" applyNumberFormat="1">
      <alignment vertical="center" wrapText="1"/>
    </xf>
    <xf numFmtId="0" fontId="71" fillId="0" borderId="40" xfId="0" applyFont="1" applyBorder="1" applyNumberFormat="1">
      <alignment wrapText="1"/>
    </xf>
    <xf numFmtId="0" fontId="71" fillId="0" borderId="0" xfId="0" applyFont="1" applyNumberFormat="1"/>
    <xf numFmtId="0" fontId="123" fillId="0" borderId="0" xfId="0" applyFont="1" applyNumberFormat="1"/>
    <xf numFmtId="0" fontId="125" fillId="0" borderId="0" xfId="0" applyFont="1" applyNumberFormat="1">
      <alignment wrapText="1"/>
    </xf>
    <xf numFmtId="0" fontId="0" fillId="39" borderId="63" xfId="0" applyFont="1" applyFill="1" applyBorder="1" applyNumberFormat="1">
      <alignment horizontal="center" vertical="center" wrapText="1"/>
    </xf>
    <xf numFmtId="0" fontId="125" fillId="0" borderId="40" xfId="0" applyFont="1" applyBorder="1" applyNumberFormat="1">
      <alignment vertical="center" wrapText="1"/>
    </xf>
    <xf numFmtId="0" fontId="125" fillId="0" borderId="0" xfId="0" applyFont="1" applyNumberFormat="1">
      <alignment vertical="center" wrapText="1"/>
    </xf>
    <xf numFmtId="0" fontId="0" fillId="55" borderId="63" xfId="0" applyFont="1" applyFill="1" applyBorder="1" applyNumberFormat="1">
      <alignment horizontal="center" vertical="center" wrapText="1"/>
    </xf>
    <xf numFmtId="0" fontId="125" fillId="0" borderId="40" xfId="0" applyFont="1" applyBorder="1" applyNumberFormat="1">
      <alignment horizontal="left" vertical="center" wrapText="1"/>
    </xf>
    <xf numFmtId="0" fontId="125" fillId="0" borderId="0" xfId="0" applyFont="1" applyNumberFormat="1">
      <alignment horizontal="left" vertical="center" wrapText="1"/>
    </xf>
    <xf numFmtId="0" fontId="0" fillId="38" borderId="63" xfId="0" applyFont="1" applyFill="1" applyBorder="1" applyNumberFormat="1">
      <alignment horizontal="center" vertical="center" wrapText="1"/>
    </xf>
    <xf numFmtId="0" fontId="0" fillId="42" borderId="63" xfId="0" applyFont="1" applyFill="1" applyBorder="1" applyNumberFormat="1">
      <alignment horizontal="center" vertical="center" wrapText="1"/>
    </xf>
    <xf numFmtId="0" fontId="22" fillId="48" borderId="0" xfId="0" applyFont="1" applyFill="1" applyNumberFormat="1">
      <alignment horizontal="right" vertical="center" wrapText="1" indent="1"/>
    </xf>
    <xf numFmtId="0" fontId="123" fillId="0" borderId="40" xfId="0" applyFont="1" applyBorder="1" applyNumberFormat="1">
      <alignment horizontal="left" vertical="center" wrapText="1"/>
    </xf>
    <xf numFmtId="0" fontId="123" fillId="0" borderId="64" xfId="0" applyFont="1" applyBorder="1" applyNumberFormat="1">
      <alignment horizontal="left" vertical="center" wrapText="1"/>
    </xf>
    <xf numFmtId="0" fontId="22" fillId="48" borderId="63" xfId="0" applyFont="1" applyFill="1" applyBorder="1" applyNumberFormat="1">
      <alignment horizontal="right" vertical="center" wrapText="1" indent="1"/>
    </xf>
    <xf numFmtId="0" fontId="22" fillId="48" borderId="66" xfId="0" applyFont="1" applyFill="1" applyBorder="1" applyNumberFormat="1">
      <alignment horizontal="right" vertical="center" wrapText="1" indent="1"/>
    </xf>
    <xf numFmtId="0" fontId="125" fillId="0" borderId="0" xfId="0" applyFont="1" applyNumberFormat="1"/>
    <xf numFmtId="0" fontId="125" fillId="0" borderId="40" xfId="0" applyFont="1" applyBorder="1" applyNumberFormat="1">
      <alignment wrapText="1"/>
    </xf>
    <xf numFmtId="0" fontId="125" fillId="0" borderId="0" xfId="0" applyFont="1" applyNumberFormat="1">
      <alignment vertical="top" wrapText="1"/>
    </xf>
    <xf numFmtId="0" fontId="22" fillId="48" borderId="65" xfId="0" applyFont="1" applyFill="1" applyBorder="1" applyNumberFormat="1">
      <alignment horizontal="right" vertical="center" wrapText="1" indent="1"/>
    </xf>
    <xf numFmtId="0" fontId="22" fillId="48" borderId="41" xfId="0" applyFont="1" applyFill="1" applyBorder="1" applyNumberFormat="1">
      <alignment horizontal="right" vertical="center" wrapText="1" indent="1"/>
    </xf>
    <xf numFmtId="0" fontId="71" fillId="0" borderId="65" xfId="0" applyFont="1" applyBorder="1" applyNumberFormat="1">
      <alignment wrapText="1"/>
    </xf>
    <xf numFmtId="0" fontId="71" fillId="0" borderId="41" xfId="0" applyFont="1" applyBorder="1" applyNumberFormat="1">
      <alignment wrapText="1"/>
    </xf>
    <xf numFmtId="0" fontId="71" fillId="0" borderId="41" xfId="0" applyFont="1" applyBorder="1" applyNumberFormat="1">
      <alignment vertical="center" wrapText="1"/>
    </xf>
    <xf numFmtId="0" fontId="121" fillId="0" borderId="0" xfId="0" applyFont="1" applyNumberFormat="1"/>
    <xf numFmtId="49" fontId="71" fillId="0" borderId="0" xfId="0" applyFont="1" applyNumberFormat="1">
      <alignment vertical="top" wrapText="1"/>
    </xf>
    <xf numFmtId="0" fontId="38" fillId="0" borderId="0" xfId="0" applyFont="1" applyNumberFormat="1"/>
    <xf numFmtId="0" fontId="68" fillId="0" borderId="0" xfId="0" applyFont="1" applyNumberFormat="1">
      <alignment vertical="center" wrapText="1"/>
    </xf>
    <xf numFmtId="0" fontId="96" fillId="0" borderId="0" xfId="0" applyFont="1" applyNumberFormat="1">
      <alignment horizontal="left" vertical="center" wrapText="1"/>
    </xf>
    <xf numFmtId="0" fontId="68" fillId="0" borderId="0" xfId="0" applyFont="1" applyNumberFormat="1">
      <alignment horizontal="left" vertical="center" wrapText="1"/>
    </xf>
    <xf numFmtId="0" fontId="68" fillId="0" borderId="0" xfId="0" applyFont="1" applyNumberFormat="1">
      <alignment vertical="center" wrapText="1"/>
    </xf>
    <xf numFmtId="0" fontId="40" fillId="0" borderId="0" xfId="0" applyFont="1" applyNumberFormat="1">
      <alignment horizontal="center" vertical="center" wrapText="1"/>
    </xf>
    <xf numFmtId="0" fontId="40" fillId="0" borderId="0" xfId="0" applyFont="1" applyNumberFormat="1">
      <alignment vertical="center" wrapText="1"/>
    </xf>
    <xf numFmtId="0" fontId="55" fillId="0" borderId="0" xfId="0" applyFont="1" applyNumberFormat="1">
      <alignment vertical="center" wrapText="1"/>
    </xf>
    <xf numFmtId="0" fontId="40" fillId="0" borderId="0" xfId="0" applyFont="1" applyNumberFormat="1">
      <alignment vertical="center" wrapText="1"/>
    </xf>
    <xf numFmtId="0" fontId="40" fillId="0" borderId="0" xfId="0" applyFont="1" applyNumberFormat="1">
      <alignment horizontal="left" vertical="center" wrapText="1"/>
    </xf>
    <xf numFmtId="0" fontId="23" fillId="0" borderId="0" xfId="0" applyFont="1" applyNumberFormat="1">
      <alignment horizontal="left" vertical="top" indent="1"/>
    </xf>
    <xf numFmtId="49" fontId="71" fillId="0" borderId="0" xfId="0" applyFont="1" applyNumberFormat="1">
      <alignment vertical="top"/>
    </xf>
    <xf numFmtId="49" fontId="23" fillId="0" borderId="0" xfId="0" applyFont="1" applyNumberFormat="1">
      <alignment vertical="center" wrapText="1"/>
    </xf>
    <xf numFmtId="49" fontId="54" fillId="0" borderId="0" xfId="0" applyFont="1" applyNumberFormat="1">
      <alignment vertical="center" wrapText="1"/>
    </xf>
    <xf numFmtId="0" fontId="0" fillId="0" borderId="0" xfId="0" applyFont="1" applyNumberFormat="1">
      <alignment horizontal="left" vertical="center" indent="1"/>
    </xf>
    <xf numFmtId="49" fontId="0" fillId="0" borderId="0" xfId="0" applyFont="1" applyNumberFormat="1">
      <alignment vertical="top"/>
    </xf>
    <xf numFmtId="49" fontId="54" fillId="0" borderId="0" xfId="0" applyFont="1" applyNumberFormat="1">
      <alignment vertical="top"/>
    </xf>
    <xf numFmtId="49" fontId="0" fillId="0" borderId="0" xfId="0" applyFont="1" applyNumberFormat="1">
      <alignment vertical="top"/>
    </xf>
    <xf numFmtId="0" fontId="65" fillId="0" borderId="0" xfId="0" applyFont="1" applyNumberFormat="1">
      <alignment vertical="center" wrapText="1"/>
    </xf>
    <xf numFmtId="0" fontId="96" fillId="0" borderId="0" xfId="0" applyFont="1" applyNumberFormat="1">
      <alignment horizontal="left" vertical="center" wrapText="1"/>
    </xf>
    <xf numFmtId="0" fontId="63" fillId="0" borderId="0" xfId="0" applyFont="1" applyNumberFormat="1">
      <alignment horizontal="left" vertical="center" wrapText="1"/>
    </xf>
    <xf numFmtId="0" fontId="64" fillId="0" borderId="0" xfId="0" applyFont="1" applyNumberFormat="1">
      <alignment vertical="center" wrapText="1"/>
    </xf>
    <xf numFmtId="0" fontId="65" fillId="37" borderId="0" xfId="0" applyFont="1" applyFill="1" applyNumberFormat="1">
      <alignment vertical="center" wrapText="1"/>
    </xf>
    <xf numFmtId="0" fontId="65" fillId="0" borderId="0" xfId="0" applyFont="1" applyNumberFormat="1">
      <alignment vertical="center" wrapText="1"/>
    </xf>
    <xf numFmtId="0" fontId="65" fillId="0" borderId="0" xfId="0" applyFont="1" applyNumberFormat="1">
      <alignment horizontal="right" vertical="center"/>
    </xf>
    <xf numFmtId="0" fontId="23" fillId="0" borderId="0" xfId="0" applyFont="1" applyNumberFormat="1">
      <alignment horizontal="center" vertical="center" wrapText="1"/>
    </xf>
    <xf numFmtId="0" fontId="23" fillId="0" borderId="0" xfId="0" applyFont="1" applyNumberFormat="1">
      <alignment vertical="center" wrapText="1"/>
    </xf>
    <xf numFmtId="0" fontId="93" fillId="0" borderId="0" xfId="0" applyFont="1" applyNumberFormat="1">
      <alignment vertical="center" wrapText="1"/>
    </xf>
    <xf numFmtId="0" fontId="42" fillId="37" borderId="0" xfId="0" applyFont="1" applyFill="1" applyNumberFormat="1">
      <alignment vertical="center" wrapText="1"/>
    </xf>
    <xf numFmtId="0" fontId="23" fillId="0" borderId="15" xfId="0" applyFont="1" applyBorder="1" applyNumberFormat="1">
      <alignment horizontal="center" vertical="center" wrapText="1"/>
    </xf>
    <xf numFmtId="0" fontId="23" fillId="0" borderId="16" xfId="0" applyFont="1" applyBorder="1" applyNumberFormat="1">
      <alignment horizontal="center" vertical="center" wrapText="1"/>
    </xf>
    <xf numFmtId="0" fontId="36" fillId="37" borderId="0" xfId="0" applyFont="1" applyFill="1" applyNumberFormat="1">
      <alignment vertical="center" wrapText="1"/>
    </xf>
    <xf numFmtId="0" fontId="101" fillId="0" borderId="0" xfId="0" applyFont="1" applyNumberFormat="1">
      <alignment vertical="center" wrapText="1"/>
    </xf>
    <xf numFmtId="0" fontId="65" fillId="37" borderId="0" xfId="0" applyFont="1" applyFill="1" applyNumberFormat="1">
      <alignment horizontal="right" vertical="center" wrapText="1" indent="1"/>
    </xf>
    <xf numFmtId="0" fontId="67" fillId="37" borderId="0" xfId="0" applyFont="1" applyFill="1" applyNumberFormat="1">
      <alignment horizontal="center" vertical="center" wrapText="1"/>
    </xf>
    <xf numFmtId="0" fontId="23" fillId="37" borderId="28" xfId="0" applyFont="1" applyFill="1" applyBorder="1" applyNumberFormat="1">
      <alignment horizontal="right" vertical="center" wrapText="1" indent="1"/>
    </xf>
    <xf numFmtId="0" fontId="0" fillId="38" borderId="14" xfId="0" applyFont="1" applyFill="1" applyBorder="1" applyNumberFormat="1">
      <alignment horizontal="left" vertical="center" wrapText="1" indent="1"/>
    </xf>
    <xf numFmtId="14" fontId="96" fillId="37" borderId="0" xfId="0" applyFont="1" applyFill="1" applyNumberFormat="1">
      <alignment horizontal="left" vertical="center" wrapText="1"/>
    </xf>
    <xf numFmtId="0" fontId="63" fillId="37" borderId="0" xfId="0" applyFont="1" applyFill="1" applyNumberFormat="1">
      <alignment horizontal="center" vertical="center" wrapText="1"/>
    </xf>
    <xf numFmtId="0" fontId="65" fillId="37" borderId="0" xfId="0" applyFont="1" applyFill="1" applyNumberFormat="1">
      <alignment horizontal="left" vertical="center" wrapText="1" indent="1"/>
    </xf>
    <xf numFmtId="0" fontId="23" fillId="37" borderId="0" xfId="0" applyFont="1" applyFill="1" applyNumberFormat="1">
      <alignment horizontal="center" vertical="center" wrapText="1"/>
    </xf>
    <xf numFmtId="0" fontId="93" fillId="0" borderId="0" xfId="0" applyFont="1" applyNumberFormat="1">
      <alignment horizontal="center" vertical="center" wrapText="1"/>
    </xf>
    <xf numFmtId="0" fontId="23" fillId="0" borderId="0" xfId="0" applyFont="1" applyNumberFormat="1">
      <alignment vertical="center" wrapText="1"/>
    </xf>
    <xf numFmtId="0" fontId="41" fillId="0" borderId="0" xfId="0" applyFont="1" applyNumberFormat="1">
      <alignment vertical="center" wrapText="1"/>
    </xf>
    <xf numFmtId="0" fontId="42" fillId="37" borderId="0" xfId="0" applyFont="1" applyFill="1" applyNumberFormat="1">
      <alignment vertical="center" wrapText="1"/>
    </xf>
    <xf numFmtId="0" fontId="23" fillId="37" borderId="28" xfId="0" applyFont="1" applyFill="1" applyBorder="1" applyNumberFormat="1">
      <alignment horizontal="right" vertical="center" wrapText="1" indent="1"/>
    </xf>
    <xf numFmtId="0" fontId="23" fillId="42" borderId="14" xfId="0" applyFont="1" applyFill="1" applyBorder="1" applyNumberFormat="1">
      <alignment horizontal="left" vertical="top" wrapText="1" indent="1"/>
      <protection locked="0"/>
    </xf>
    <xf numFmtId="0" fontId="23" fillId="0" borderId="0" xfId="0" applyFont="1" applyNumberFormat="1">
      <alignment horizontal="left" vertical="center" wrapText="1"/>
    </xf>
    <xf numFmtId="0" fontId="54" fillId="0" borderId="0" xfId="0" applyFont="1" applyNumberFormat="1">
      <alignment vertical="center" wrapText="1"/>
    </xf>
    <xf numFmtId="0" fontId="65" fillId="0" borderId="0" xfId="0" applyFont="1" applyNumberFormat="1">
      <alignment vertical="center" wrapText="1"/>
    </xf>
    <xf numFmtId="0" fontId="63" fillId="0" borderId="0" xfId="0" applyFont="1" applyNumberFormat="1">
      <alignment horizontal="left" vertical="center" wrapText="1"/>
    </xf>
    <xf numFmtId="0" fontId="64" fillId="0" borderId="0" xfId="0" applyFont="1" applyNumberFormat="1">
      <alignment vertical="center" wrapText="1"/>
    </xf>
    <xf numFmtId="14" fontId="98" fillId="0" borderId="14" xfId="0" applyFont="1" applyBorder="1" applyNumberFormat="1">
      <alignment horizontal="center" vertical="center" wrapText="1"/>
    </xf>
    <xf numFmtId="167" fontId="0" fillId="42" borderId="14" xfId="0" applyFont="1" applyFill="1" applyBorder="1" applyNumberFormat="1">
      <alignment horizontal="left" vertical="center" wrapText="1" indent="1"/>
      <protection locked="0"/>
    </xf>
    <xf numFmtId="0" fontId="34" fillId="0" borderId="0" xfId="0" applyFont="1" applyNumberFormat="1">
      <alignment horizontal="left" vertical="center" indent="1"/>
    </xf>
    <xf numFmtId="0" fontId="23" fillId="37" borderId="0" xfId="0" applyFont="1" applyFill="1" applyNumberFormat="1">
      <alignment vertical="center" wrapText="1"/>
    </xf>
    <xf numFmtId="14" fontId="98" fillId="0" borderId="14" xfId="0" applyFont="1" applyBorder="1" applyNumberFormat="1">
      <alignment horizontal="left" vertical="center" wrapText="1"/>
    </xf>
    <xf numFmtId="49" fontId="23" fillId="37" borderId="28" xfId="0" applyFont="1" applyFill="1" applyBorder="1" applyNumberFormat="1">
      <alignment horizontal="right" vertical="center" wrapText="1" indent="1"/>
    </xf>
    <xf numFmtId="167" fontId="0" fillId="42" borderId="14" xfId="0" applyFont="1" applyFill="1" applyBorder="1" applyNumberFormat="1">
      <alignment horizontal="left" vertical="center" wrapText="1" indent="1"/>
      <protection locked="0"/>
    </xf>
    <xf numFmtId="49" fontId="54" fillId="0" borderId="0" xfId="0" applyFont="1" applyNumberFormat="1">
      <alignment vertical="center" wrapText="1"/>
    </xf>
    <xf numFmtId="0" fontId="0" fillId="42" borderId="14" xfId="0" applyFont="1" applyFill="1" applyBorder="1" applyNumberFormat="1">
      <alignment horizontal="left" vertical="center" wrapText="1" indent="1"/>
      <protection locked="0"/>
    </xf>
    <xf numFmtId="49" fontId="23" fillId="42" borderId="14" xfId="0" applyFont="1" applyFill="1" applyBorder="1" applyNumberFormat="1">
      <alignment horizontal="left" vertical="center" wrapText="1" indent="1"/>
      <protection locked="0"/>
    </xf>
    <xf numFmtId="167" fontId="0" fillId="0" borderId="14" xfId="0" applyFont="1" applyBorder="1" applyNumberFormat="1">
      <alignment horizontal="left" vertical="center" wrapText="1" indent="1"/>
    </xf>
    <xf numFmtId="0" fontId="0" fillId="37" borderId="0" xfId="0" applyFont="1" applyFill="1" applyNumberFormat="1">
      <alignment horizontal="right" vertical="center" wrapText="1" indent="1"/>
    </xf>
    <xf numFmtId="0" fontId="101" fillId="0" borderId="0" xfId="0" applyFont="1" applyNumberFormat="1">
      <alignment horizontal="left" vertical="center" wrapText="1"/>
    </xf>
    <xf numFmtId="0" fontId="23" fillId="37" borderId="0" xfId="0" applyFont="1" applyFill="1" applyNumberFormat="1">
      <alignment horizontal="right" vertical="center" wrapText="1" indent="1"/>
    </xf>
    <xf numFmtId="0" fontId="23" fillId="0" borderId="0" xfId="0" applyFont="1" applyNumberFormat="1">
      <alignment horizontal="center" vertical="center" wrapText="1"/>
    </xf>
    <xf numFmtId="0" fontId="23" fillId="37" borderId="0" xfId="0" applyFont="1" applyFill="1" applyNumberFormat="1">
      <alignment horizontal="center" vertical="center" wrapText="1"/>
    </xf>
    <xf numFmtId="0" fontId="0" fillId="37" borderId="0" xfId="0" applyFont="1" applyFill="1" applyNumberFormat="1">
      <alignment horizontal="left" vertical="center" wrapText="1" indent="1"/>
    </xf>
    <xf numFmtId="49" fontId="23" fillId="0" borderId="14" xfId="0" applyFont="1" applyBorder="1" applyNumberFormat="1">
      <alignment horizontal="left" vertical="center" wrapText="1" indent="1"/>
    </xf>
    <xf numFmtId="0" fontId="41" fillId="0" borderId="0" xfId="0" applyFont="1" applyNumberFormat="1">
      <alignment horizontal="center" vertical="center" wrapText="1"/>
    </xf>
    <xf numFmtId="0" fontId="43" fillId="37" borderId="0" xfId="0" applyFont="1" applyFill="1" applyNumberFormat="1">
      <alignment horizontal="center" vertical="center" wrapText="1"/>
    </xf>
    <xf numFmtId="49" fontId="23" fillId="38" borderId="14" xfId="0" applyFont="1" applyFill="1" applyBorder="1" applyNumberFormat="1">
      <alignment horizontal="left" vertical="center" wrapText="1" indent="1"/>
    </xf>
    <xf numFmtId="14" fontId="23" fillId="37" borderId="0" xfId="0" applyFont="1" applyFill="1" applyNumberFormat="1">
      <alignment horizontal="center" vertical="center" wrapText="1"/>
    </xf>
    <xf numFmtId="0" fontId="0" fillId="37" borderId="28" xfId="0" applyFont="1" applyFill="1" applyBorder="1" applyNumberFormat="1">
      <alignment horizontal="right" vertical="center" wrapText="1" indent="1"/>
    </xf>
    <xf numFmtId="0" fontId="23" fillId="0" borderId="0" xfId="0" applyFont="1" applyNumberFormat="1">
      <alignment vertical="center"/>
    </xf>
    <xf numFmtId="14" fontId="23" fillId="37" borderId="0" xfId="0" applyFont="1" applyFill="1" applyNumberFormat="1">
      <alignment horizontal="left" vertical="center" wrapText="1"/>
    </xf>
    <xf numFmtId="0" fontId="23" fillId="42" borderId="14" xfId="0" applyFont="1" applyFill="1" applyBorder="1" applyNumberFormat="1">
      <alignment horizontal="left" vertical="center" wrapText="1" indent="1"/>
      <protection locked="0"/>
    </xf>
    <xf numFmtId="0" fontId="23" fillId="42" borderId="14" xfId="0" applyFont="1" applyFill="1" applyBorder="1" applyNumberFormat="1">
      <alignment horizontal="left" vertical="center" wrapText="1" indent="1"/>
      <protection locked="0"/>
    </xf>
    <xf numFmtId="0" fontId="66" fillId="37" borderId="0" xfId="0" applyFont="1" applyFill="1" applyNumberFormat="1">
      <alignment horizontal="right" vertical="center" wrapText="1" indent="1"/>
    </xf>
    <xf numFmtId="0" fontId="66" fillId="37" borderId="0" xfId="0" applyFont="1" applyFill="1" applyNumberFormat="1">
      <alignment horizontal="left" vertical="center" wrapText="1" indent="1"/>
    </xf>
    <xf numFmtId="49" fontId="23" fillId="43" borderId="14" xfId="0" applyFont="1" applyFill="1" applyBorder="1" applyNumberFormat="1">
      <alignment horizontal="left" vertical="center" wrapText="1" indent="1"/>
    </xf>
    <xf numFmtId="0" fontId="65" fillId="37" borderId="0" xfId="0" applyFont="1" applyFill="1" applyNumberFormat="1">
      <alignment vertical="center" wrapText="1"/>
    </xf>
    <xf numFmtId="0" fontId="66" fillId="37" borderId="0" xfId="0" applyFont="1" applyFill="1" applyNumberFormat="1">
      <alignment horizontal="right" vertical="center" wrapText="1" indent="1"/>
    </xf>
    <xf numFmtId="0" fontId="40" fillId="0" borderId="0" xfId="0" applyFont="1" applyNumberFormat="1">
      <alignment horizontal="left" vertical="center" wrapText="1"/>
    </xf>
    <xf numFmtId="49" fontId="32" fillId="0" borderId="14" xfId="0" applyFont="1" applyBorder="1" applyNumberFormat="1">
      <alignment horizontal="left" vertical="center" wrapText="1" indent="1"/>
    </xf>
    <xf numFmtId="0" fontId="40" fillId="0" borderId="0" xfId="0" applyFont="1" applyNumberFormat="1">
      <alignment horizontal="left" vertical="center" wrapText="1"/>
    </xf>
    <xf numFmtId="0" fontId="23" fillId="0" borderId="0" xfId="0" applyFont="1" applyNumberFormat="1">
      <alignment vertical="center" wrapText="1"/>
    </xf>
    <xf numFmtId="14" fontId="97" fillId="0" borderId="0" xfId="0" applyFont="1" applyNumberFormat="1">
      <alignment horizontal="center" vertical="center" wrapText="1"/>
    </xf>
    <xf numFmtId="0" fontId="41" fillId="0" borderId="0" xfId="0" applyFont="1" applyNumberFormat="1">
      <alignment vertical="center" wrapText="1"/>
    </xf>
    <xf numFmtId="0" fontId="40" fillId="0" borderId="0" xfId="0" applyFont="1" applyNumberFormat="1">
      <alignment horizontal="center" vertical="center" wrapText="1"/>
    </xf>
    <xf numFmtId="0" fontId="23" fillId="0" borderId="0" xfId="0" applyFont="1" applyNumberFormat="1">
      <alignment horizontal="center" vertical="center" wrapText="1"/>
    </xf>
    <xf numFmtId="0" fontId="54" fillId="0" borderId="0" xfId="0" applyFont="1" applyNumberFormat="1">
      <alignment horizontal="center" vertical="center" wrapText="1"/>
    </xf>
    <xf numFmtId="0" fontId="54" fillId="0" borderId="0" xfId="0" applyFont="1" applyNumberFormat="1">
      <alignment vertical="center" wrapText="1"/>
    </xf>
    <xf numFmtId="0" fontId="88" fillId="0" borderId="0" xfId="0" applyFont="1" applyNumberFormat="1">
      <alignment vertical="center" wrapText="1"/>
    </xf>
    <xf numFmtId="0" fontId="23" fillId="43" borderId="14" xfId="0" applyFont="1" applyFill="1" applyBorder="1" applyNumberFormat="1">
      <alignment horizontal="left" vertical="center" wrapText="1" indent="1"/>
    </xf>
    <xf numFmtId="167" fontId="0" fillId="0" borderId="13" xfId="0" applyFont="1" applyBorder="1" applyNumberFormat="1">
      <alignment horizontal="left" vertical="center" wrapText="1" indent="1"/>
    </xf>
    <xf numFmtId="0" fontId="23" fillId="43" borderId="14" xfId="0" applyFont="1" applyFill="1" applyBorder="1" applyNumberFormat="1">
      <alignment horizontal="left" vertical="center" wrapText="1" indent="1"/>
    </xf>
    <xf numFmtId="0" fontId="23" fillId="42" borderId="14" xfId="0" applyFont="1" applyFill="1" applyBorder="1" applyNumberFormat="1">
      <alignment horizontal="left" vertical="center" wrapText="1" indent="1"/>
      <protection locked="0"/>
    </xf>
    <xf numFmtId="49" fontId="23" fillId="43" borderId="14" xfId="0" applyFont="1" applyFill="1" applyBorder="1" applyNumberFormat="1">
      <alignment horizontal="left" vertical="center" wrapText="1" indent="1"/>
    </xf>
    <xf numFmtId="0" fontId="96" fillId="0" borderId="0" xfId="0" applyFont="1" applyNumberFormat="1">
      <alignment horizontal="left" vertical="center" wrapText="1"/>
    </xf>
    <xf numFmtId="49" fontId="40" fillId="0" borderId="0" xfId="0" applyFont="1" applyNumberFormat="1">
      <alignment horizontal="left" vertical="center" wrapText="1"/>
    </xf>
    <xf numFmtId="49" fontId="42" fillId="37" borderId="0" xfId="0" applyFont="1" applyFill="1" applyNumberFormat="1">
      <alignment horizontal="center" vertical="center" wrapText="1"/>
    </xf>
    <xf numFmtId="0" fontId="23" fillId="0" borderId="0" xfId="0" applyFont="1" applyNumberFormat="1">
      <alignment horizontal="left" vertical="center" wrapText="1" indent="4"/>
    </xf>
    <xf numFmtId="0" fontId="23" fillId="0" borderId="0" xfId="0" applyFont="1" applyNumberFormat="1">
      <alignment horizontal="left" vertical="center" wrapText="1" indent="1"/>
    </xf>
    <xf numFmtId="49" fontId="23" fillId="42" borderId="14" xfId="0" applyFont="1" applyFill="1" applyBorder="1" applyNumberFormat="1">
      <alignment horizontal="left" vertical="center" wrapText="1" indent="1"/>
      <protection locked="0"/>
    </xf>
    <xf numFmtId="0" fontId="0" fillId="0" borderId="0" xfId="0" applyFont="1" applyNumberFormat="1">
      <alignment horizontal="center" vertical="center" wrapText="1"/>
    </xf>
    <xf numFmtId="49" fontId="23" fillId="37" borderId="0" xfId="0" applyFont="1" applyFill="1" applyNumberFormat="1">
      <alignment horizontal="right" vertical="center" wrapText="1" indent="1"/>
    </xf>
    <xf numFmtId="49" fontId="23" fillId="0" borderId="0" xfId="0" applyFont="1" applyNumberFormat="1">
      <alignment horizontal="center" vertical="center" wrapText="1"/>
    </xf>
    <xf numFmtId="49" fontId="0" fillId="37" borderId="0" xfId="0" applyFont="1" applyFill="1" applyNumberFormat="1">
      <alignment horizontal="right" vertical="center" wrapText="1" indent="1"/>
    </xf>
    <xf numFmtId="0" fontId="36" fillId="0" borderId="0" xfId="0" applyFont="1" applyNumberFormat="1">
      <alignment vertical="top" wrapText="1"/>
    </xf>
    <xf numFmtId="0" fontId="96" fillId="0" borderId="0" xfId="0" applyFont="1" applyNumberFormat="1">
      <alignment horizontal="left" vertical="center" wrapText="1"/>
    </xf>
    <xf numFmtId="0" fontId="40" fillId="0" borderId="0" xfId="0" applyFont="1" applyNumberFormat="1">
      <alignment horizontal="left" vertical="center" wrapText="1"/>
    </xf>
    <xf numFmtId="0" fontId="41" fillId="0" borderId="0" xfId="0" applyFont="1" applyNumberFormat="1">
      <alignment vertical="center" wrapText="1"/>
    </xf>
    <xf numFmtId="0" fontId="23" fillId="0" borderId="0" xfId="0" applyFont="1" applyNumberFormat="1">
      <alignment vertical="center" wrapText="1"/>
    </xf>
    <xf numFmtId="0" fontId="23" fillId="0" borderId="0" xfId="0" applyFont="1" applyNumberFormat="1">
      <alignment horizontal="center" vertical="center" wrapText="1"/>
    </xf>
    <xf numFmtId="0" fontId="40" fillId="0" borderId="0" xfId="0" applyFont="1" applyNumberFormat="1">
      <alignment horizontal="center" vertical="center" wrapText="1"/>
    </xf>
    <xf numFmtId="0" fontId="54" fillId="0" borderId="0" xfId="0" applyFont="1" applyNumberFormat="1">
      <alignment vertical="center" wrapText="1"/>
    </xf>
    <xf numFmtId="0" fontId="55" fillId="0" borderId="0" xfId="0" applyFont="1" applyNumberFormat="1">
      <alignment vertical="center" wrapText="1"/>
    </xf>
    <xf numFmtId="0" fontId="77" fillId="0" borderId="0" xfId="0" applyFont="1" applyNumberFormat="1">
      <alignment vertical="center" wrapText="1"/>
    </xf>
    <xf numFmtId="0" fontId="55" fillId="0" borderId="0" xfId="0" applyFont="1" applyNumberFormat="1">
      <alignment vertical="center" wrapText="1"/>
    </xf>
    <xf numFmtId="0" fontId="55" fillId="0" borderId="0" xfId="0" applyFont="1" applyNumberFormat="1">
      <alignment horizontal="center" vertical="center" wrapText="1"/>
    </xf>
    <xf numFmtId="0" fontId="55" fillId="0" borderId="0" xfId="0" applyFont="1" applyNumberFormat="1">
      <alignment horizontal="left" vertical="center" indent="1"/>
    </xf>
    <xf numFmtId="0" fontId="55" fillId="0" borderId="0" xfId="0" applyFont="1" applyNumberFormat="1">
      <alignment horizontal="center" vertical="center" wrapText="1"/>
    </xf>
    <xf numFmtId="0" fontId="55" fillId="0" borderId="0" xfId="0" applyFont="1" applyNumberFormat="1">
      <alignment horizontal="left" vertical="center" wrapText="1" indent="1"/>
    </xf>
    <xf numFmtId="0" fontId="55" fillId="0" borderId="0" xfId="0" applyFont="1" applyNumberFormat="1">
      <alignment horizontal="left" vertical="center" indent="1"/>
    </xf>
    <xf numFmtId="0" fontId="61" fillId="0" borderId="0" xfId="0" applyFont="1" applyNumberFormat="1">
      <alignment vertical="center" wrapText="1"/>
    </xf>
    <xf numFmtId="0" fontId="23" fillId="0" borderId="0" xfId="0" applyFont="1" applyNumberFormat="1">
      <alignment horizontal="left" vertical="center" wrapText="1" indent="1"/>
    </xf>
    <xf numFmtId="0" fontId="54" fillId="0" borderId="0" xfId="0" applyFont="1" applyNumberFormat="1">
      <alignment horizontal="left" vertical="center" wrapText="1" indent="1"/>
    </xf>
    <xf numFmtId="0" fontId="61" fillId="0" borderId="0" xfId="0" applyFont="1" applyNumberFormat="1">
      <alignment horizontal="left" vertical="center" wrapText="1" indent="1"/>
    </xf>
    <xf numFmtId="0" fontId="62" fillId="0" borderId="0" xfId="0" applyFont="1" applyNumberFormat="1">
      <alignment horizontal="left" vertical="center" indent="1"/>
    </xf>
    <xf numFmtId="0" fontId="50" fillId="0" borderId="0" xfId="0" applyFont="1" applyNumberFormat="1">
      <alignment vertical="center" wrapText="1"/>
    </xf>
    <xf numFmtId="0" fontId="23" fillId="0" borderId="0" xfId="0" applyFont="1" applyNumberFormat="1">
      <alignment vertical="center" wrapText="1"/>
    </xf>
    <xf numFmtId="0" fontId="54" fillId="0" borderId="0" xfId="0" applyFont="1" applyNumberFormat="1">
      <alignment vertical="center" wrapText="1"/>
    </xf>
    <xf numFmtId="0" fontId="45" fillId="0" borderId="0" xfId="0" applyFont="1" applyNumberFormat="1">
      <alignment horizontal="center" vertical="center" wrapText="1"/>
    </xf>
    <xf numFmtId="0" fontId="23" fillId="0" borderId="0" xfId="0" applyFont="1" applyNumberFormat="1">
      <alignment vertical="center" wrapText="1"/>
    </xf>
    <xf numFmtId="0" fontId="23" fillId="0" borderId="0" xfId="0" applyFont="1" applyNumberFormat="1">
      <alignment vertical="center" wrapText="1"/>
    </xf>
    <xf numFmtId="0" fontId="23" fillId="0" borderId="0" xfId="0" applyFont="1" applyNumberFormat="1">
      <alignment horizontal="right" vertical="center" wrapText="1"/>
    </xf>
    <xf numFmtId="0" fontId="55" fillId="0" borderId="0" xfId="0" applyFont="1" applyNumberFormat="1">
      <alignment vertical="center"/>
    </xf>
    <xf numFmtId="0" fontId="55" fillId="0" borderId="0" xfId="0" applyFont="1" applyNumberFormat="1">
      <alignment vertical="center"/>
    </xf>
    <xf numFmtId="0" fontId="60" fillId="0" borderId="0" xfId="0" applyFont="1" applyNumberFormat="1">
      <alignment vertical="center"/>
    </xf>
    <xf numFmtId="0" fontId="23" fillId="0" borderId="17" xfId="0" applyFont="1" applyBorder="1" applyNumberFormat="1">
      <alignment horizontal="left" vertical="center" wrapText="1" indent="1"/>
    </xf>
    <xf numFmtId="4" fontId="23" fillId="0" borderId="0" xfId="0" applyFont="1" applyNumberFormat="1">
      <alignment horizontal="right" vertical="center" wrapText="1"/>
    </xf>
    <xf numFmtId="0" fontId="23" fillId="0" borderId="0" xfId="0" applyFont="1" applyNumberFormat="1">
      <alignment horizontal="left" vertical="center" wrapText="1" indent="1"/>
    </xf>
    <xf numFmtId="49" fontId="23" fillId="0" borderId="0" xfId="0" applyFont="1" applyNumberFormat="1">
      <alignment vertical="top"/>
    </xf>
    <xf numFmtId="49" fontId="54" fillId="0" borderId="0" xfId="0" applyFont="1" applyNumberFormat="1">
      <alignment vertical="top"/>
    </xf>
    <xf numFmtId="49" fontId="23" fillId="0" borderId="0" xfId="0" applyFont="1" applyNumberFormat="1">
      <alignment vertical="top"/>
    </xf>
    <xf numFmtId="49" fontId="23" fillId="0" borderId="0" xfId="0" applyFont="1" applyNumberFormat="1">
      <alignment horizontal="center" vertical="center" wrapText="1"/>
    </xf>
    <xf numFmtId="4" fontId="23" fillId="0" borderId="0" xfId="0" applyFont="1" applyNumberFormat="1">
      <alignment horizontal="center" vertical="center" wrapText="1"/>
    </xf>
    <xf numFmtId="0" fontId="23" fillId="0" borderId="16" xfId="0" applyFont="1" applyBorder="1" applyNumberFormat="1">
      <alignment horizontal="center" vertical="center" wrapText="1"/>
    </xf>
    <xf numFmtId="0" fontId="23" fillId="0" borderId="17" xfId="0" applyFont="1" applyBorder="1" applyNumberFormat="1">
      <alignment horizontal="center" vertical="center" wrapText="1"/>
    </xf>
    <xf numFmtId="0" fontId="23" fillId="0" borderId="15" xfId="0" applyFont="1" applyBorder="1" applyNumberFormat="1">
      <alignment horizontal="center" vertical="center" wrapText="1"/>
    </xf>
    <xf numFmtId="4" fontId="23" fillId="0" borderId="14" xfId="0" applyFont="1" applyBorder="1" applyNumberFormat="1">
      <alignment horizontal="center" vertical="center" wrapText="1"/>
    </xf>
    <xf numFmtId="165" fontId="23" fillId="0" borderId="16" xfId="0" applyFont="1" applyBorder="1" applyNumberFormat="1">
      <alignment horizontal="center" vertical="center" wrapText="1"/>
    </xf>
    <xf numFmtId="165" fontId="23" fillId="0" borderId="14" xfId="0" applyFont="1" applyBorder="1" applyNumberFormat="1">
      <alignment horizontal="center" vertical="center" wrapText="1"/>
    </xf>
    <xf numFmtId="0" fontId="44" fillId="0" borderId="0" xfId="0" applyFont="1" applyNumberFormat="1">
      <alignment horizontal="center" vertical="center" wrapText="1"/>
    </xf>
    <xf numFmtId="49" fontId="44" fillId="0" borderId="17" xfId="0" applyFont="1" applyBorder="1" applyNumberFormat="1">
      <alignment horizontal="center" vertical="center" wrapText="1"/>
    </xf>
    <xf numFmtId="49" fontId="44" fillId="0" borderId="17" xfId="0" applyFont="1" applyBorder="1" applyNumberFormat="1">
      <alignment horizontal="center" vertical="center" wrapText="1"/>
    </xf>
    <xf numFmtId="0" fontId="54" fillId="0" borderId="0" xfId="0" applyFont="1" applyNumberFormat="1">
      <alignment vertical="center"/>
    </xf>
    <xf numFmtId="0" fontId="54" fillId="0" borderId="0" xfId="0" applyFont="1" applyNumberFormat="1">
      <alignment vertical="center"/>
    </xf>
    <xf numFmtId="0" fontId="59" fillId="0" borderId="0" xfId="0" applyFont="1" applyNumberFormat="1">
      <alignment vertical="center"/>
    </xf>
    <xf numFmtId="49" fontId="23" fillId="40" borderId="21" xfId="0" applyFont="1" applyFill="1" applyBorder="1" applyNumberFormat="1">
      <alignment horizontal="center" vertical="center" wrapText="1"/>
    </xf>
    <xf numFmtId="49" fontId="54" fillId="40" borderId="21" xfId="0" applyFont="1" applyFill="1" applyBorder="1" applyNumberFormat="1">
      <alignment horizontal="left" vertical="center" wrapText="1"/>
    </xf>
    <xf numFmtId="49" fontId="54" fillId="40" borderId="22" xfId="0" applyFont="1" applyFill="1" applyBorder="1" applyNumberFormat="1">
      <alignment horizontal="left" vertical="center" wrapText="1"/>
    </xf>
    <xf numFmtId="0" fontId="55" fillId="0" borderId="24" xfId="0" applyFont="1" applyBorder="1" applyNumberFormat="1">
      <alignment vertical="center"/>
    </xf>
    <xf numFmtId="0" fontId="50" fillId="0" borderId="0" xfId="0" applyFont="1" applyNumberFormat="1">
      <alignment vertical="center" wrapText="1"/>
    </xf>
    <xf numFmtId="0" fontId="23" fillId="0" borderId="0" xfId="0" applyFont="1" applyNumberFormat="1">
      <alignment horizontal="center" vertical="center" wrapText="1"/>
    </xf>
    <xf numFmtId="0" fontId="45" fillId="0" borderId="0" xfId="0" applyFont="1" applyNumberFormat="1">
      <alignment horizontal="center" vertical="center" wrapText="1"/>
    </xf>
    <xf numFmtId="0" fontId="23" fillId="0" borderId="14" xfId="0" applyFont="1" applyBorder="1" applyNumberFormat="1">
      <alignment horizontal="center" vertical="center" wrapText="1"/>
    </xf>
    <xf numFmtId="0" fontId="55" fillId="0" borderId="14" xfId="0" applyFont="1" applyBorder="1" applyNumberFormat="1">
      <alignment horizontal="center" vertical="center" wrapText="1"/>
    </xf>
    <xf numFmtId="49" fontId="23" fillId="42" borderId="14" xfId="0" applyFont="1" applyFill="1" applyBorder="1" applyNumberFormat="1">
      <alignment vertical="center" wrapText="1"/>
      <protection locked="0"/>
    </xf>
    <xf numFmtId="49" fontId="54" fillId="0" borderId="14" xfId="0" applyFont="1" applyBorder="1" applyNumberFormat="1">
      <alignment horizontal="left" vertical="center" wrapText="1"/>
    </xf>
    <xf numFmtId="0" fontId="55" fillId="0" borderId="0" xfId="0" applyFont="1" applyNumberFormat="1">
      <alignment vertical="center"/>
    </xf>
    <xf numFmtId="0" fontId="55" fillId="0" borderId="0" xfId="0" applyFont="1" applyNumberFormat="1">
      <alignment vertical="center"/>
    </xf>
    <xf numFmtId="49" fontId="0" fillId="0" borderId="0" xfId="0" applyFont="1" applyNumberFormat="1">
      <alignment vertical="top"/>
    </xf>
    <xf numFmtId="0" fontId="44" fillId="0" borderId="26" xfId="0" applyFont="1" applyBorder="1" applyNumberFormat="1">
      <alignment vertical="top" wrapText="1"/>
    </xf>
    <xf numFmtId="0" fontId="23" fillId="0" borderId="25" xfId="0" applyFont="1" applyBorder="1" applyNumberFormat="1">
      <alignment horizontal="center" vertical="center" wrapText="1"/>
    </xf>
    <xf numFmtId="0" fontId="55" fillId="0" borderId="25" xfId="0" applyFont="1" applyBorder="1" applyNumberFormat="1">
      <alignment horizontal="center" vertical="center" wrapText="1"/>
    </xf>
    <xf numFmtId="14" fontId="23" fillId="43" borderId="25" xfId="0" applyFont="1" applyFill="1" applyBorder="1" applyNumberFormat="1">
      <alignment horizontal="left" vertical="center" wrapText="1" indent="1"/>
    </xf>
    <xf numFmtId="49" fontId="23" fillId="38" borderId="25" xfId="0" applyFont="1" applyFill="1" applyBorder="1" applyNumberFormat="1">
      <alignment horizontal="center" vertical="center" wrapText="1"/>
    </xf>
    <xf numFmtId="0" fontId="79" fillId="0" borderId="0" xfId="0" applyFont="1" applyNumberFormat="1">
      <alignment vertical="center" wrapText="1"/>
    </xf>
    <xf numFmtId="49" fontId="54" fillId="0" borderId="0" xfId="0" applyFont="1" applyNumberFormat="1">
      <alignment vertical="top"/>
    </xf>
    <xf numFmtId="49" fontId="55" fillId="0" borderId="0" xfId="0" applyFont="1" applyNumberFormat="1">
      <alignment vertical="top"/>
    </xf>
    <xf numFmtId="0" fontId="0" fillId="0" borderId="0" xfId="0" applyFont="1" applyNumberFormat="1">
      <alignment vertical="center" wrapText="1"/>
    </xf>
    <xf numFmtId="0" fontId="44" fillId="0" borderId="0" xfId="0" applyFont="1" applyNumberFormat="1">
      <alignment vertical="top" wrapText="1"/>
    </xf>
    <xf numFmtId="49" fontId="36" fillId="40" borderId="16" xfId="0" applyFont="1" applyFill="1" applyBorder="1" applyNumberFormat="1">
      <alignment horizontal="right" vertical="center" wrapText="1"/>
    </xf>
    <xf numFmtId="49" fontId="36" fillId="40" borderId="17" xfId="0" applyFont="1" applyFill="1" applyBorder="1" applyNumberFormat="1">
      <alignment horizontal="right" vertical="center" wrapText="1"/>
    </xf>
    <xf numFmtId="49" fontId="48" fillId="40" borderId="17" xfId="0" applyFont="1" applyFill="1" applyBorder="1" applyNumberFormat="1">
      <alignment horizontal="left" vertical="center" indent="1"/>
    </xf>
    <xf numFmtId="49" fontId="0" fillId="40" borderId="17" xfId="0" applyFont="1" applyFill="1" applyBorder="1" applyNumberFormat="1">
      <alignment horizontal="right" vertical="center" wrapText="1"/>
    </xf>
    <xf numFmtId="49" fontId="0" fillId="40" borderId="15" xfId="0" applyFont="1" applyFill="1" applyBorder="1" applyNumberFormat="1">
      <alignment horizontal="right" vertical="center" wrapText="1"/>
    </xf>
    <xf numFmtId="49" fontId="23" fillId="40" borderId="16" xfId="0" applyFont="1" applyFill="1" applyBorder="1" applyNumberFormat="1">
      <alignment horizontal="right" vertical="center" wrapText="1"/>
    </xf>
    <xf numFmtId="49" fontId="23" fillId="40" borderId="17" xfId="0" applyFont="1" applyFill="1" applyBorder="1" applyNumberFormat="1">
      <alignment horizontal="right" vertical="center" wrapText="1"/>
    </xf>
    <xf numFmtId="49" fontId="48" fillId="40" borderId="17" xfId="0" applyFont="1" applyFill="1" applyBorder="1" applyNumberFormat="1">
      <alignment horizontal="left" vertical="center"/>
    </xf>
    <xf numFmtId="49" fontId="23" fillId="40" borderId="15" xfId="0" applyFont="1" applyFill="1" applyBorder="1" applyNumberFormat="1">
      <alignment horizontal="right" vertical="center" wrapText="1"/>
    </xf>
    <xf numFmtId="0" fontId="45" fillId="0" borderId="0" xfId="0" applyFont="1" applyNumberFormat="1">
      <alignment horizontal="center" vertical="center" wrapText="1"/>
    </xf>
    <xf numFmtId="0" fontId="23" fillId="0" borderId="23" xfId="0" applyFont="1" applyBorder="1" applyNumberFormat="1">
      <alignment vertical="center" wrapText="1"/>
    </xf>
    <xf numFmtId="0" fontId="23" fillId="0" borderId="0" xfId="0" applyFont="1" applyNumberFormat="1">
      <alignment vertical="center" wrapText="1"/>
    </xf>
    <xf numFmtId="0" fontId="53" fillId="0" borderId="0" xfId="0" applyFont="1" applyNumberFormat="1">
      <alignment vertical="center" wrapText="1"/>
    </xf>
    <xf numFmtId="0" fontId="99" fillId="0" borderId="0" xfId="0" applyFont="1" applyNumberFormat="1">
      <alignment vertical="center" wrapText="1"/>
    </xf>
    <xf numFmtId="0" fontId="57" fillId="0" borderId="0" xfId="0" applyFont="1" applyNumberFormat="1">
      <alignment horizontal="center" vertical="center" wrapText="1"/>
    </xf>
    <xf numFmtId="49" fontId="0" fillId="0" borderId="0" xfId="0" applyFont="1" applyNumberFormat="1">
      <alignment vertical="top"/>
    </xf>
    <xf numFmtId="0" fontId="23" fillId="0" borderId="0" xfId="0" applyFont="1" applyNumberFormat="1">
      <alignment vertical="center" wrapText="1"/>
    </xf>
    <xf numFmtId="0" fontId="54" fillId="0" borderId="0" xfId="0" applyFont="1" applyNumberFormat="1">
      <alignment vertical="center" wrapText="1"/>
    </xf>
    <xf numFmtId="0" fontId="45" fillId="0" borderId="0" xfId="0" applyFont="1" applyNumberFormat="1">
      <alignment horizontal="center" vertical="center" wrapText="1"/>
    </xf>
    <xf numFmtId="0" fontId="23" fillId="0" borderId="0" xfId="0" applyFont="1" applyNumberFormat="1">
      <alignment vertical="center" wrapText="1"/>
    </xf>
    <xf numFmtId="0" fontId="55" fillId="0" borderId="0" xfId="0" applyFont="1" applyNumberFormat="1">
      <alignment vertical="center"/>
    </xf>
    <xf numFmtId="0" fontId="55" fillId="0" borderId="0" xfId="0" applyFont="1" applyNumberFormat="1">
      <alignment vertical="center"/>
    </xf>
    <xf numFmtId="0" fontId="60" fillId="0" borderId="0" xfId="0" applyFont="1" applyNumberFormat="1">
      <alignment vertical="center"/>
    </xf>
    <xf numFmtId="0" fontId="23" fillId="0" borderId="0" xfId="0" applyFont="1" applyNumberFormat="1">
      <alignment vertical="center"/>
    </xf>
    <xf numFmtId="0" fontId="23" fillId="0" borderId="22" xfId="0" applyFont="1" applyBorder="1" applyNumberFormat="1">
      <alignment horizontal="left" vertical="center" wrapText="1" indent="1"/>
    </xf>
    <xf numFmtId="0" fontId="23" fillId="0" borderId="19" xfId="0" applyFont="1" applyBorder="1" applyNumberFormat="1">
      <alignment horizontal="left" vertical="center" wrapText="1" indent="1"/>
    </xf>
    <xf numFmtId="0" fontId="23" fillId="0" borderId="39" xfId="0" applyFont="1" applyBorder="1" applyNumberFormat="1">
      <alignment horizontal="left" vertical="center" wrapText="1" indent="1"/>
    </xf>
    <xf numFmtId="0" fontId="54" fillId="0" borderId="0" xfId="0" applyFont="1" applyNumberFormat="1">
      <alignment vertical="center"/>
    </xf>
    <xf numFmtId="0" fontId="49" fillId="0" borderId="0" xfId="0" applyFont="1" applyNumberFormat="1">
      <alignment vertical="center"/>
    </xf>
    <xf numFmtId="0" fontId="23" fillId="0" borderId="31" xfId="0" applyFont="1" applyBorder="1" applyNumberFormat="1">
      <alignment horizontal="left" vertical="center" indent="1"/>
    </xf>
    <xf numFmtId="0" fontId="23" fillId="0" borderId="25" xfId="0" applyFont="1" applyBorder="1" applyNumberFormat="1">
      <alignment horizontal="left" vertical="center" indent="1"/>
    </xf>
    <xf numFmtId="0" fontId="23" fillId="0" borderId="32" xfId="0" applyFont="1" applyBorder="1" applyNumberFormat="1">
      <alignment horizontal="left" vertical="center" indent="1"/>
    </xf>
    <xf numFmtId="0" fontId="91" fillId="0" borderId="0" xfId="0" applyFont="1" applyNumberFormat="1">
      <alignment vertical="center"/>
    </xf>
    <xf numFmtId="0" fontId="56" fillId="0" borderId="0" xfId="0" applyFont="1" applyNumberFormat="1">
      <alignment vertical="center"/>
    </xf>
    <xf numFmtId="0" fontId="113" fillId="0" borderId="0" xfId="0" applyFont="1" applyNumberFormat="1">
      <alignment vertical="center"/>
    </xf>
    <xf numFmtId="0" fontId="49" fillId="0" borderId="0" xfId="0" applyFont="1" applyNumberFormat="1">
      <alignment vertical="center"/>
    </xf>
    <xf numFmtId="0" fontId="23" fillId="0" borderId="0" xfId="0" applyFont="1" applyNumberFormat="1">
      <alignment horizontal="center" vertical="center" wrapText="1"/>
    </xf>
    <xf numFmtId="0" fontId="23" fillId="0" borderId="0" xfId="0" applyFont="1" applyNumberFormat="1">
      <alignment vertical="center" wrapText="1"/>
    </xf>
    <xf numFmtId="0" fontId="91" fillId="0" borderId="0" xfId="0" applyFont="1" applyNumberFormat="1">
      <alignment vertical="center"/>
    </xf>
    <xf numFmtId="0" fontId="56" fillId="0" borderId="0" xfId="0" applyFont="1" applyNumberFormat="1">
      <alignment vertical="center"/>
    </xf>
    <xf numFmtId="0" fontId="113" fillId="0" borderId="0" xfId="0" applyFont="1" applyNumberFormat="1">
      <alignment vertical="center"/>
    </xf>
    <xf numFmtId="0" fontId="0" fillId="0" borderId="0" xfId="0" applyFont="1" applyNumberFormat="1">
      <alignment horizontal="left" vertical="center" wrapText="1" indent="2"/>
    </xf>
    <xf numFmtId="0" fontId="0" fillId="0" borderId="0" xfId="0" applyFont="1" applyNumberFormat="1">
      <alignment horizontal="left" vertical="center" indent="2"/>
    </xf>
    <xf numFmtId="0" fontId="37" fillId="0" borderId="0" xfId="0" applyFont="1" applyNumberFormat="1">
      <alignment vertical="center"/>
    </xf>
    <xf numFmtId="0" fontId="49" fillId="0" borderId="0" xfId="0" applyFont="1" applyNumberFormat="1">
      <alignment vertical="center"/>
    </xf>
    <xf numFmtId="0" fontId="23" fillId="44" borderId="0" xfId="0" applyFont="1" applyFill="1" applyNumberFormat="1">
      <alignment horizontal="center" vertical="center" wrapText="1"/>
    </xf>
    <xf numFmtId="0" fontId="23" fillId="0" borderId="0" xfId="0" applyFont="1" applyNumberFormat="1">
      <alignment vertical="center" wrapText="1"/>
    </xf>
    <xf numFmtId="0" fontId="23" fillId="0" borderId="14" xfId="0" applyFont="1" applyBorder="1" applyNumberFormat="1">
      <alignment horizontal="center" vertical="center" wrapText="1"/>
    </xf>
    <xf numFmtId="0" fontId="80" fillId="0" borderId="39" xfId="0" applyFont="1" applyBorder="1" applyNumberFormat="1">
      <alignment horizontal="center" vertical="center" wrapText="1"/>
    </xf>
    <xf numFmtId="0" fontId="80" fillId="0" borderId="21" xfId="0" applyFont="1" applyBorder="1" applyNumberFormat="1">
      <alignment horizontal="center" vertical="center" wrapText="1"/>
    </xf>
    <xf numFmtId="0" fontId="80" fillId="0" borderId="14" xfId="0" applyFont="1" applyBorder="1" applyNumberFormat="1">
      <alignment horizontal="center" vertical="center" wrapText="1"/>
    </xf>
    <xf numFmtId="0" fontId="23" fillId="0" borderId="0" xfId="0" applyFont="1" applyNumberFormat="1">
      <alignment horizontal="center" vertical="center" wrapText="1"/>
    </xf>
    <xf numFmtId="0" fontId="87" fillId="0" borderId="0" xfId="0" applyFont="1" applyNumberFormat="1">
      <alignment horizontal="center" vertical="center" wrapText="1"/>
    </xf>
    <xf numFmtId="0" fontId="23" fillId="0" borderId="14" xfId="0" applyFont="1" applyBorder="1" applyNumberFormat="1">
      <alignment horizontal="center" vertical="center" wrapText="1"/>
    </xf>
    <xf numFmtId="0" fontId="23" fillId="0" borderId="73" xfId="0" applyFont="1" applyBorder="1" applyNumberFormat="1">
      <alignment horizontal="center" vertical="center" wrapText="1"/>
    </xf>
    <xf numFmtId="0" fontId="23" fillId="0" borderId="74" xfId="0" applyFont="1" applyBorder="1" applyNumberFormat="1">
      <alignment horizontal="center" vertical="center" wrapText="1"/>
    </xf>
    <xf numFmtId="0" fontId="54" fillId="0" borderId="24" xfId="0" applyFont="1" applyBorder="1" applyNumberFormat="1">
      <alignment vertical="center"/>
    </xf>
    <xf numFmtId="0" fontId="0" fillId="0" borderId="0" xfId="0" applyFont="1" applyNumberFormat="1">
      <alignment vertical="center"/>
    </xf>
    <xf numFmtId="49" fontId="44" fillId="0" borderId="0" xfId="0" applyFont="1" applyNumberFormat="1">
      <alignment horizontal="center" vertical="center" wrapText="1"/>
    </xf>
    <xf numFmtId="49" fontId="44" fillId="0" borderId="14" xfId="0" applyFont="1" applyBorder="1" applyNumberFormat="1">
      <alignment horizontal="center" vertical="center" wrapText="1"/>
    </xf>
    <xf numFmtId="49" fontId="44" fillId="0" borderId="71" xfId="0" applyFont="1" applyBorder="1" applyNumberFormat="1">
      <alignment horizontal="center" vertical="center" wrapText="1"/>
    </xf>
    <xf numFmtId="49" fontId="44" fillId="0" borderId="72" xfId="0" applyFont="1" applyBorder="1" applyNumberFormat="1">
      <alignment horizontal="center" vertical="center" wrapText="1"/>
    </xf>
    <xf numFmtId="49" fontId="44" fillId="0" borderId="16" xfId="0" applyFont="1" applyBorder="1" applyNumberFormat="1">
      <alignment horizontal="center" vertical="center" wrapText="1"/>
    </xf>
    <xf numFmtId="49" fontId="44" fillId="0" borderId="15" xfId="0" applyFont="1" applyBorder="1" applyNumberFormat="1">
      <alignment horizontal="center" vertical="center" wrapText="1"/>
    </xf>
    <xf numFmtId="0" fontId="54" fillId="0" borderId="24" xfId="0" applyFont="1" applyBorder="1" applyNumberFormat="1">
      <alignment vertical="center"/>
    </xf>
    <xf numFmtId="0" fontId="55" fillId="0" borderId="0" xfId="0" applyFont="1" applyNumberFormat="1">
      <alignment vertical="center"/>
    </xf>
    <xf numFmtId="0" fontId="55" fillId="0" borderId="0" xfId="0" applyFont="1" applyNumberFormat="1">
      <alignment vertical="center"/>
    </xf>
    <xf numFmtId="0" fontId="23" fillId="0" borderId="0" xfId="0" applyFont="1" applyNumberFormat="1">
      <alignment vertical="center"/>
    </xf>
    <xf numFmtId="0" fontId="54" fillId="0" borderId="0" xfId="0" applyFont="1" applyNumberFormat="1">
      <alignment vertical="center"/>
    </xf>
    <xf numFmtId="0" fontId="55" fillId="0" borderId="0" xfId="0" applyFont="1" applyNumberFormat="1">
      <alignment horizontal="center" vertical="center"/>
    </xf>
    <xf numFmtId="0" fontId="23" fillId="0" borderId="0" xfId="0" applyFont="1" applyNumberFormat="1">
      <alignment horizontal="center" vertical="center" wrapText="1"/>
    </xf>
    <xf numFmtId="0" fontId="23" fillId="40" borderId="16"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43" xfId="0" applyFont="1" applyFill="1" applyBorder="1" applyNumberFormat="1">
      <alignment horizontal="center" vertical="center" wrapText="1"/>
    </xf>
    <xf numFmtId="49" fontId="0" fillId="40" borderId="17" xfId="0" applyFont="1" applyFill="1" applyBorder="1" applyNumberFormat="1">
      <alignment horizontal="left" vertical="center"/>
    </xf>
    <xf numFmtId="0" fontId="0" fillId="40" borderId="15" xfId="0" applyFont="1" applyFill="1" applyBorder="1" applyNumberFormat="1">
      <alignment vertical="center"/>
    </xf>
    <xf numFmtId="0" fontId="0" fillId="0" borderId="0" xfId="0" applyFont="1" applyNumberFormat="1">
      <alignment vertical="center"/>
    </xf>
    <xf numFmtId="49" fontId="0" fillId="0" borderId="0" xfId="0" applyFont="1" applyNumberFormat="1">
      <alignment vertical="top"/>
    </xf>
    <xf numFmtId="0" fontId="45" fillId="0" borderId="0" xfId="0" applyFont="1" applyNumberFormat="1">
      <alignment horizontal="center" vertical="center" wrapText="1"/>
    </xf>
    <xf numFmtId="49" fontId="23" fillId="0" borderId="14" xfId="0" applyFont="1" applyBorder="1" applyNumberFormat="1">
      <alignment horizontal="center" vertical="center" wrapText="1"/>
    </xf>
    <xf numFmtId="0" fontId="23" fillId="43" borderId="19" xfId="0" applyFont="1" applyFill="1" applyBorder="1" applyNumberFormat="1">
      <alignment horizontal="left" vertical="center" wrapText="1" indent="2"/>
    </xf>
    <xf numFmtId="49" fontId="23" fillId="43" borderId="25" xfId="0" applyFont="1" applyFill="1" applyBorder="1" applyNumberFormat="1">
      <alignment horizontal="center" vertical="center" wrapText="1"/>
    </xf>
    <xf numFmtId="14" fontId="86" fillId="0" borderId="75" xfId="0" applyFont="1" applyBorder="1" applyNumberFormat="1">
      <alignment horizontal="center" vertical="center" wrapText="1"/>
    </xf>
    <xf numFmtId="0" fontId="23" fillId="0" borderId="75" xfId="0" applyFont="1" applyBorder="1" applyNumberFormat="1">
      <alignment horizontal="center" vertical="center" wrapText="1"/>
    </xf>
    <xf numFmtId="0" fontId="23" fillId="43" borderId="19" xfId="0" applyFont="1" applyFill="1" applyBorder="1" applyNumberFormat="1">
      <alignment horizontal="left" vertical="center" wrapText="1" indent="1"/>
      <protection locked="0"/>
    </xf>
    <xf numFmtId="49" fontId="23" fillId="43" borderId="14" xfId="0" applyFont="1" applyFill="1" applyBorder="1" applyNumberFormat="1">
      <alignment horizontal="center" vertical="center" wrapText="1"/>
    </xf>
    <xf numFmtId="49" fontId="23" fillId="0" borderId="19" xfId="0" applyFont="1" applyBorder="1" applyNumberFormat="1">
      <alignment horizontal="center" vertical="center" wrapText="1"/>
    </xf>
    <xf numFmtId="49" fontId="23" fillId="0" borderId="14" xfId="0" applyFont="1" applyBorder="1" applyNumberFormat="1">
      <alignment horizontal="center" vertical="center" wrapText="1"/>
    </xf>
    <xf numFmtId="49" fontId="80" fillId="0" borderId="14" xfId="0" applyFont="1" applyBorder="1" applyNumberFormat="1">
      <alignment horizontal="left" vertical="center" wrapText="1" indent="1"/>
    </xf>
    <xf numFmtId="0" fontId="54" fillId="0" borderId="24" xfId="0" applyFont="1" applyBorder="1" applyNumberFormat="1">
      <alignment vertical="center"/>
    </xf>
    <xf numFmtId="0" fontId="55" fillId="0" borderId="0" xfId="0" applyFont="1" applyNumberFormat="1">
      <alignment vertical="center"/>
    </xf>
    <xf numFmtId="0" fontId="23" fillId="0" borderId="0" xfId="0" applyFont="1" applyNumberFormat="1">
      <alignment vertical="center"/>
    </xf>
    <xf numFmtId="0" fontId="54" fillId="0" borderId="0" xfId="0" applyFont="1" applyNumberFormat="1">
      <alignment vertical="center"/>
    </xf>
    <xf numFmtId="0" fontId="23" fillId="43" borderId="38" xfId="0" applyFont="1" applyFill="1" applyBorder="1" applyNumberFormat="1">
      <alignment horizontal="left" vertical="center" wrapText="1" indent="2"/>
    </xf>
    <xf numFmtId="0" fontId="23" fillId="43" borderId="25" xfId="0" applyFont="1" applyFill="1" applyBorder="1" applyNumberFormat="1">
      <alignment horizontal="left" vertical="center" wrapText="1" indent="1"/>
      <protection locked="0"/>
    </xf>
    <xf numFmtId="49" fontId="48" fillId="40" borderId="15" xfId="0" applyFont="1" applyFill="1" applyBorder="1" applyNumberFormat="1">
      <alignment horizontal="left" vertical="center" indent="1"/>
    </xf>
    <xf numFmtId="0" fontId="23" fillId="43" borderId="25" xfId="0" applyFont="1" applyFill="1" applyBorder="1" applyNumberFormat="1">
      <alignment horizontal="left" vertical="center" wrapText="1" indent="2"/>
    </xf>
    <xf numFmtId="49" fontId="36" fillId="40" borderId="44" xfId="0" applyFont="1" applyFill="1" applyBorder="1" applyNumberFormat="1">
      <alignment horizontal="right" vertical="center" wrapText="1"/>
    </xf>
    <xf numFmtId="49" fontId="36" fillId="40" borderId="45" xfId="0" applyFont="1" applyFill="1" applyBorder="1" applyNumberFormat="1">
      <alignment horizontal="right" vertical="center" wrapText="1"/>
    </xf>
    <xf numFmtId="49" fontId="48" fillId="40" borderId="17" xfId="0" applyFont="1" applyFill="1" applyBorder="1" applyNumberFormat="1">
      <alignment horizontal="left" vertical="center" indent="1"/>
    </xf>
    <xf numFmtId="49" fontId="36" fillId="40" borderId="15" xfId="0" applyFont="1" applyFill="1" applyBorder="1" applyNumberFormat="1">
      <alignment horizontal="right" vertical="center" wrapText="1"/>
    </xf>
    <xf numFmtId="0" fontId="80" fillId="44" borderId="0" xfId="0" applyFont="1" applyFill="1" applyNumberFormat="1">
      <alignment vertical="top"/>
    </xf>
    <xf numFmtId="49" fontId="23" fillId="0" borderId="0" xfId="0" applyFont="1" applyNumberFormat="1">
      <alignment vertical="center" wrapText="1"/>
    </xf>
    <xf numFmtId="49" fontId="23" fillId="0" borderId="0" xfId="0" applyFont="1" applyNumberFormat="1">
      <alignment horizontal="center" vertical="center" wrapText="1"/>
    </xf>
    <xf numFmtId="49" fontId="48" fillId="40" borderId="17" xfId="0" applyFont="1" applyFill="1" applyBorder="1" applyNumberFormat="1">
      <alignment horizontal="left" vertical="center" indent="2"/>
    </xf>
    <xf numFmtId="0" fontId="0" fillId="0" borderId="0" xfId="0" applyFont="1" applyNumberFormat="1">
      <alignment vertical="center"/>
    </xf>
    <xf numFmtId="0" fontId="54" fillId="0" borderId="0" xfId="0" applyFont="1" applyNumberFormat="1">
      <alignment vertical="center"/>
    </xf>
    <xf numFmtId="0" fontId="55" fillId="0" borderId="0" xfId="0" applyFont="1" applyNumberFormat="1">
      <alignment vertical="center"/>
    </xf>
    <xf numFmtId="0" fontId="23" fillId="0" borderId="0" xfId="0" applyFont="1" applyNumberFormat="1">
      <alignment vertical="center"/>
    </xf>
    <xf numFmtId="0" fontId="55" fillId="0" borderId="0" xfId="0" applyFont="1" applyNumberFormat="1">
      <alignment vertical="center"/>
    </xf>
    <xf numFmtId="0" fontId="49" fillId="0" borderId="0" xfId="0" applyFont="1" applyNumberFormat="1">
      <alignment vertical="center"/>
    </xf>
    <xf numFmtId="0" fontId="56" fillId="0" borderId="0" xfId="0" applyFont="1" applyNumberFormat="1">
      <alignment vertical="center"/>
    </xf>
    <xf numFmtId="0" fontId="23" fillId="0" borderId="22" xfId="0" applyFont="1" applyBorder="1" applyNumberFormat="1">
      <alignment horizontal="left" vertical="top" wrapText="1" indent="1"/>
    </xf>
    <xf numFmtId="0" fontId="23" fillId="0" borderId="19" xfId="0" applyFont="1" applyBorder="1" applyNumberFormat="1">
      <alignment horizontal="left" vertical="top" wrapText="1" indent="1"/>
    </xf>
    <xf numFmtId="0" fontId="23" fillId="0" borderId="39" xfId="0" applyFont="1" applyBorder="1" applyNumberFormat="1">
      <alignment horizontal="left" vertical="top" wrapText="1" indent="1"/>
    </xf>
    <xf numFmtId="0" fontId="69" fillId="0" borderId="0" xfId="0" applyFont="1" applyNumberFormat="1">
      <alignment vertical="center" wrapText="1"/>
    </xf>
    <xf numFmtId="0" fontId="22" fillId="0" borderId="0" xfId="0" applyFont="1" applyNumberFormat="1">
      <alignment vertical="center" wrapText="1"/>
    </xf>
    <xf numFmtId="0" fontId="22" fillId="0" borderId="0" xfId="0" applyFont="1" applyNumberFormat="1">
      <alignment vertical="center" wrapText="1"/>
    </xf>
    <xf numFmtId="0" fontId="113" fillId="0" borderId="0" xfId="0" applyFont="1" applyNumberFormat="1">
      <alignment vertical="center"/>
    </xf>
    <xf numFmtId="0" fontId="23" fillId="0" borderId="29" xfId="0" applyFont="1" applyBorder="1" applyNumberFormat="1">
      <alignment horizontal="left" vertical="center" indent="1"/>
    </xf>
    <xf numFmtId="0" fontId="72" fillId="0" borderId="0" xfId="0" applyFont="1" applyNumberFormat="1">
      <alignment vertical="center"/>
    </xf>
    <xf numFmtId="0" fontId="55" fillId="0" borderId="0" xfId="0" applyFont="1" applyNumberFormat="1">
      <alignment vertical="center"/>
    </xf>
    <xf numFmtId="0" fontId="77" fillId="0" borderId="26" xfId="0" applyFont="1" applyBorder="1" applyNumberFormat="1">
      <alignment horizontal="left" vertical="center" wrapText="1" indent="1"/>
    </xf>
    <xf numFmtId="0" fontId="77" fillId="0" borderId="38" xfId="0" applyFont="1" applyBorder="1" applyNumberFormat="1">
      <alignment horizontal="left" vertical="center" wrapText="1" indent="1"/>
    </xf>
    <xf numFmtId="0" fontId="77" fillId="0" borderId="24" xfId="0" applyFont="1" applyBorder="1" applyNumberFormat="1">
      <alignment horizontal="left" vertical="center" wrapText="1" indent="1"/>
    </xf>
    <xf numFmtId="0" fontId="72" fillId="0" borderId="0" xfId="0" applyFont="1" applyNumberFormat="1">
      <alignment vertical="center"/>
    </xf>
    <xf numFmtId="0" fontId="23" fillId="0" borderId="0" xfId="0" applyFont="1" applyNumberFormat="1">
      <alignment vertical="center"/>
    </xf>
    <xf numFmtId="0" fontId="37" fillId="0" borderId="0" xfId="0" applyFont="1" applyNumberFormat="1">
      <alignment vertical="center"/>
    </xf>
    <xf numFmtId="0" fontId="49" fillId="0" borderId="0" xfId="0" applyFont="1" applyNumberFormat="1">
      <alignment vertical="center"/>
    </xf>
    <xf numFmtId="0" fontId="0" fillId="0" borderId="14" xfId="0" applyFont="1" applyBorder="1" applyNumberFormat="1">
      <alignment horizontal="center" vertical="center" wrapText="1"/>
    </xf>
    <xf numFmtId="0" fontId="23" fillId="0" borderId="14" xfId="0" applyFont="1" applyBorder="1" applyNumberFormat="1">
      <alignment horizontal="center" vertical="center" wrapText="1"/>
    </xf>
    <xf numFmtId="0" fontId="23" fillId="0" borderId="14" xfId="0" applyFont="1" applyBorder="1" applyNumberFormat="1">
      <alignment horizontal="center" vertical="center" wrapText="1"/>
    </xf>
    <xf numFmtId="0" fontId="23" fillId="0" borderId="14" xfId="0" applyFont="1" applyBorder="1" applyNumberFormat="1">
      <alignment horizontal="center" vertical="center" wrapText="1"/>
    </xf>
    <xf numFmtId="0" fontId="23" fillId="0" borderId="0" xfId="0" applyFont="1" applyNumberFormat="1">
      <alignment vertical="center"/>
    </xf>
    <xf numFmtId="0" fontId="55" fillId="0" borderId="0" xfId="0" applyFont="1" applyNumberFormat="1">
      <alignment vertical="center"/>
    </xf>
    <xf numFmtId="49" fontId="55" fillId="37" borderId="0" xfId="0" applyFont="1" applyFill="1" applyNumberFormat="1">
      <alignment horizontal="center" vertical="center" wrapText="1"/>
    </xf>
    <xf numFmtId="49" fontId="55" fillId="37" borderId="29" xfId="0" applyFont="1" applyFill="1" applyBorder="1" applyNumberFormat="1">
      <alignment horizontal="center" vertical="center" wrapText="1"/>
    </xf>
    <xf numFmtId="0" fontId="45" fillId="0" borderId="0" xfId="0" applyFont="1" applyNumberFormat="1">
      <alignment horizontal="center" vertical="center" wrapText="1"/>
    </xf>
    <xf numFmtId="0" fontId="55" fillId="0" borderId="14" xfId="0" applyFont="1" applyBorder="1" applyNumberFormat="1">
      <alignment horizontal="center" vertical="center"/>
    </xf>
    <xf numFmtId="0" fontId="23" fillId="0" borderId="14" xfId="0" applyFont="1" applyBorder="1" applyNumberFormat="1">
      <alignment horizontal="center" vertical="center" wrapText="1"/>
    </xf>
    <xf numFmtId="0" fontId="0" fillId="0" borderId="14" xfId="0" applyFont="1" applyBorder="1" applyNumberFormat="1">
      <alignment horizontal="center" vertical="center"/>
    </xf>
    <xf numFmtId="49" fontId="23" fillId="0" borderId="14" xfId="0" applyFont="1" applyBorder="1" applyNumberFormat="1">
      <alignment horizontal="center" vertical="center" wrapText="1"/>
    </xf>
    <xf numFmtId="49" fontId="23" fillId="0" borderId="14" xfId="0" applyFont="1" applyBorder="1" applyNumberFormat="1">
      <alignment horizontal="center" vertical="center" wrapText="1"/>
    </xf>
    <xf numFmtId="49" fontId="0" fillId="0" borderId="14" xfId="0" applyFont="1" applyBorder="1" applyNumberFormat="1">
      <alignment horizontal="center" vertical="center"/>
    </xf>
    <xf numFmtId="49" fontId="0" fillId="0" borderId="14" xfId="0" applyFont="1" applyBorder="1" applyNumberFormat="1">
      <alignment horizontal="left" vertical="center"/>
    </xf>
    <xf numFmtId="49" fontId="23" fillId="0" borderId="14" xfId="0" applyFont="1" applyBorder="1" applyNumberFormat="1">
      <alignment horizontal="center" vertical="center" wrapText="1"/>
    </xf>
    <xf numFmtId="49" fontId="23" fillId="0" borderId="14" xfId="0" applyFont="1" applyBorder="1" applyNumberFormat="1">
      <alignment horizontal="center" vertical="center" wrapText="1"/>
    </xf>
    <xf numFmtId="49" fontId="0" fillId="0" borderId="14" xfId="0" applyFont="1" applyBorder="1" applyNumberFormat="1">
      <alignment horizontal="left" vertical="center"/>
    </xf>
    <xf numFmtId="0" fontId="0" fillId="0" borderId="0" xfId="0" applyFont="1" applyNumberFormat="1">
      <alignment vertical="center"/>
    </xf>
    <xf numFmtId="0" fontId="0" fillId="0" borderId="0" xfId="0" applyFont="1" applyNumberFormat="1">
      <alignment vertical="center"/>
    </xf>
    <xf numFmtId="49" fontId="0" fillId="0" borderId="0" xfId="0" applyFont="1" applyNumberFormat="1">
      <alignment vertical="center"/>
    </xf>
    <xf numFmtId="0" fontId="0" fillId="0" borderId="14" xfId="0" applyFont="1" applyBorder="1" applyNumberFormat="1">
      <alignment horizontal="center" vertical="top"/>
    </xf>
    <xf numFmtId="0" fontId="23" fillId="0" borderId="14" xfId="0" applyFont="1" applyBorder="1" applyNumberFormat="1">
      <alignment horizontal="left" vertical="top" wrapText="1"/>
    </xf>
    <xf numFmtId="0" fontId="23" fillId="43" borderId="19" xfId="0" applyFont="1" applyFill="1" applyBorder="1" applyNumberFormat="1">
      <alignment horizontal="center" vertical="top" wrapText="1"/>
    </xf>
    <xf numFmtId="0" fontId="0" fillId="0" borderId="39" xfId="0" applyFont="1" applyBorder="1" applyNumberFormat="1">
      <alignment horizontal="center" vertical="center"/>
    </xf>
    <xf numFmtId="0" fontId="0" fillId="0" borderId="21" xfId="0" applyFont="1" applyBorder="1" applyNumberFormat="1">
      <alignment horizontal="center" vertical="center"/>
    </xf>
    <xf numFmtId="49" fontId="23" fillId="0" borderId="21" xfId="0" applyFont="1" applyBorder="1" applyNumberFormat="1">
      <alignment horizontal="left" vertical="center" wrapText="1"/>
    </xf>
    <xf numFmtId="49" fontId="23" fillId="0" borderId="21" xfId="0" applyFont="1" applyBorder="1" applyNumberFormat="1">
      <alignment horizontal="center" vertical="center" wrapText="1"/>
    </xf>
    <xf numFmtId="0" fontId="0" fillId="0" borderId="21" xfId="0" applyFont="1" applyBorder="1" applyNumberFormat="1">
      <alignment horizontal="left" vertical="center" wrapText="1"/>
    </xf>
    <xf numFmtId="49" fontId="0" fillId="0" borderId="21" xfId="0" applyFont="1" applyBorder="1" applyNumberFormat="1">
      <alignment horizontal="left" vertical="center" wrapText="1"/>
    </xf>
    <xf numFmtId="49" fontId="23" fillId="0" borderId="21" xfId="0" applyFont="1" applyBorder="1" applyNumberFormat="1">
      <alignment horizontal="center" vertical="center" wrapText="1"/>
    </xf>
    <xf numFmtId="49" fontId="0" fillId="0" borderId="21" xfId="0" applyFont="1" applyBorder="1" applyNumberFormat="1">
      <alignment horizontal="left" vertical="center" wrapText="1"/>
    </xf>
    <xf numFmtId="49" fontId="23" fillId="0" borderId="22" xfId="0" applyFont="1" applyBorder="1" applyNumberFormat="1">
      <alignment horizontal="left" vertical="center" wrapText="1"/>
    </xf>
    <xf numFmtId="0" fontId="23" fillId="0" borderId="0" xfId="0" applyFont="1" applyNumberFormat="1">
      <alignment horizontal="left" vertical="center" indent="1"/>
    </xf>
    <xf numFmtId="0" fontId="0" fillId="0" borderId="0" xfId="0" applyFont="1" applyNumberFormat="1">
      <alignment vertical="center"/>
    </xf>
    <xf numFmtId="0" fontId="23" fillId="43" borderId="38" xfId="0" applyFont="1" applyFill="1" applyBorder="1" applyNumberFormat="1">
      <alignment horizontal="center" vertical="top" wrapText="1"/>
    </xf>
    <xf numFmtId="0" fontId="0" fillId="0" borderId="24" xfId="0" applyFont="1" applyBorder="1" applyNumberFormat="1">
      <alignment horizontal="center" vertical="center"/>
    </xf>
    <xf numFmtId="0" fontId="0" fillId="0" borderId="0" xfId="0" applyFont="1" applyNumberFormat="1">
      <alignment horizontal="center" vertical="center"/>
    </xf>
    <xf numFmtId="49" fontId="23" fillId="0" borderId="0" xfId="0" applyFont="1" applyNumberFormat="1">
      <alignment horizontal="left" vertical="center" wrapText="1"/>
    </xf>
    <xf numFmtId="49" fontId="23" fillId="0" borderId="0" xfId="0" applyFont="1" applyNumberFormat="1">
      <alignment horizontal="center" vertical="center" wrapText="1"/>
    </xf>
    <xf numFmtId="0" fontId="0" fillId="0" borderId="0" xfId="0" applyFont="1" applyNumberFormat="1">
      <alignment horizontal="left" vertical="center" wrapText="1"/>
    </xf>
    <xf numFmtId="49" fontId="0" fillId="0" borderId="0" xfId="0" applyFont="1" applyNumberFormat="1">
      <alignment horizontal="left" vertical="center" wrapText="1"/>
    </xf>
    <xf numFmtId="0" fontId="48" fillId="0" borderId="0" xfId="0" applyFont="1" applyNumberFormat="1">
      <alignment horizontal="left" vertical="center"/>
    </xf>
    <xf numFmtId="0" fontId="48" fillId="0" borderId="26" xfId="0" applyFont="1" applyBorder="1" applyNumberFormat="1">
      <alignment horizontal="left" vertical="center"/>
    </xf>
    <xf numFmtId="0" fontId="0" fillId="0" borderId="0" xfId="0" applyFont="1" applyNumberFormat="1">
      <alignment vertical="center"/>
    </xf>
    <xf numFmtId="49" fontId="0" fillId="0" borderId="0" xfId="0" applyFont="1" applyNumberFormat="1">
      <alignment horizontal="left" vertical="top"/>
    </xf>
    <xf numFmtId="49" fontId="23" fillId="0" borderId="0" xfId="0" applyFont="1" applyNumberFormat="1">
      <alignment horizontal="center" vertical="center" wrapText="1"/>
    </xf>
    <xf numFmtId="0" fontId="0" fillId="0" borderId="0" xfId="0" applyFont="1" applyNumberFormat="1">
      <alignment vertical="center"/>
    </xf>
    <xf numFmtId="49" fontId="0" fillId="0" borderId="14" xfId="0" applyFont="1" applyBorder="1" applyNumberFormat="1">
      <alignment vertical="top"/>
    </xf>
    <xf numFmtId="49" fontId="0" fillId="0" borderId="14" xfId="0" applyFont="1" applyBorder="1" applyNumberFormat="1">
      <alignment horizontal="left" vertical="top"/>
    </xf>
    <xf numFmtId="0" fontId="23" fillId="43" borderId="25" xfId="0" applyFont="1" applyFill="1" applyBorder="1" applyNumberFormat="1">
      <alignment horizontal="center" vertical="top" wrapText="1"/>
    </xf>
    <xf numFmtId="0" fontId="48" fillId="0" borderId="32" xfId="0" applyFont="1" applyBorder="1" applyNumberFormat="1">
      <alignment horizontal="left" vertical="center"/>
    </xf>
    <xf numFmtId="0" fontId="48" fillId="0" borderId="29" xfId="0" applyFont="1" applyBorder="1" applyNumberFormat="1">
      <alignment horizontal="left" vertical="center"/>
    </xf>
    <xf numFmtId="0" fontId="0" fillId="0" borderId="29" xfId="0" applyFont="1" applyBorder="1" applyNumberFormat="1">
      <alignment vertical="center"/>
    </xf>
    <xf numFmtId="0" fontId="48" fillId="0" borderId="31" xfId="0" applyFont="1" applyBorder="1" applyNumberFormat="1">
      <alignment horizontal="left" vertical="center"/>
    </xf>
    <xf numFmtId="0" fontId="0" fillId="0" borderId="0" xfId="0" applyFont="1" applyNumberFormat="1">
      <alignment vertical="center"/>
    </xf>
    <xf numFmtId="49" fontId="23" fillId="0" borderId="0" xfId="0" applyFont="1" applyNumberFormat="1">
      <alignment horizontal="left" vertical="center" indent="1"/>
    </xf>
    <xf numFmtId="0" fontId="0" fillId="0" borderId="0" xfId="0" applyFont="1" applyNumberFormat="1">
      <alignment vertical="center"/>
    </xf>
    <xf numFmtId="0" fontId="0" fillId="0" borderId="0" xfId="0" applyFont="1" applyNumberFormat="1">
      <alignment vertical="center"/>
    </xf>
    <xf numFmtId="0" fontId="0" fillId="0" borderId="19" xfId="0" applyFont="1" applyBorder="1" applyNumberFormat="1">
      <alignment horizontal="center" vertical="top"/>
    </xf>
    <xf numFmtId="0" fontId="23" fillId="0" borderId="19" xfId="0" applyFont="1" applyBorder="1" applyNumberFormat="1">
      <alignment horizontal="left" vertical="top" wrapText="1"/>
    </xf>
    <xf numFmtId="0" fontId="0" fillId="0" borderId="38" xfId="0" applyFont="1" applyBorder="1" applyNumberFormat="1">
      <alignment horizontal="center" vertical="top"/>
    </xf>
    <xf numFmtId="0" fontId="23" fillId="0" borderId="38" xfId="0" applyFont="1" applyBorder="1" applyNumberFormat="1">
      <alignment horizontal="left" vertical="top" wrapText="1"/>
    </xf>
    <xf numFmtId="0" fontId="0" fillId="0" borderId="25" xfId="0" applyFont="1" applyBorder="1" applyNumberFormat="1">
      <alignment horizontal="center" vertical="top"/>
    </xf>
    <xf numFmtId="0" fontId="23" fillId="0" borderId="25" xfId="0" applyFont="1" applyBorder="1" applyNumberFormat="1">
      <alignment horizontal="left" vertical="top" wrapText="1"/>
    </xf>
    <xf numFmtId="49" fontId="23" fillId="0" borderId="21" xfId="0" applyFont="1" applyBorder="1" applyNumberFormat="1">
      <alignment horizontal="center" vertical="center" wrapText="1"/>
    </xf>
    <xf numFmtId="49" fontId="0" fillId="0" borderId="21" xfId="0" applyFont="1" applyBorder="1" applyNumberFormat="1">
      <alignment horizontal="left" vertical="center" wrapText="1"/>
    </xf>
    <xf numFmtId="49" fontId="23" fillId="0" borderId="0" xfId="0" applyFont="1" applyNumberFormat="1">
      <alignment horizontal="center" vertical="center" wrapText="1"/>
    </xf>
    <xf numFmtId="0" fontId="0" fillId="0" borderId="0" xfId="0" applyFont="1" applyNumberFormat="1">
      <alignment vertical="center"/>
    </xf>
    <xf numFmtId="49" fontId="23" fillId="0" borderId="21" xfId="0" applyFont="1" applyBorder="1" applyNumberFormat="1">
      <alignment horizontal="center" vertical="center" wrapText="1"/>
    </xf>
    <xf numFmtId="49" fontId="0" fillId="0" borderId="21" xfId="0" applyFont="1" applyBorder="1" applyNumberFormat="1">
      <alignment horizontal="left" vertical="center" wrapText="1"/>
    </xf>
    <xf numFmtId="0" fontId="48" fillId="0" borderId="0" xfId="0" applyFont="1" applyNumberFormat="1">
      <alignment horizontal="left" vertical="center"/>
    </xf>
    <xf numFmtId="0" fontId="48" fillId="0" borderId="26" xfId="0" applyFont="1" applyBorder="1" applyNumberFormat="1">
      <alignment horizontal="left" vertical="center"/>
    </xf>
    <xf numFmtId="49" fontId="23" fillId="0" borderId="0" xfId="0" applyFont="1" applyNumberFormat="1">
      <alignment horizontal="center" vertical="center" wrapText="1"/>
    </xf>
    <xf numFmtId="0" fontId="48" fillId="0" borderId="29" xfId="0" applyFont="1" applyBorder="1" applyNumberFormat="1">
      <alignment horizontal="left" vertical="center"/>
    </xf>
    <xf numFmtId="0" fontId="48" fillId="0" borderId="31" xfId="0" applyFont="1" applyBorder="1" applyNumberFormat="1">
      <alignment horizontal="left" vertical="center"/>
    </xf>
    <xf numFmtId="0" fontId="0" fillId="0" borderId="0" xfId="0" applyFont="1" applyNumberFormat="1">
      <alignment horizontal="left" vertical="top" wrapText="1"/>
    </xf>
    <xf numFmtId="0" fontId="0" fillId="0" borderId="0" xfId="0" applyFont="1" applyNumberFormat="1" quotePrefix="1">
      <alignment horizontal="left" vertical="top" wrapText="1" indent="1"/>
    </xf>
    <xf numFmtId="0" fontId="0" fillId="0" borderId="0" xfId="0" applyFont="1" applyNumberFormat="1">
      <alignment horizontal="left" vertical="top" wrapText="1" indent="1"/>
    </xf>
    <xf numFmtId="0" fontId="0" fillId="0" borderId="0" xfId="0" applyFont="1" applyNumberFormat="1">
      <alignment horizontal="left" vertical="top" wrapText="1"/>
    </xf>
    <xf numFmtId="0" fontId="0" fillId="0" borderId="0" xfId="0" applyFont="1" applyNumberFormat="1">
      <alignment horizontal="left" vertical="top" wrapText="1"/>
    </xf>
    <xf numFmtId="0" fontId="0" fillId="0" borderId="0" xfId="0" applyFont="1" applyNumberFormat="1">
      <alignment vertical="top" wrapText="1"/>
    </xf>
    <xf numFmtId="0" fontId="0" fillId="0" borderId="0" xfId="0" applyFont="1" applyNumberFormat="1">
      <alignment vertical="center"/>
    </xf>
    <xf numFmtId="0" fontId="55" fillId="0" borderId="0" xfId="0" applyFont="1" applyNumberFormat="1">
      <alignment vertical="center"/>
    </xf>
    <xf numFmtId="0" fontId="0" fillId="0" borderId="0" xfId="0" applyFont="1" applyNumberFormat="1">
      <alignment vertical="center"/>
    </xf>
    <xf numFmtId="49" fontId="23" fillId="0" borderId="21" xfId="0" applyFont="1" applyBorder="1" applyNumberFormat="1">
      <alignment horizontal="center" vertical="center" wrapText="1"/>
    </xf>
    <xf numFmtId="49" fontId="0" fillId="0" borderId="21" xfId="0" applyFont="1" applyBorder="1" applyNumberFormat="1">
      <alignment horizontal="left" vertical="center" wrapText="1"/>
    </xf>
    <xf numFmtId="49" fontId="23" fillId="0" borderId="0" xfId="0" applyFont="1" applyNumberFormat="1">
      <alignment horizontal="center" vertical="center" wrapText="1"/>
    </xf>
    <xf numFmtId="49" fontId="23" fillId="0" borderId="21" xfId="0" applyFont="1" applyBorder="1" applyNumberFormat="1">
      <alignment horizontal="center" vertical="center" wrapText="1"/>
    </xf>
    <xf numFmtId="49" fontId="0" fillId="0" borderId="21" xfId="0" applyFont="1" applyBorder="1" applyNumberFormat="1">
      <alignment horizontal="left" vertical="center" wrapText="1"/>
    </xf>
    <xf numFmtId="0" fontId="48" fillId="0" borderId="0" xfId="0" applyFont="1" applyNumberFormat="1">
      <alignment horizontal="left" vertical="center"/>
    </xf>
    <xf numFmtId="0" fontId="48" fillId="0" borderId="26" xfId="0" applyFont="1" applyBorder="1" applyNumberFormat="1">
      <alignment horizontal="left" vertical="center"/>
    </xf>
    <xf numFmtId="49" fontId="23" fillId="0" borderId="0" xfId="0" applyFont="1" applyNumberFormat="1">
      <alignment horizontal="center" vertical="center" wrapText="1"/>
    </xf>
    <xf numFmtId="0" fontId="48" fillId="0" borderId="29" xfId="0" applyFont="1" applyBorder="1" applyNumberFormat="1">
      <alignment horizontal="left" vertical="center"/>
    </xf>
    <xf numFmtId="0" fontId="48" fillId="0" borderId="31" xfId="0" applyFont="1" applyBorder="1" applyNumberFormat="1">
      <alignment horizontal="left" vertical="center"/>
    </xf>
    <xf numFmtId="0" fontId="23" fillId="43" borderId="14" xfId="0" applyFont="1" applyFill="1" applyBorder="1" applyNumberFormat="1">
      <alignment horizontal="left" vertical="top" wrapText="1"/>
    </xf>
    <xf numFmtId="0" fontId="0" fillId="0" borderId="14" xfId="0" applyFont="1" applyBorder="1" applyNumberFormat="1">
      <alignment horizontal="center" vertical="center"/>
    </xf>
    <xf numFmtId="49" fontId="23" fillId="39" borderId="14" xfId="0" applyFont="1" applyFill="1" applyBorder="1" applyNumberFormat="1">
      <alignment horizontal="left" vertical="center" wrapText="1"/>
      <protection locked="0"/>
    </xf>
    <xf numFmtId="49" fontId="23" fillId="43" borderId="19" xfId="0" applyFont="1" applyFill="1" applyBorder="1" applyNumberFormat="1">
      <alignment horizontal="center" vertical="center" wrapText="1"/>
    </xf>
    <xf numFmtId="49" fontId="23" fillId="0" borderId="14" xfId="0" applyFont="1" applyBorder="1" applyNumberFormat="1">
      <alignment horizontal="center" vertical="center" wrapText="1"/>
    </xf>
    <xf numFmtId="0" fontId="0" fillId="37" borderId="14" xfId="0" applyFont="1" applyFill="1" applyBorder="1" applyNumberFormat="1">
      <alignment horizontal="left" vertical="center" wrapText="1"/>
    </xf>
    <xf numFmtId="49" fontId="0" fillId="37" borderId="14" xfId="0" applyFont="1" applyFill="1" applyBorder="1" applyNumberFormat="1">
      <alignment horizontal="left" vertical="center" wrapText="1"/>
    </xf>
    <xf numFmtId="49" fontId="55" fillId="0" borderId="14" xfId="0" applyFont="1" applyBorder="1" applyNumberFormat="1">
      <alignment horizontal="center" vertical="center" wrapText="1"/>
    </xf>
    <xf numFmtId="49" fontId="55" fillId="0" borderId="16" xfId="0" applyFont="1" applyBorder="1" applyNumberFormat="1">
      <alignment horizontal="left" vertical="center" wrapText="1"/>
    </xf>
    <xf numFmtId="49" fontId="23" fillId="43" borderId="38" xfId="0" applyFont="1" applyFill="1" applyBorder="1" applyNumberFormat="1">
      <alignment horizontal="center" vertical="center" wrapText="1"/>
    </xf>
    <xf numFmtId="0" fontId="55" fillId="0" borderId="16" xfId="0" applyFont="1" applyBorder="1" applyNumberFormat="1">
      <alignment horizontal="left" vertical="center"/>
    </xf>
    <xf numFmtId="0" fontId="55" fillId="0" borderId="17" xfId="0" applyFont="1" applyBorder="1" applyNumberFormat="1">
      <alignment horizontal="left" vertical="center"/>
    </xf>
    <xf numFmtId="49" fontId="0" fillId="0" borderId="14" xfId="0" applyFont="1" applyBorder="1" applyNumberFormat="1">
      <alignment vertical="top"/>
    </xf>
    <xf numFmtId="49" fontId="0" fillId="39" borderId="14" xfId="0" applyFont="1" applyFill="1" applyBorder="1" applyNumberFormat="1">
      <alignment horizontal="left" vertical="top"/>
      <protection locked="0"/>
    </xf>
    <xf numFmtId="49" fontId="23" fillId="43" borderId="25" xfId="0" applyFont="1" applyFill="1" applyBorder="1" applyNumberFormat="1">
      <alignment horizontal="center" vertical="center" wrapText="1"/>
    </xf>
    <xf numFmtId="0" fontId="48" fillId="40" borderId="16" xfId="0" applyFont="1" applyFill="1" applyBorder="1" applyNumberFormat="1">
      <alignment horizontal="left" vertical="center"/>
    </xf>
    <xf numFmtId="0" fontId="48" fillId="40" borderId="17" xfId="0" applyFont="1" applyFill="1" applyBorder="1" applyNumberFormat="1">
      <alignment horizontal="left" vertical="center"/>
    </xf>
    <xf numFmtId="0" fontId="48" fillId="40" borderId="17" xfId="0" applyFont="1" applyFill="1" applyBorder="1" applyNumberFormat="1">
      <alignment horizontal="left" vertical="center"/>
    </xf>
    <xf numFmtId="0" fontId="0" fillId="40" borderId="17" xfId="0" applyFont="1" applyFill="1" applyBorder="1" applyNumberFormat="1">
      <alignment vertical="center"/>
    </xf>
    <xf numFmtId="0" fontId="0" fillId="40" borderId="17" xfId="0" applyFont="1" applyFill="1" applyBorder="1" applyNumberFormat="1">
      <alignment vertical="center"/>
    </xf>
    <xf numFmtId="0" fontId="0" fillId="40" borderId="17" xfId="0" applyFont="1" applyFill="1" applyBorder="1" applyNumberFormat="1">
      <alignment vertical="center"/>
    </xf>
    <xf numFmtId="0" fontId="0" fillId="40" borderId="17" xfId="0" applyFont="1" applyFill="1" applyBorder="1" applyNumberFormat="1">
      <alignment vertical="center"/>
    </xf>
    <xf numFmtId="0" fontId="48" fillId="40" borderId="31" xfId="0" applyFont="1" applyFill="1" applyBorder="1" applyNumberFormat="1">
      <alignment horizontal="left" vertical="center"/>
    </xf>
    <xf numFmtId="0" fontId="48" fillId="40" borderId="16" xfId="0" applyFont="1" applyFill="1" applyBorder="1" applyNumberFormat="1">
      <alignment horizontal="left" vertical="center"/>
    </xf>
    <xf numFmtId="0" fontId="48" fillId="40" borderId="17" xfId="0" applyFont="1" applyFill="1" applyBorder="1" applyNumberFormat="1">
      <alignment horizontal="left" vertical="center"/>
    </xf>
    <xf numFmtId="0" fontId="48" fillId="40" borderId="17" xfId="0" applyFont="1" applyFill="1" applyBorder="1" applyNumberFormat="1">
      <alignment horizontal="left" vertical="center"/>
    </xf>
    <xf numFmtId="0" fontId="48" fillId="40" borderId="17" xfId="0" applyFont="1" applyFill="1" applyBorder="1" applyNumberFormat="1">
      <alignment horizontal="left" vertical="center"/>
    </xf>
    <xf numFmtId="0" fontId="48" fillId="40" borderId="17" xfId="0" applyFont="1" applyFill="1" applyBorder="1" applyNumberFormat="1">
      <alignment horizontal="left" vertical="center"/>
    </xf>
    <xf numFmtId="0" fontId="48" fillId="40" borderId="17" xfId="0" applyFont="1" applyFill="1" applyBorder="1" applyNumberFormat="1">
      <alignment horizontal="left" vertical="center"/>
    </xf>
    <xf numFmtId="0" fontId="48" fillId="40" borderId="17" xfId="0" applyFont="1" applyFill="1" applyBorder="1" applyNumberFormat="1">
      <alignment horizontal="left" vertical="center"/>
    </xf>
    <xf numFmtId="0" fontId="0" fillId="40" borderId="17" xfId="0" applyFont="1" applyFill="1" applyBorder="1" applyNumberFormat="1">
      <alignment vertical="center"/>
    </xf>
    <xf numFmtId="0" fontId="0" fillId="40" borderId="17" xfId="0" applyFont="1" applyFill="1" applyBorder="1" applyNumberFormat="1">
      <alignment vertical="center"/>
    </xf>
    <xf numFmtId="0" fontId="0" fillId="40" borderId="17" xfId="0" applyFont="1" applyFill="1" applyBorder="1" applyNumberFormat="1">
      <alignment vertical="center"/>
    </xf>
    <xf numFmtId="0" fontId="0" fillId="40" borderId="17" xfId="0" applyFont="1" applyFill="1" applyBorder="1" applyNumberFormat="1">
      <alignment vertical="center"/>
    </xf>
    <xf numFmtId="0" fontId="48" fillId="40" borderId="15" xfId="0" applyFont="1" applyFill="1" applyBorder="1" applyNumberFormat="1">
      <alignment horizontal="left" vertical="center"/>
    </xf>
    <xf numFmtId="49" fontId="0" fillId="43" borderId="14" xfId="0" applyFont="1" applyFill="1" applyBorder="1" applyNumberFormat="1">
      <alignment horizontal="left" vertical="top"/>
    </xf>
    <xf numFmtId="0" fontId="48" fillId="40" borderId="16" xfId="0" applyFont="1" applyFill="1" applyBorder="1" applyNumberFormat="1">
      <alignment horizontal="left" vertical="center"/>
    </xf>
    <xf numFmtId="0" fontId="48" fillId="40" borderId="17" xfId="0" applyFont="1" applyFill="1" applyBorder="1" applyNumberFormat="1">
      <alignment horizontal="left" vertical="center"/>
    </xf>
    <xf numFmtId="0" fontId="48" fillId="40" borderId="17" xfId="0" applyFont="1" applyFill="1" applyBorder="1" applyNumberFormat="1">
      <alignment horizontal="left" vertical="center"/>
    </xf>
    <xf numFmtId="0" fontId="48" fillId="40" borderId="17" xfId="0" applyFont="1" applyFill="1" applyBorder="1" applyNumberFormat="1">
      <alignment horizontal="left" vertical="center"/>
    </xf>
    <xf numFmtId="0" fontId="48" fillId="40" borderId="17" xfId="0" applyFont="1" applyFill="1" applyBorder="1" applyNumberFormat="1">
      <alignment horizontal="left" vertical="center"/>
    </xf>
    <xf numFmtId="0" fontId="48" fillId="40" borderId="17" xfId="0" applyFont="1" applyFill="1" applyBorder="1" applyNumberFormat="1">
      <alignment horizontal="left" vertical="center"/>
    </xf>
    <xf numFmtId="0" fontId="48" fillId="40" borderId="17" xfId="0" applyFont="1" applyFill="1" applyBorder="1" applyNumberFormat="1">
      <alignment horizontal="left" vertical="center"/>
    </xf>
    <xf numFmtId="0" fontId="48" fillId="40" borderId="17" xfId="0" applyFont="1" applyFill="1" applyBorder="1" applyNumberFormat="1">
      <alignment horizontal="left" vertical="center"/>
    </xf>
    <xf numFmtId="0" fontId="48" fillId="40" borderId="17" xfId="0" applyFont="1" applyFill="1" applyBorder="1" applyNumberFormat="1">
      <alignment horizontal="left" vertical="center"/>
    </xf>
    <xf numFmtId="0" fontId="48" fillId="40" borderId="17" xfId="0" applyFont="1" applyFill="1" applyBorder="1" applyNumberFormat="1">
      <alignment horizontal="left" vertical="center"/>
    </xf>
    <xf numFmtId="0" fontId="48" fillId="40" borderId="17" xfId="0" applyFont="1" applyFill="1" applyBorder="1" applyNumberFormat="1">
      <alignment horizontal="left" vertical="center"/>
    </xf>
    <xf numFmtId="0" fontId="0" fillId="40" borderId="17" xfId="0" applyFont="1" applyFill="1" applyBorder="1" applyNumberFormat="1">
      <alignment vertical="center"/>
    </xf>
    <xf numFmtId="0" fontId="0" fillId="40" borderId="17" xfId="0" applyFont="1" applyFill="1" applyBorder="1" applyNumberFormat="1">
      <alignment vertical="center"/>
    </xf>
    <xf numFmtId="0" fontId="0" fillId="40" borderId="17" xfId="0" applyFont="1" applyFill="1" applyBorder="1" applyNumberFormat="1">
      <alignment vertical="center"/>
    </xf>
    <xf numFmtId="0" fontId="0" fillId="40" borderId="17" xfId="0" applyFont="1" applyFill="1" applyBorder="1" applyNumberFormat="1">
      <alignment vertical="center"/>
    </xf>
    <xf numFmtId="0" fontId="48" fillId="40" borderId="15" xfId="0" applyFont="1" applyFill="1" applyBorder="1" applyNumberFormat="1">
      <alignment horizontal="left" vertical="center"/>
    </xf>
    <xf numFmtId="0" fontId="0" fillId="0" borderId="0" xfId="0" applyFont="1" applyNumberFormat="1">
      <alignment vertical="center"/>
    </xf>
    <xf numFmtId="0" fontId="55" fillId="0" borderId="0" xfId="0" applyFont="1" applyNumberFormat="1">
      <alignment vertical="center"/>
    </xf>
    <xf numFmtId="0" fontId="0" fillId="0" borderId="0" xfId="0" applyFont="1" applyNumberFormat="1">
      <alignment vertical="center"/>
    </xf>
    <xf numFmtId="0" fontId="0" fillId="0" borderId="0" xfId="0" applyFont="1" applyNumberFormat="1">
      <alignment vertical="center"/>
    </xf>
    <xf numFmtId="0" fontId="23" fillId="0" borderId="0" xfId="0" applyFont="1" applyNumberFormat="1">
      <alignment vertical="center"/>
    </xf>
    <xf numFmtId="49" fontId="55" fillId="0" borderId="0" xfId="0" applyFont="1" applyNumberFormat="1">
      <alignment vertical="top"/>
    </xf>
    <xf numFmtId="49" fontId="55" fillId="0" borderId="0" xfId="0" applyFont="1" applyNumberFormat="1">
      <alignment horizontal="center" vertical="center"/>
    </xf>
    <xf numFmtId="49" fontId="55" fillId="0" borderId="0" xfId="0" applyFont="1" applyNumberFormat="1">
      <alignment horizontal="center" vertical="center"/>
    </xf>
    <xf numFmtId="49" fontId="54" fillId="0" borderId="0" xfId="0" applyFont="1" applyNumberFormat="1">
      <alignment horizontal="center" vertical="center"/>
    </xf>
    <xf numFmtId="49" fontId="72" fillId="0" borderId="0" xfId="0" applyFont="1" applyNumberFormat="1">
      <alignment vertical="top"/>
    </xf>
    <xf numFmtId="49" fontId="0" fillId="0" borderId="0" xfId="0" applyFont="1" applyNumberFormat="1">
      <alignment vertical="top"/>
    </xf>
    <xf numFmtId="49" fontId="40" fillId="0" borderId="0" xfId="0" applyFont="1" applyNumberFormat="1">
      <alignment vertical="top"/>
    </xf>
    <xf numFmtId="0" fontId="40" fillId="0" borderId="0" xfId="0" applyFont="1" applyNumberFormat="1">
      <alignment vertical="center" wrapText="1"/>
    </xf>
    <xf numFmtId="0" fontId="23" fillId="0" borderId="0" xfId="0" applyFont="1" applyNumberFormat="1">
      <alignment vertical="center" wrapText="1"/>
    </xf>
    <xf numFmtId="0" fontId="45" fillId="0" borderId="0" xfId="0" applyFont="1" applyNumberFormat="1">
      <alignment horizontal="center" vertical="center" wrapText="1"/>
    </xf>
    <xf numFmtId="0" fontId="23" fillId="0" borderId="21" xfId="0" applyFont="1" applyBorder="1" applyNumberFormat="1">
      <alignment horizontal="left" vertical="center" wrapText="1" indent="1"/>
    </xf>
    <xf numFmtId="0" fontId="22" fillId="0" borderId="0" xfId="0" applyFont="1" applyNumberFormat="1">
      <alignment horizontal="left" vertical="center" wrapText="1" indent="1"/>
    </xf>
    <xf numFmtId="0" fontId="50" fillId="0" borderId="0" xfId="0" applyFont="1" applyNumberFormat="1">
      <alignment vertical="center"/>
    </xf>
    <xf numFmtId="0" fontId="118" fillId="0" borderId="0" xfId="0" applyFont="1" applyNumberFormat="1">
      <alignment vertical="center" wrapText="1"/>
    </xf>
    <xf numFmtId="0" fontId="119" fillId="0" borderId="0" xfId="0" applyFont="1" applyNumberFormat="1">
      <alignment vertical="center" wrapText="1"/>
    </xf>
    <xf numFmtId="0" fontId="50" fillId="0" borderId="0" xfId="0" applyFont="1" applyNumberFormat="1">
      <alignment vertical="center" wrapText="1"/>
    </xf>
    <xf numFmtId="0" fontId="40" fillId="0" borderId="0" xfId="0" applyFont="1" applyNumberFormat="1">
      <alignment vertical="center" wrapText="1"/>
    </xf>
    <xf numFmtId="0" fontId="23" fillId="0" borderId="0" xfId="0" applyFont="1" applyNumberFormat="1">
      <alignment vertical="center" wrapText="1"/>
    </xf>
    <xf numFmtId="0" fontId="23" fillId="0" borderId="29" xfId="0" applyFont="1" applyBorder="1" applyNumberFormat="1">
      <alignment horizontal="left" vertical="center" wrapText="1" indent="1"/>
    </xf>
    <xf numFmtId="0" fontId="23" fillId="0" borderId="39" xfId="0" applyFont="1" applyBorder="1" applyNumberFormat="1">
      <alignment horizontal="center" vertical="center" wrapText="1"/>
    </xf>
    <xf numFmtId="0" fontId="23" fillId="0" borderId="22" xfId="0" applyFont="1" applyBorder="1" applyNumberFormat="1">
      <alignment horizontal="center" vertical="center" wrapText="1"/>
    </xf>
    <xf numFmtId="0" fontId="23" fillId="0" borderId="38" xfId="0" applyFont="1" applyBorder="1" applyNumberFormat="1">
      <alignment horizontal="center" vertical="center" wrapText="1"/>
    </xf>
    <xf numFmtId="0" fontId="23" fillId="0" borderId="19" xfId="0" applyFont="1" applyBorder="1" applyNumberFormat="1">
      <alignment horizontal="center" vertical="center" wrapText="1"/>
    </xf>
    <xf numFmtId="0" fontId="23" fillId="0" borderId="39" xfId="0" applyFont="1" applyBorder="1" applyNumberFormat="1">
      <alignment horizontal="center" vertical="center" wrapText="1"/>
    </xf>
    <xf numFmtId="0" fontId="23" fillId="0" borderId="17" xfId="0" applyFont="1" applyBorder="1" applyNumberFormat="1">
      <alignment horizontal="center" vertical="center" wrapText="1"/>
    </xf>
    <xf numFmtId="0" fontId="23" fillId="0" borderId="14" xfId="0" applyFont="1" applyBorder="1" applyNumberFormat="1">
      <alignment horizontal="center" vertical="center" wrapText="1"/>
    </xf>
    <xf numFmtId="0" fontId="23" fillId="0" borderId="19" xfId="0" applyFont="1" applyBorder="1" applyNumberFormat="1">
      <alignment horizontal="center" vertical="center" wrapText="1"/>
    </xf>
    <xf numFmtId="0" fontId="23" fillId="0" borderId="19" xfId="0" applyFont="1" applyBorder="1" applyNumberFormat="1">
      <alignment horizontal="center" vertical="center" wrapText="1"/>
    </xf>
    <xf numFmtId="0" fontId="23" fillId="0" borderId="24" xfId="0" applyFont="1" applyBorder="1" applyNumberFormat="1">
      <alignment horizontal="center" vertical="center" wrapText="1"/>
    </xf>
    <xf numFmtId="0" fontId="23" fillId="0" borderId="26" xfId="0" applyFont="1" applyBorder="1" applyNumberFormat="1">
      <alignment horizontal="center" vertical="center" wrapText="1"/>
    </xf>
    <xf numFmtId="0" fontId="23" fillId="0" borderId="24" xfId="0" applyFont="1" applyBorder="1" applyNumberFormat="1">
      <alignment horizontal="center" vertical="center" wrapText="1"/>
    </xf>
    <xf numFmtId="0" fontId="23" fillId="0" borderId="38" xfId="0" applyFont="1" applyBorder="1" applyNumberFormat="1">
      <alignment horizontal="center" vertical="center" wrapText="1"/>
    </xf>
    <xf numFmtId="0" fontId="23" fillId="0" borderId="32" xfId="0" applyFont="1" applyBorder="1" applyNumberFormat="1">
      <alignment horizontal="center" vertical="center" wrapText="1"/>
    </xf>
    <xf numFmtId="0" fontId="23" fillId="0" borderId="31" xfId="0" applyFont="1" applyBorder="1" applyNumberFormat="1">
      <alignment horizontal="center" vertical="center" wrapText="1"/>
    </xf>
    <xf numFmtId="0" fontId="23" fillId="0" borderId="19" xfId="0" applyFont="1" applyBorder="1" applyNumberFormat="1">
      <alignment horizontal="center" vertical="center" wrapText="1"/>
    </xf>
    <xf numFmtId="0" fontId="23" fillId="0" borderId="39" xfId="0" applyFont="1" applyBorder="1" applyNumberFormat="1">
      <alignment horizontal="center" vertical="center" wrapText="1"/>
    </xf>
    <xf numFmtId="49" fontId="23" fillId="0" borderId="0" xfId="0" applyFont="1" applyNumberFormat="1">
      <alignment vertical="top"/>
    </xf>
    <xf numFmtId="49" fontId="23" fillId="0" borderId="14" xfId="0" applyFont="1" applyBorder="1" applyNumberFormat="1">
      <alignment horizontal="center" vertical="center"/>
    </xf>
    <xf numFmtId="0" fontId="23" fillId="0" borderId="14" xfId="0" applyFont="1" applyBorder="1" applyNumberFormat="1">
      <alignment horizontal="left" vertical="center" wrapText="1"/>
    </xf>
    <xf numFmtId="49" fontId="23" fillId="43" borderId="19" xfId="0" applyFont="1" applyFill="1" applyBorder="1" applyNumberFormat="1">
      <alignment horizontal="center" vertical="center" wrapText="1"/>
    </xf>
    <xf numFmtId="49" fontId="23" fillId="0" borderId="39" xfId="0" applyFont="1" applyBorder="1" applyNumberFormat="1">
      <alignment vertical="center" wrapText="1"/>
    </xf>
    <xf numFmtId="0" fontId="23" fillId="0" borderId="21" xfId="0" applyFont="1" applyBorder="1" applyNumberFormat="1">
      <alignment horizontal="center" vertical="center"/>
    </xf>
    <xf numFmtId="49" fontId="23" fillId="0" borderId="21" xfId="0" applyFont="1" applyBorder="1" applyNumberFormat="1">
      <alignment horizontal="left" vertical="center" wrapText="1"/>
    </xf>
    <xf numFmtId="49" fontId="23" fillId="0" borderId="21" xfId="0" applyFont="1" applyBorder="1" applyNumberFormat="1">
      <alignment vertical="center" wrapText="1"/>
    </xf>
    <xf numFmtId="49" fontId="23" fillId="0" borderId="21" xfId="0" applyFont="1" applyBorder="1" applyNumberFormat="1">
      <alignment horizontal="left" vertical="center" wrapText="1"/>
    </xf>
    <xf numFmtId="49" fontId="45" fillId="0" borderId="21" xfId="0" applyFont="1" applyBorder="1" applyNumberFormat="1">
      <alignment vertical="center" wrapText="1"/>
    </xf>
    <xf numFmtId="49" fontId="23" fillId="0" borderId="21" xfId="0" applyFont="1" applyBorder="1" applyNumberFormat="1">
      <alignment horizontal="center" vertical="center" wrapText="1"/>
    </xf>
    <xf numFmtId="0" fontId="23" fillId="0" borderId="21" xfId="0" applyFont="1" applyBorder="1" applyNumberFormat="1">
      <alignment horizontal="left" vertical="center" wrapText="1"/>
    </xf>
    <xf numFmtId="49" fontId="23" fillId="0" borderId="21" xfId="0" applyFont="1" applyBorder="1" applyNumberFormat="1">
      <alignment horizontal="center" vertical="center" wrapText="1"/>
    </xf>
    <xf numFmtId="49" fontId="23" fillId="0" borderId="21" xfId="0" applyFont="1" applyBorder="1" applyNumberFormat="1">
      <alignment vertical="center" wrapText="1"/>
    </xf>
    <xf numFmtId="49" fontId="23" fillId="43" borderId="38" xfId="0" applyFont="1" applyFill="1" applyBorder="1" applyNumberFormat="1">
      <alignment horizontal="center" vertical="center" wrapText="1"/>
    </xf>
    <xf numFmtId="49" fontId="23" fillId="0" borderId="24" xfId="0" applyFont="1" applyBorder="1" applyNumberFormat="1">
      <alignment vertical="center" wrapText="1"/>
    </xf>
    <xf numFmtId="0" fontId="23" fillId="0" borderId="0" xfId="0" applyFont="1" applyNumberFormat="1">
      <alignment horizontal="center" vertical="center"/>
    </xf>
    <xf numFmtId="0" fontId="23" fillId="0" borderId="0" xfId="0" applyFont="1" applyNumberFormat="1">
      <alignment horizontal="left" vertical="center" wrapText="1"/>
    </xf>
    <xf numFmtId="49" fontId="23" fillId="0" borderId="0" xfId="0" applyFont="1" applyNumberFormat="1">
      <alignment vertical="center" wrapText="1"/>
    </xf>
    <xf numFmtId="49" fontId="23" fillId="0" borderId="0" xfId="0" applyFont="1" applyNumberFormat="1">
      <alignment horizontal="left" vertical="center" wrapText="1"/>
    </xf>
    <xf numFmtId="49" fontId="45" fillId="0" borderId="0" xfId="0" applyFont="1" applyNumberFormat="1">
      <alignment vertical="center" wrapText="1"/>
    </xf>
    <xf numFmtId="49" fontId="23" fillId="0" borderId="0" xfId="0" applyFont="1" applyNumberFormat="1">
      <alignment horizontal="center" vertical="center" wrapText="1"/>
    </xf>
    <xf numFmtId="0" fontId="23" fillId="0" borderId="0" xfId="0" applyFont="1" applyNumberFormat="1">
      <alignment horizontal="left" vertical="center" wrapText="1"/>
    </xf>
    <xf numFmtId="0" fontId="48" fillId="0" borderId="0" xfId="0" applyFont="1" applyNumberFormat="1">
      <alignment horizontal="left" vertical="center"/>
    </xf>
    <xf numFmtId="0" fontId="48" fillId="0" borderId="0" xfId="0" applyFont="1" applyNumberFormat="1">
      <alignment horizontal="left" vertical="center"/>
    </xf>
    <xf numFmtId="0" fontId="48" fillId="0" borderId="26" xfId="0" applyFont="1" applyBorder="1" applyNumberFormat="1">
      <alignment horizontal="left" vertical="center"/>
    </xf>
    <xf numFmtId="49" fontId="23" fillId="0" borderId="0" xfId="0" applyFont="1" applyNumberFormat="1">
      <alignment horizontal="center" vertical="center" wrapText="1"/>
    </xf>
    <xf numFmtId="49" fontId="45" fillId="0" borderId="0" xfId="0" applyFont="1" applyNumberFormat="1">
      <alignment horizontal="center" vertical="center" wrapText="1"/>
    </xf>
    <xf numFmtId="0" fontId="48" fillId="0" borderId="0" xfId="0" applyFont="1" applyNumberFormat="1">
      <alignment vertical="center"/>
    </xf>
    <xf numFmtId="0" fontId="48" fillId="0" borderId="24" xfId="0" applyFont="1" applyBorder="1" applyNumberFormat="1">
      <alignment horizontal="left" vertical="center"/>
    </xf>
    <xf numFmtId="49" fontId="23" fillId="0" borderId="19" xfId="0" applyFont="1" applyBorder="1" applyNumberFormat="1">
      <alignment horizontal="center" vertical="center"/>
    </xf>
    <xf numFmtId="0" fontId="23" fillId="0" borderId="19" xfId="0" applyFont="1" applyBorder="1" applyNumberFormat="1">
      <alignment horizontal="left" vertical="center" wrapText="1"/>
    </xf>
    <xf numFmtId="0" fontId="23" fillId="0" borderId="39" xfId="0" applyFont="1" applyBorder="1" applyNumberFormat="1">
      <alignment horizontal="left" vertical="center" wrapText="1"/>
    </xf>
    <xf numFmtId="49" fontId="72" fillId="0" borderId="32" xfId="0" applyFont="1" applyBorder="1" applyNumberFormat="1">
      <alignment vertical="top"/>
    </xf>
    <xf numFmtId="49" fontId="72" fillId="0" borderId="29" xfId="0" applyFont="1" applyBorder="1" applyNumberFormat="1">
      <alignment vertical="top"/>
    </xf>
    <xf numFmtId="0" fontId="48" fillId="0" borderId="29" xfId="0" applyFont="1" applyBorder="1" applyNumberFormat="1">
      <alignment horizontal="left" vertical="center"/>
    </xf>
    <xf numFmtId="0" fontId="48" fillId="0" borderId="31" xfId="0" applyFont="1" applyBorder="1" applyNumberFormat="1">
      <alignment horizontal="left" vertical="center"/>
    </xf>
    <xf numFmtId="0" fontId="23" fillId="0" borderId="0" xfId="0" applyFont="1" applyNumberFormat="1">
      <alignment horizontal="left" vertical="center" wrapText="1"/>
    </xf>
    <xf numFmtId="0" fontId="23" fillId="0" borderId="16" xfId="0" applyFont="1" applyBorder="1" applyNumberFormat="1">
      <alignment horizontal="left" vertical="center" wrapText="1"/>
    </xf>
    <xf numFmtId="49" fontId="0" fillId="0" borderId="0" xfId="0" applyFont="1" applyNumberFormat="1">
      <alignment vertical="top"/>
    </xf>
    <xf numFmtId="49" fontId="0" fillId="0" borderId="0" xfId="0" applyFont="1" applyNumberFormat="1">
      <alignment vertical="top"/>
    </xf>
    <xf numFmtId="49" fontId="40" fillId="0" borderId="0" xfId="0" applyFont="1" applyNumberFormat="1">
      <alignment vertical="top"/>
    </xf>
    <xf numFmtId="0" fontId="23" fillId="37" borderId="0" xfId="0" applyFont="1" applyFill="1" applyNumberFormat="1"/>
    <xf numFmtId="0" fontId="66" fillId="37" borderId="0" xfId="0" applyFont="1" applyFill="1" applyNumberFormat="1"/>
    <xf numFmtId="0" fontId="55" fillId="37" borderId="0" xfId="0" applyFont="1" applyFill="1" applyNumberFormat="1"/>
    <xf numFmtId="0" fontId="66" fillId="37" borderId="0" xfId="0" applyFont="1" applyFill="1" applyNumberFormat="1">
      <alignment horizontal="center"/>
    </xf>
    <xf numFmtId="0" fontId="95" fillId="0" borderId="0" xfId="0" applyFont="1" applyNumberFormat="1">
      <alignment vertical="center"/>
    </xf>
    <xf numFmtId="0" fontId="94" fillId="0" borderId="0" xfId="0" applyFont="1" applyNumberFormat="1">
      <alignment vertical="center"/>
    </xf>
    <xf numFmtId="0" fontId="78" fillId="37" borderId="0" xfId="0" applyFont="1" applyFill="1" applyNumberFormat="1">
      <alignment horizontal="right" vertical="center"/>
    </xf>
    <xf numFmtId="0" fontId="23" fillId="37" borderId="0" xfId="0" applyFont="1" applyFill="1" applyNumberFormat="1">
      <alignment vertical="center" wrapText="1"/>
    </xf>
    <xf numFmtId="0" fontId="55" fillId="37" borderId="0" xfId="0" applyFont="1" applyFill="1" applyNumberFormat="1">
      <alignment vertical="center" wrapText="1"/>
    </xf>
    <xf numFmtId="0" fontId="23" fillId="37" borderId="0" xfId="0" applyFont="1" applyFill="1" applyNumberFormat="1">
      <alignment horizontal="center" vertical="center" wrapText="1"/>
    </xf>
    <xf numFmtId="0" fontId="98" fillId="37" borderId="0" xfId="0" applyFont="1" applyFill="1" applyNumberFormat="1">
      <alignment horizontal="left" vertical="center" wrapText="1"/>
    </xf>
    <xf numFmtId="49" fontId="0" fillId="37" borderId="14" xfId="0" applyFont="1" applyFill="1" applyBorder="1" applyNumberFormat="1">
      <alignment horizontal="center" vertical="center" wrapText="1"/>
    </xf>
    <xf numFmtId="49" fontId="23" fillId="37" borderId="14" xfId="0" applyFont="1" applyFill="1" applyBorder="1" applyNumberFormat="1">
      <alignment horizontal="center" vertical="center" wrapText="1"/>
    </xf>
    <xf numFmtId="0" fontId="0" fillId="37" borderId="14" xfId="0" applyFont="1" applyFill="1" applyBorder="1" applyNumberFormat="1">
      <alignment horizontal="center" vertical="center" wrapText="1"/>
    </xf>
    <xf numFmtId="49" fontId="23" fillId="37" borderId="14" xfId="0" applyFont="1" applyFill="1" applyBorder="1" applyNumberFormat="1">
      <alignment horizontal="center" vertical="center" wrapText="1"/>
    </xf>
    <xf numFmtId="0" fontId="0" fillId="37" borderId="14" xfId="0" applyFont="1" applyFill="1" applyBorder="1" applyNumberFormat="1">
      <alignment horizontal="center" vertical="center" wrapText="1"/>
    </xf>
    <xf numFmtId="0" fontId="23" fillId="37" borderId="14" xfId="0" applyFont="1" applyFill="1" applyBorder="1" applyNumberFormat="1">
      <alignment horizontal="center" vertical="center" wrapText="1"/>
    </xf>
    <xf numFmtId="0" fontId="44" fillId="37" borderId="0" xfId="0" applyFont="1" applyFill="1" applyNumberFormat="1">
      <alignment horizontal="center" vertical="center"/>
    </xf>
    <xf numFmtId="49" fontId="55" fillId="0" borderId="14" xfId="0" applyFont="1" applyBorder="1" applyNumberFormat="1">
      <alignment horizontal="center" vertical="center"/>
    </xf>
    <xf numFmtId="0" fontId="55" fillId="0" borderId="14" xfId="0" applyFont="1" applyBorder="1" applyNumberFormat="1">
      <alignment vertical="center" wrapText="1"/>
    </xf>
    <xf numFmtId="0" fontId="55" fillId="0" borderId="14" xfId="0" applyFont="1" applyBorder="1" applyNumberFormat="1">
      <alignment horizontal="left" vertical="center" wrapText="1"/>
    </xf>
    <xf numFmtId="0" fontId="70" fillId="37" borderId="0" xfId="0" applyFont="1" applyFill="1" applyNumberFormat="1"/>
    <xf numFmtId="49" fontId="0" fillId="37" borderId="14" xfId="0" applyFont="1" applyFill="1" applyBorder="1" applyNumberFormat="1">
      <alignment horizontal="center" vertical="center"/>
    </xf>
    <xf numFmtId="0" fontId="0" fillId="37" borderId="14" xfId="0" applyFont="1" applyFill="1" applyBorder="1" applyNumberFormat="1">
      <alignment vertical="center" wrapText="1"/>
    </xf>
    <xf numFmtId="0" fontId="0" fillId="0" borderId="14" xfId="0" applyFont="1" applyBorder="1" applyNumberFormat="1">
      <alignment horizontal="center" vertical="center" wrapText="1"/>
    </xf>
    <xf numFmtId="0" fontId="23" fillId="37" borderId="14" xfId="0" applyFont="1" applyFill="1" applyBorder="1" applyNumberFormat="1">
      <alignment vertical="center" wrapText="1"/>
    </xf>
    <xf numFmtId="0" fontId="0" fillId="37" borderId="14" xfId="0" applyFont="1" applyFill="1" applyBorder="1" applyNumberFormat="1">
      <alignment horizontal="left" vertical="center" wrapText="1" indent="1"/>
    </xf>
    <xf numFmtId="49" fontId="0" fillId="42" borderId="14" xfId="0" applyFont="1" applyFill="1" applyBorder="1" applyNumberFormat="1">
      <alignment horizontal="left" vertical="center" wrapText="1"/>
      <protection locked="0"/>
    </xf>
    <xf numFmtId="0" fontId="55" fillId="0" borderId="14" xfId="0" applyFont="1" applyBorder="1" applyNumberFormat="1">
      <alignment horizontal="left" vertical="center" wrapText="1" indent="1"/>
    </xf>
    <xf numFmtId="49" fontId="23" fillId="37" borderId="0" xfId="0" applyFont="1" applyFill="1" applyNumberFormat="1">
      <alignment horizontal="center" vertical="center" wrapText="1"/>
    </xf>
    <xf numFmtId="0" fontId="23" fillId="37" borderId="26" xfId="0" applyFont="1" applyFill="1" applyBorder="1" applyNumberFormat="1">
      <alignment horizontal="center" vertical="center" wrapText="1"/>
    </xf>
    <xf numFmtId="0" fontId="95" fillId="0" borderId="0" xfId="0" applyFont="1" applyNumberFormat="1">
      <alignment vertical="center" wrapText="1"/>
    </xf>
    <xf numFmtId="0" fontId="0" fillId="37" borderId="14" xfId="0" applyFont="1" applyFill="1" applyBorder="1" applyNumberFormat="1">
      <alignment horizontal="center" vertical="center"/>
    </xf>
    <xf numFmtId="0" fontId="0" fillId="37" borderId="14" xfId="0" applyFont="1" applyFill="1" applyBorder="1" applyNumberFormat="1">
      <alignment horizontal="left" vertical="center" wrapText="1" indent="2"/>
    </xf>
    <xf numFmtId="49" fontId="0" fillId="0" borderId="14" xfId="0" applyFont="1" applyBorder="1" applyNumberFormat="1">
      <alignment horizontal="left" vertical="center" wrapText="1"/>
    </xf>
    <xf numFmtId="49" fontId="23" fillId="37" borderId="0" xfId="0" applyFont="1" applyFill="1" applyNumberFormat="1">
      <alignment vertical="center" wrapText="1"/>
    </xf>
    <xf numFmtId="0" fontId="23" fillId="37" borderId="26" xfId="0" applyFont="1" applyFill="1" applyBorder="1" applyNumberFormat="1">
      <alignment vertical="center" wrapText="1"/>
    </xf>
    <xf numFmtId="0" fontId="23" fillId="40" borderId="16" xfId="0" applyFont="1" applyFill="1" applyBorder="1" applyNumberFormat="1">
      <alignment horizontal="center"/>
    </xf>
    <xf numFmtId="49" fontId="48" fillId="40" borderId="17" xfId="0" applyFont="1" applyFill="1" applyBorder="1" applyNumberFormat="1">
      <alignment horizontal="left" vertical="center" indent="1"/>
    </xf>
    <xf numFmtId="0" fontId="78" fillId="40" borderId="17" xfId="0" applyFont="1" applyFill="1" applyBorder="1" applyNumberFormat="1">
      <alignment horizontal="left" vertical="center"/>
    </xf>
    <xf numFmtId="0" fontId="78" fillId="40" borderId="15" xfId="0" applyFont="1" applyFill="1" applyBorder="1" applyNumberFormat="1">
      <alignment horizontal="left" vertical="center"/>
    </xf>
    <xf numFmtId="0" fontId="55" fillId="37" borderId="0" xfId="0" applyFont="1" applyFill="1" applyNumberFormat="1"/>
    <xf numFmtId="49" fontId="55" fillId="37" borderId="14" xfId="0" applyFont="1" applyFill="1" applyBorder="1" applyNumberFormat="1">
      <alignment horizontal="center" vertical="center"/>
    </xf>
    <xf numFmtId="0" fontId="55" fillId="37" borderId="14" xfId="0" applyFont="1" applyFill="1" applyBorder="1" applyNumberFormat="1">
      <alignment vertical="center" wrapText="1"/>
    </xf>
    <xf numFmtId="0" fontId="55" fillId="0" borderId="14" xfId="0" applyFont="1" applyBorder="1" applyNumberFormat="1">
      <alignment horizontal="center" vertical="center" wrapText="1"/>
    </xf>
    <xf numFmtId="0" fontId="55" fillId="37" borderId="14" xfId="0" applyFont="1" applyFill="1" applyBorder="1" applyNumberFormat="1">
      <alignment horizontal="left" vertical="center" wrapText="1" indent="1"/>
    </xf>
    <xf numFmtId="0" fontId="55" fillId="37" borderId="14" xfId="0" applyFont="1" applyFill="1" applyBorder="1" applyNumberFormat="1">
      <alignment horizontal="left" vertical="center" wrapText="1" indent="2"/>
    </xf>
    <xf numFmtId="49" fontId="55" fillId="0" borderId="14" xfId="0" applyFont="1" applyBorder="1" applyNumberFormat="1">
      <alignment horizontal="left" vertical="center" wrapText="1"/>
    </xf>
    <xf numFmtId="49" fontId="55" fillId="0" borderId="14" xfId="0" applyFont="1" applyBorder="1" applyNumberFormat="1">
      <alignment horizontal="left" vertical="center" wrapText="1"/>
    </xf>
    <xf numFmtId="0" fontId="0" fillId="37" borderId="14" xfId="0" applyFont="1" applyFill="1" applyBorder="1" applyNumberFormat="1">
      <alignment horizontal="left" vertical="center" wrapText="1"/>
    </xf>
    <xf numFmtId="49" fontId="0" fillId="39" borderId="14" xfId="0" applyFont="1" applyFill="1" applyBorder="1" applyNumberFormat="1">
      <alignment horizontal="left" vertical="center" wrapText="1"/>
      <protection locked="0"/>
    </xf>
    <xf numFmtId="0" fontId="0" fillId="37" borderId="19" xfId="0" applyFont="1" applyFill="1" applyBorder="1" applyNumberFormat="1">
      <alignment horizontal="left" vertical="center" wrapText="1"/>
    </xf>
    <xf numFmtId="0" fontId="23" fillId="37" borderId="19" xfId="0" applyFont="1" applyFill="1" applyBorder="1" applyNumberFormat="1">
      <alignment horizontal="left" vertical="top" wrapText="1"/>
    </xf>
    <xf numFmtId="49" fontId="0" fillId="0" borderId="14" xfId="0" applyFont="1" applyBorder="1" applyNumberFormat="1">
      <alignment horizontal="left" vertical="center" wrapText="1" indent="1"/>
    </xf>
    <xf numFmtId="0" fontId="23" fillId="37" borderId="38" xfId="0" applyFont="1" applyFill="1" applyBorder="1" applyNumberFormat="1">
      <alignment horizontal="left" vertical="top" wrapText="1"/>
    </xf>
    <xf numFmtId="0" fontId="45" fillId="37" borderId="0" xfId="0" applyFont="1" applyFill="1" applyNumberFormat="1">
      <alignment horizontal="center" vertical="center" wrapText="1"/>
    </xf>
    <xf numFmtId="49" fontId="0" fillId="42" borderId="14" xfId="0" applyFont="1" applyFill="1" applyBorder="1" applyNumberFormat="1">
      <alignment horizontal="left" vertical="center" wrapText="1" indent="1"/>
      <protection locked="0"/>
    </xf>
    <xf numFmtId="49" fontId="23" fillId="42" borderId="16" xfId="0" applyFont="1" applyFill="1" applyBorder="1" applyNumberFormat="1">
      <alignment horizontal="left" vertical="center" wrapText="1"/>
      <protection locked="0"/>
    </xf>
    <xf numFmtId="0" fontId="23" fillId="37" borderId="25" xfId="0" applyFont="1" applyFill="1" applyBorder="1" applyNumberFormat="1">
      <alignment horizontal="left" vertical="top" wrapText="1"/>
    </xf>
    <xf numFmtId="0" fontId="58" fillId="37" borderId="0" xfId="0" applyFont="1" applyFill="1" applyNumberFormat="1"/>
    <xf numFmtId="49" fontId="23" fillId="42" borderId="14" xfId="0" applyFont="1" applyFill="1" applyBorder="1" applyNumberFormat="1" quotePrefix="1">
      <alignment horizontal="left" vertical="center" wrapText="1"/>
      <protection locked="0"/>
    </xf>
    <xf numFmtId="49" fontId="23" fillId="39" borderId="14" xfId="0" applyFont="1" applyFill="1" applyBorder="1" applyNumberFormat="1">
      <alignment horizontal="left" vertical="center" wrapText="1"/>
      <protection locked="0"/>
    </xf>
    <xf numFmtId="49" fontId="23" fillId="43" borderId="14" xfId="0" applyFont="1" applyFill="1" applyBorder="1" applyNumberFormat="1">
      <alignment horizontal="left" vertical="center" wrapText="1"/>
    </xf>
    <xf numFmtId="49" fontId="23" fillId="43" borderId="14" xfId="0" applyFont="1" applyFill="1" applyBorder="1" applyNumberFormat="1">
      <alignment horizontal="left" vertical="center" wrapText="1"/>
    </xf>
    <xf numFmtId="0" fontId="0" fillId="37" borderId="16" xfId="0" applyFont="1" applyFill="1" applyBorder="1" applyNumberFormat="1">
      <alignment horizontal="left" vertical="center" wrapText="1" indent="1"/>
    </xf>
    <xf numFmtId="49" fontId="23" fillId="43" borderId="16" xfId="0" applyFont="1" applyFill="1" applyBorder="1" applyNumberFormat="1">
      <alignment horizontal="left" vertical="center" wrapText="1"/>
    </xf>
    <xf numFmtId="0" fontId="0" fillId="37" borderId="14" xfId="0" applyFont="1" applyFill="1" applyBorder="1" applyNumberFormat="1">
      <alignment vertical="top" wrapText="1"/>
    </xf>
    <xf numFmtId="49" fontId="23" fillId="37" borderId="0" xfId="0" applyFont="1" applyFill="1" applyNumberFormat="1">
      <alignment horizontal="center" vertical="center" wrapText="1"/>
    </xf>
    <xf numFmtId="0" fontId="0" fillId="37" borderId="16" xfId="0" applyFont="1" applyFill="1" applyBorder="1" applyNumberFormat="1">
      <alignment horizontal="left" vertical="center" wrapText="1"/>
    </xf>
    <xf numFmtId="0" fontId="0" fillId="37" borderId="25" xfId="0" applyFont="1" applyFill="1" applyBorder="1" applyNumberFormat="1">
      <alignment vertical="center" wrapText="1"/>
    </xf>
    <xf numFmtId="0" fontId="81" fillId="37" borderId="0" xfId="0" applyFont="1" applyFill="1" applyNumberFormat="1"/>
    <xf numFmtId="0" fontId="23" fillId="0" borderId="0" xfId="0" applyFont="1" applyNumberFormat="1">
      <alignment vertical="top" wrapText="1"/>
    </xf>
    <xf numFmtId="0" fontId="55" fillId="0" borderId="0" xfId="0" applyFont="1" applyNumberFormat="1">
      <alignment vertical="center" wrapText="1"/>
    </xf>
    <xf numFmtId="0" fontId="53" fillId="0" borderId="0" xfId="0" applyFont="1" applyNumberFormat="1">
      <alignment horizontal="right" vertical="top" wrapText="1"/>
    </xf>
    <xf numFmtId="0" fontId="53" fillId="0" borderId="0" xfId="0" applyFont="1" applyNumberFormat="1">
      <alignment horizontal="left" vertical="top" wrapText="1" indent="1"/>
    </xf>
    <xf numFmtId="0" fontId="53" fillId="0" borderId="0" xfId="0" applyFont="1" applyNumberFormat="1">
      <alignment vertical="center" wrapText="1"/>
    </xf>
    <xf numFmtId="0" fontId="80" fillId="37" borderId="0" xfId="0" applyFont="1" applyFill="1" applyNumberFormat="1">
      <alignment horizontal="center"/>
    </xf>
    <xf numFmtId="0" fontId="80" fillId="37" borderId="0" xfId="0" applyFont="1" applyFill="1" applyNumberFormat="1"/>
    <xf numFmtId="0" fontId="82" fillId="37" borderId="0" xfId="0" applyFont="1" applyFill="1" applyNumberFormat="1">
      <alignment horizontal="right" vertical="center"/>
    </xf>
    <xf numFmtId="0" fontId="83" fillId="37" borderId="0" xfId="0" applyFont="1" applyFill="1" applyNumberFormat="1">
      <alignment vertical="center"/>
    </xf>
    <xf numFmtId="0" fontId="82" fillId="37" borderId="0" xfId="0" applyFont="1" applyFill="1" applyNumberFormat="1">
      <alignment horizontal="right" vertical="top"/>
    </xf>
    <xf numFmtId="0" fontId="83" fillId="37" borderId="0" xfId="0" applyFont="1" applyFill="1" applyNumberFormat="1">
      <alignment vertical="center" wrapText="1"/>
    </xf>
    <xf numFmtId="0" fontId="23" fillId="37" borderId="0" xfId="0" applyFont="1" applyFill="1" applyNumberFormat="1"/>
    <xf numFmtId="0" fontId="0" fillId="37" borderId="0" xfId="0" applyFont="1" applyFill="1" applyNumberFormat="1"/>
    <xf numFmtId="0" fontId="0" fillId="37" borderId="0" xfId="0" applyFont="1" applyFill="1" applyNumberFormat="1">
      <alignment horizontal="center"/>
    </xf>
    <xf numFmtId="0" fontId="54" fillId="0" borderId="0" xfId="0" applyFont="1" applyNumberFormat="1">
      <alignment horizontal="center" vertical="center" wrapText="1"/>
    </xf>
    <xf numFmtId="0" fontId="93" fillId="0" borderId="0" xfId="0" applyFont="1" applyNumberFormat="1">
      <alignment vertical="center" wrapText="1"/>
    </xf>
    <xf numFmtId="0" fontId="93" fillId="37" borderId="0" xfId="0" applyFont="1" applyFill="1" applyNumberFormat="1">
      <alignment horizontal="center" vertical="center" wrapText="1"/>
    </xf>
    <xf numFmtId="0" fontId="93" fillId="37" borderId="0" xfId="0" applyFont="1" applyFill="1" applyNumberFormat="1">
      <alignment horizontal="right" vertical="center" wrapText="1"/>
    </xf>
    <xf numFmtId="0" fontId="45" fillId="37" borderId="0" xfId="0" applyFont="1" applyFill="1" applyNumberFormat="1">
      <alignment horizontal="center" vertical="center" wrapText="1"/>
    </xf>
    <xf numFmtId="0" fontId="22" fillId="0" borderId="0" xfId="0" applyFont="1" applyNumberFormat="1">
      <alignment horizontal="left" vertical="center" wrapText="1" indent="3"/>
    </xf>
    <xf numFmtId="0" fontId="69" fillId="0" borderId="0" xfId="0" applyFont="1" applyNumberFormat="1">
      <alignment horizontal="center" vertical="center" wrapText="1"/>
    </xf>
    <xf numFmtId="0" fontId="69" fillId="0" borderId="0" xfId="0" applyFont="1" applyNumberFormat="1">
      <alignment vertical="center" wrapText="1"/>
    </xf>
    <xf numFmtId="0" fontId="40" fillId="0" borderId="0" xfId="0" applyFont="1" applyNumberFormat="1">
      <alignment vertical="center" wrapText="1"/>
    </xf>
    <xf numFmtId="0" fontId="45" fillId="37" borderId="0" xfId="0" applyFont="1" applyFill="1" applyNumberFormat="1">
      <alignment horizontal="center" vertical="center" wrapText="1"/>
    </xf>
    <xf numFmtId="0" fontId="23" fillId="0" borderId="31" xfId="0" applyFont="1" applyBorder="1" applyNumberFormat="1">
      <alignment horizontal="left" vertical="center" wrapText="1" indent="1"/>
    </xf>
    <xf numFmtId="0" fontId="23" fillId="0" borderId="25" xfId="0" applyFont="1" applyBorder="1" applyNumberFormat="1">
      <alignment horizontal="left" vertical="center" wrapText="1" indent="1"/>
    </xf>
    <xf numFmtId="0" fontId="23" fillId="0" borderId="32" xfId="0" applyFont="1" applyBorder="1" applyNumberFormat="1">
      <alignment horizontal="left" vertical="center" wrapText="1" indent="1"/>
    </xf>
    <xf numFmtId="0" fontId="65" fillId="0" borderId="0" xfId="0" applyFont="1" applyNumberFormat="1">
      <alignment vertical="center" wrapText="1"/>
    </xf>
    <xf numFmtId="0" fontId="63" fillId="0" borderId="0" xfId="0" applyFont="1" applyNumberFormat="1">
      <alignment vertical="center" wrapText="1"/>
    </xf>
    <xf numFmtId="0" fontId="84" fillId="37" borderId="0" xfId="0" applyFont="1" applyFill="1" applyNumberFormat="1">
      <alignment horizontal="center" vertical="center" wrapText="1"/>
    </xf>
    <xf numFmtId="0" fontId="65" fillId="0" borderId="0" xfId="0" applyFont="1" applyNumberFormat="1">
      <alignment horizontal="left" vertical="center" wrapText="1" indent="1"/>
    </xf>
    <xf numFmtId="0" fontId="23" fillId="0" borderId="0" xfId="0" applyFont="1" applyNumberFormat="1">
      <alignment horizontal="right" vertical="center"/>
    </xf>
    <xf numFmtId="0" fontId="55" fillId="0" borderId="0" xfId="0" applyFont="1" applyNumberFormat="1">
      <alignment vertical="center" wrapText="1"/>
    </xf>
    <xf numFmtId="0" fontId="0" fillId="0" borderId="16"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15" xfId="0" applyFont="1" applyBorder="1" applyNumberFormat="1">
      <alignment horizontal="center" vertical="center" wrapText="1"/>
    </xf>
    <xf numFmtId="0" fontId="0" fillId="0" borderId="14" xfId="0" applyFont="1" applyBorder="1" applyNumberFormat="1">
      <alignment horizontal="center" vertical="center" wrapText="1"/>
    </xf>
    <xf numFmtId="0" fontId="0" fillId="0" borderId="19" xfId="0" applyFont="1" applyBorder="1" applyNumberFormat="1">
      <alignment horizontal="center" vertical="center" wrapText="1"/>
    </xf>
    <xf numFmtId="0" fontId="0" fillId="0" borderId="19" xfId="0" applyFont="1" applyBorder="1" applyNumberFormat="1">
      <alignment horizontal="center" vertical="center" wrapText="1"/>
    </xf>
    <xf numFmtId="0" fontId="0" fillId="0" borderId="39" xfId="0" applyFont="1" applyBorder="1" applyNumberFormat="1">
      <alignment horizontal="center" vertical="center" wrapText="1"/>
    </xf>
    <xf numFmtId="0" fontId="0" fillId="0" borderId="22" xfId="0" applyFont="1" applyBorder="1" applyNumberFormat="1">
      <alignment horizontal="center" vertical="center" wrapText="1"/>
    </xf>
    <xf numFmtId="0" fontId="0" fillId="0" borderId="22" xfId="0" applyFont="1" applyBorder="1" applyNumberFormat="1">
      <alignment horizontal="center" vertical="center" wrapText="1"/>
    </xf>
    <xf numFmtId="0" fontId="0" fillId="0" borderId="19" xfId="0" applyFont="1" applyBorder="1" applyNumberFormat="1">
      <alignment horizontal="center" vertical="center" wrapText="1"/>
    </xf>
    <xf numFmtId="0" fontId="0" fillId="0" borderId="19" xfId="0" applyFont="1" applyBorder="1" applyNumberFormat="1">
      <alignment horizontal="center" vertical="center" wrapText="1"/>
    </xf>
    <xf numFmtId="0" fontId="0" fillId="0" borderId="25" xfId="0" applyFont="1" applyBorder="1" applyNumberFormat="1">
      <alignment horizontal="center" vertical="center" wrapText="1"/>
    </xf>
    <xf numFmtId="0" fontId="0" fillId="0" borderId="25" xfId="0" applyFont="1" applyBorder="1" applyNumberFormat="1">
      <alignment horizontal="center" vertical="center" wrapText="1"/>
    </xf>
    <xf numFmtId="0" fontId="0" fillId="0" borderId="32" xfId="0" applyFont="1" applyBorder="1" applyNumberFormat="1">
      <alignment horizontal="center" vertical="center" wrapText="1"/>
    </xf>
    <xf numFmtId="0" fontId="0" fillId="0" borderId="14" xfId="0" applyFont="1" applyBorder="1" applyNumberFormat="1">
      <alignment horizontal="center" vertical="center" wrapText="1"/>
    </xf>
    <xf numFmtId="0" fontId="0" fillId="0" borderId="16" xfId="0" applyFont="1" applyBorder="1" applyNumberFormat="1">
      <alignment horizontal="center" vertical="center" wrapText="1"/>
    </xf>
    <xf numFmtId="0" fontId="0" fillId="0" borderId="31" xfId="0" applyFont="1" applyBorder="1" applyNumberFormat="1">
      <alignment horizontal="center" vertical="center" wrapText="1"/>
    </xf>
    <xf numFmtId="0" fontId="0" fillId="0" borderId="31" xfId="0" applyFont="1" applyBorder="1" applyNumberFormat="1">
      <alignment horizontal="center" vertical="center" wrapText="1"/>
    </xf>
    <xf numFmtId="0" fontId="0" fillId="0" borderId="25" xfId="0" applyFont="1" applyBorder="1" applyNumberFormat="1">
      <alignment horizontal="center" vertical="center" wrapText="1"/>
    </xf>
    <xf numFmtId="0" fontId="0" fillId="0" borderId="25" xfId="0" applyFont="1" applyBorder="1" applyNumberFormat="1">
      <alignment horizontal="center" vertical="center" wrapText="1"/>
    </xf>
    <xf numFmtId="0" fontId="44" fillId="37" borderId="0" xfId="0" applyFont="1" applyFill="1" applyNumberFormat="1">
      <alignment horizontal="center" vertical="center" wrapText="1"/>
    </xf>
    <xf numFmtId="49" fontId="44" fillId="37" borderId="0" xfId="0" applyFont="1" applyFill="1" applyNumberFormat="1">
      <alignment horizontal="center" vertical="center" wrapText="1"/>
    </xf>
    <xf numFmtId="0" fontId="23" fillId="0" borderId="0" xfId="0" applyFont="1" applyNumberFormat="1">
      <alignment vertical="center" wrapText="1"/>
    </xf>
    <xf numFmtId="0" fontId="77" fillId="0" borderId="0" xfId="0" applyFont="1" applyNumberFormat="1">
      <alignment vertical="center" wrapText="1"/>
    </xf>
    <xf numFmtId="0" fontId="85" fillId="37" borderId="0" xfId="0" applyFont="1" applyFill="1" applyNumberFormat="1">
      <alignment horizontal="center" vertical="center" wrapText="1"/>
    </xf>
    <xf numFmtId="49" fontId="77" fillId="0" borderId="19" xfId="0" applyFont="1" applyBorder="1" applyNumberFormat="1">
      <alignment horizontal="left" vertical="center" wrapText="1"/>
    </xf>
    <xf numFmtId="49" fontId="77" fillId="0" borderId="14" xfId="0" applyFont="1" applyBorder="1" applyNumberFormat="1">
      <alignment horizontal="left" vertical="center" wrapText="1"/>
    </xf>
    <xf numFmtId="49" fontId="0" fillId="0" borderId="14" xfId="0" applyFont="1" applyBorder="1" applyNumberFormat="1">
      <alignment vertical="top" wrapText="1"/>
    </xf>
    <xf numFmtId="49" fontId="0" fillId="0" borderId="14" xfId="0" applyFont="1" applyBorder="1" applyNumberFormat="1">
      <alignment horizontal="center" vertical="center" wrapText="1"/>
    </xf>
    <xf numFmtId="49" fontId="0" fillId="39" borderId="14" xfId="0" applyFont="1" applyFill="1" applyBorder="1" applyNumberFormat="1">
      <alignment horizontal="left" vertical="center" wrapText="1"/>
      <protection locked="0"/>
    </xf>
    <xf numFmtId="0" fontId="23" fillId="43" borderId="16" xfId="0" applyFont="1" applyFill="1" applyBorder="1" applyNumberFormat="1">
      <alignment horizontal="left" vertical="center" wrapText="1"/>
    </xf>
    <xf numFmtId="49" fontId="44" fillId="37" borderId="14" xfId="0" applyFont="1" applyFill="1" applyBorder="1" applyNumberFormat="1">
      <alignment horizontal="center" vertical="center" wrapText="1"/>
    </xf>
    <xf numFmtId="4" fontId="0" fillId="42" borderId="14" xfId="0" applyFont="1" applyFill="1" applyBorder="1" applyNumberFormat="1">
      <alignment horizontal="right" vertical="center" wrapText="1"/>
      <protection locked="0"/>
    </xf>
    <xf numFmtId="3" fontId="0" fillId="42" borderId="14" xfId="0" applyFont="1" applyFill="1" applyBorder="1" applyNumberFormat="1">
      <alignment horizontal="right" vertical="center" wrapText="1"/>
      <protection locked="0"/>
    </xf>
    <xf numFmtId="4" fontId="0" fillId="42" borderId="15" xfId="0" applyFont="1" applyFill="1" applyBorder="1" applyNumberFormat="1">
      <alignment horizontal="right" vertical="center" wrapText="1"/>
      <protection locked="0"/>
    </xf>
    <xf numFmtId="0" fontId="0" fillId="39" borderId="14" xfId="0" applyFont="1" applyFill="1" applyBorder="1" applyNumberFormat="1">
      <alignment horizontal="right" vertical="center" wrapText="1"/>
      <protection locked="0"/>
    </xf>
    <xf numFmtId="3" fontId="0" fillId="0" borderId="15" xfId="0" applyFont="1" applyBorder="1" applyNumberFormat="1">
      <alignment horizontal="right" vertical="center" wrapText="1"/>
    </xf>
    <xf numFmtId="0" fontId="0" fillId="0" borderId="19" xfId="0" applyFont="1" applyBorder="1" applyNumberFormat="1">
      <alignment horizontal="left" vertical="top" wrapText="1"/>
    </xf>
    <xf numFmtId="49" fontId="36" fillId="40" borderId="16" xfId="0" applyFont="1" applyFill="1" applyBorder="1" applyNumberFormat="1">
      <alignment horizontal="center" vertical="center"/>
    </xf>
    <xf numFmtId="0" fontId="48" fillId="40" borderId="17" xfId="0" applyFont="1" applyFill="1" applyBorder="1" applyNumberFormat="1">
      <alignment vertical="center"/>
    </xf>
    <xf numFmtId="49" fontId="48" fillId="40" borderId="17" xfId="0" applyFont="1" applyFill="1" applyBorder="1" applyNumberFormat="1">
      <alignment vertical="center"/>
    </xf>
    <xf numFmtId="49" fontId="78" fillId="40" borderId="17" xfId="0" applyFont="1" applyFill="1" applyBorder="1" applyNumberFormat="1">
      <alignment vertical="center"/>
    </xf>
    <xf numFmtId="49" fontId="78" fillId="40" borderId="15" xfId="0" applyFont="1" applyFill="1" applyBorder="1" applyNumberFormat="1">
      <alignment vertical="center"/>
    </xf>
    <xf numFmtId="0" fontId="0" fillId="0" borderId="25" xfId="0" applyFont="1" applyBorder="1" applyNumberFormat="1">
      <alignment horizontal="left" vertical="top" wrapText="1"/>
    </xf>
    <xf numFmtId="0" fontId="40" fillId="0" borderId="0" xfId="0" applyFont="1" applyNumberFormat="1">
      <alignment vertical="center" wrapText="1"/>
    </xf>
    <xf numFmtId="0" fontId="23" fillId="0" borderId="0" xfId="0" applyFont="1" applyNumberFormat="1">
      <alignment vertical="center" wrapText="1"/>
    </xf>
    <xf numFmtId="0" fontId="45" fillId="0" borderId="0" xfId="0" applyFont="1" applyNumberFormat="1">
      <alignment horizontal="center" vertical="center" wrapText="1"/>
    </xf>
    <xf numFmtId="0" fontId="23" fillId="0" borderId="0" xfId="0" applyFont="1" applyNumberFormat="1">
      <alignment vertical="center" wrapText="1"/>
    </xf>
    <xf numFmtId="0" fontId="50" fillId="0" borderId="0" xfId="0" applyFont="1" applyNumberFormat="1">
      <alignment vertical="center" wrapText="1"/>
    </xf>
    <xf numFmtId="0" fontId="55" fillId="0" borderId="0" xfId="0" applyFont="1" applyNumberFormat="1">
      <alignment vertical="center" wrapText="1"/>
    </xf>
    <xf numFmtId="0" fontId="23" fillId="0" borderId="0" xfId="0" applyFont="1" applyNumberFormat="1">
      <alignment vertical="center" wrapText="1"/>
    </xf>
    <xf numFmtId="0" fontId="45" fillId="37" borderId="0" xfId="0" applyFont="1" applyFill="1" applyNumberFormat="1">
      <alignment horizontal="center" vertical="center" wrapText="1"/>
    </xf>
    <xf numFmtId="49" fontId="0" fillId="0" borderId="39" xfId="0" applyFont="1" applyBorder="1" applyNumberFormat="1">
      <alignment horizontal="center" vertical="center" wrapText="1"/>
    </xf>
    <xf numFmtId="0" fontId="23" fillId="43" borderId="21" xfId="0" applyFont="1" applyFill="1" applyBorder="1" applyNumberFormat="1">
      <alignment horizontal="left" vertical="center" wrapText="1"/>
    </xf>
    <xf numFmtId="0" fontId="45" fillId="37" borderId="14" xfId="0" applyFont="1" applyFill="1" applyBorder="1" applyNumberFormat="1">
      <alignment horizontal="center" vertical="center" wrapText="1"/>
    </xf>
    <xf numFmtId="49" fontId="23" fillId="0" borderId="14" xfId="0" applyFont="1" applyBorder="1" applyNumberFormat="1">
      <alignment horizontal="center" vertical="center" wrapText="1"/>
    </xf>
    <xf numFmtId="49" fontId="23" fillId="42" borderId="14" xfId="0" applyFont="1" applyFill="1" applyBorder="1" applyNumberFormat="1">
      <alignment horizontal="left" vertical="center" wrapText="1"/>
      <protection locked="0"/>
    </xf>
    <xf numFmtId="3" fontId="23" fillId="42" borderId="14" xfId="0" applyFont="1" applyFill="1" applyBorder="1" applyNumberFormat="1">
      <alignment horizontal="right" vertical="center" wrapText="1"/>
      <protection locked="0"/>
    </xf>
    <xf numFmtId="0" fontId="55" fillId="0" borderId="0" xfId="0" applyFont="1" applyNumberFormat="1">
      <alignment vertical="center" wrapText="1"/>
    </xf>
    <xf numFmtId="0" fontId="55" fillId="0" borderId="0" xfId="0" applyFont="1" applyNumberFormat="1">
      <alignment vertical="center"/>
    </xf>
    <xf numFmtId="49" fontId="0" fillId="0" borderId="32" xfId="0" applyFont="1" applyBorder="1" applyNumberFormat="1">
      <alignment horizontal="center" vertical="center" wrapText="1"/>
    </xf>
    <xf numFmtId="0" fontId="23" fillId="43" borderId="29" xfId="0" applyFont="1" applyFill="1" applyBorder="1" applyNumberFormat="1">
      <alignment horizontal="left" vertical="center" wrapText="1"/>
    </xf>
    <xf numFmtId="0" fontId="93" fillId="0" borderId="0" xfId="0" applyFont="1" applyNumberFormat="1">
      <alignment vertical="center" wrapText="1"/>
    </xf>
    <xf numFmtId="0" fontId="55" fillId="0" borderId="0" xfId="0" applyFont="1" applyNumberFormat="1">
      <alignment vertical="center" wrapText="1"/>
    </xf>
    <xf numFmtId="0" fontId="45" fillId="37" borderId="0" xfId="0" applyFont="1" applyFill="1" applyNumberFormat="1">
      <alignment horizontal="center" vertical="center" wrapText="1"/>
    </xf>
    <xf numFmtId="0" fontId="23" fillId="0" borderId="21" xfId="0" applyFont="1" applyBorder="1" applyNumberFormat="1">
      <alignment horizontal="left" vertical="top" wrapText="1" indent="1"/>
    </xf>
    <xf numFmtId="0" fontId="69" fillId="0" borderId="0" xfId="0" applyFont="1" applyNumberFormat="1">
      <alignment vertical="center" wrapText="1"/>
    </xf>
    <xf numFmtId="0" fontId="65" fillId="0" borderId="0" xfId="0" applyFont="1" applyNumberFormat="1">
      <alignment vertical="center" wrapText="1"/>
    </xf>
    <xf numFmtId="0" fontId="63" fillId="0" borderId="0" xfId="0" applyFont="1" applyNumberFormat="1">
      <alignment vertical="center" wrapText="1"/>
    </xf>
    <xf numFmtId="0" fontId="23" fillId="0" borderId="25" xfId="0" applyFont="1" applyBorder="1" applyNumberFormat="1">
      <alignment horizontal="center" vertical="center" wrapText="1"/>
    </xf>
    <xf numFmtId="0" fontId="23" fillId="0" borderId="0" xfId="0" applyFont="1" applyNumberFormat="1">
      <alignment vertical="center" wrapText="1"/>
    </xf>
    <xf numFmtId="0" fontId="45" fillId="37" borderId="14" xfId="0" applyFont="1" applyFill="1" applyBorder="1" applyNumberFormat="1">
      <alignment horizontal="center" vertical="center" wrapText="1"/>
    </xf>
    <xf numFmtId="49" fontId="23" fillId="0" borderId="14" xfId="0" applyFont="1" applyBorder="1" applyNumberFormat="1">
      <alignment horizontal="center" vertical="center" wrapText="1"/>
    </xf>
    <xf numFmtId="0" fontId="40" fillId="0" borderId="0" xfId="0" applyFont="1" applyNumberFormat="1">
      <alignment vertical="center" wrapText="1"/>
    </xf>
    <xf numFmtId="0" fontId="23" fillId="0" borderId="0" xfId="0" applyFont="1" applyNumberFormat="1">
      <alignment vertical="center" wrapText="1"/>
    </xf>
    <xf numFmtId="0" fontId="55" fillId="0" borderId="0" xfId="0" applyFont="1" applyNumberFormat="1">
      <alignment vertical="center" wrapText="1"/>
    </xf>
    <xf numFmtId="0" fontId="65" fillId="37" borderId="0" xfId="0" applyFont="1" applyFill="1" applyNumberFormat="1">
      <alignment vertical="center" wrapText="1"/>
    </xf>
    <xf numFmtId="0" fontId="65" fillId="37" borderId="0" xfId="0" applyFont="1" applyFill="1" applyNumberFormat="1">
      <alignment horizontal="right" vertical="center"/>
    </xf>
    <xf numFmtId="0" fontId="65" fillId="37" borderId="0" xfId="0" applyFont="1" applyFill="1" applyNumberFormat="1">
      <alignment horizontal="right" vertical="center" wrapText="1"/>
    </xf>
    <xf numFmtId="0" fontId="23" fillId="0" borderId="22" xfId="0" applyFont="1" applyBorder="1" applyNumberFormat="1">
      <alignment horizontal="left" vertical="center" wrapText="1" indent="1"/>
    </xf>
    <xf numFmtId="0" fontId="23" fillId="0" borderId="19" xfId="0" applyFont="1" applyBorder="1" applyNumberFormat="1">
      <alignment horizontal="left" vertical="center" wrapText="1" indent="1"/>
    </xf>
    <xf numFmtId="0" fontId="23" fillId="0" borderId="39" xfId="0" applyFont="1" applyBorder="1" applyNumberFormat="1">
      <alignment horizontal="left" vertical="center" wrapText="1" indent="1"/>
    </xf>
    <xf numFmtId="0" fontId="22" fillId="0" borderId="0" xfId="0" applyFont="1" applyNumberFormat="1">
      <alignment horizontal="center" vertical="center" wrapText="1"/>
    </xf>
    <xf numFmtId="0" fontId="50" fillId="0" borderId="0" xfId="0" applyFont="1" applyNumberFormat="1">
      <alignment vertical="center" wrapText="1"/>
    </xf>
    <xf numFmtId="4" fontId="65" fillId="0" borderId="0" xfId="0" applyFont="1" applyNumberFormat="1">
      <alignment horizontal="right" vertical="center" wrapText="1"/>
    </xf>
    <xf numFmtId="0" fontId="23" fillId="37" borderId="14" xfId="0" applyFont="1" applyFill="1" applyBorder="1" applyNumberFormat="1">
      <alignment horizontal="center" vertical="center" wrapText="1"/>
    </xf>
    <xf numFmtId="0" fontId="23" fillId="37" borderId="14" xfId="0" applyFont="1" applyFill="1" applyBorder="1" applyNumberFormat="1">
      <alignment horizontal="center" vertical="center" wrapText="1"/>
    </xf>
    <xf numFmtId="0" fontId="23" fillId="0" borderId="14" xfId="0" applyFont="1" applyBorder="1" applyNumberFormat="1">
      <alignment horizontal="center" vertical="center" wrapText="1"/>
    </xf>
    <xf numFmtId="0" fontId="0" fillId="0" borderId="14" xfId="0" applyFont="1" applyBorder="1" applyNumberFormat="1">
      <alignment horizontal="center" vertical="center" wrapText="1"/>
    </xf>
    <xf numFmtId="49" fontId="44" fillId="37" borderId="17" xfId="0" applyFont="1" applyFill="1" applyBorder="1" applyNumberFormat="1">
      <alignment horizontal="center" vertical="center" wrapText="1"/>
    </xf>
    <xf numFmtId="49" fontId="44" fillId="37" borderId="17" xfId="0" applyFont="1" applyFill="1" applyBorder="1" applyNumberFormat="1">
      <alignment horizontal="center" vertical="center" wrapText="1"/>
    </xf>
    <xf numFmtId="0" fontId="23" fillId="0" borderId="0" xfId="0" applyFont="1" applyNumberFormat="1">
      <alignment vertical="center" wrapText="1"/>
    </xf>
    <xf numFmtId="0" fontId="45" fillId="37" borderId="0" xfId="0" applyFont="1" applyFill="1" applyNumberFormat="1">
      <alignment horizontal="center" vertical="center" wrapText="1"/>
    </xf>
    <xf numFmtId="0" fontId="23" fillId="0" borderId="14" xfId="0" applyFont="1" applyBorder="1" applyNumberFormat="1">
      <alignment horizontal="center" vertical="center" wrapText="1"/>
    </xf>
    <xf numFmtId="0" fontId="23" fillId="0" borderId="14" xfId="0" applyFont="1" applyBorder="1" applyNumberFormat="1">
      <alignment horizontal="center" vertical="center" wrapText="1"/>
    </xf>
    <xf numFmtId="49" fontId="23" fillId="0" borderId="14" xfId="0" applyFont="1" applyBorder="1" applyNumberFormat="1">
      <alignment horizontal="left" vertical="center" wrapText="1"/>
    </xf>
    <xf numFmtId="49" fontId="23" fillId="0" borderId="0" xfId="0" applyFont="1" applyNumberFormat="1">
      <alignment vertical="top"/>
    </xf>
    <xf numFmtId="0" fontId="45" fillId="37" borderId="26" xfId="0" applyFont="1" applyFill="1" applyBorder="1" applyNumberFormat="1">
      <alignment vertical="top" wrapText="1"/>
    </xf>
    <xf numFmtId="14"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14" fontId="86" fillId="40" borderId="17" xfId="0" applyFont="1" applyFill="1" applyBorder="1" applyNumberFormat="1">
      <alignment horizontal="center" vertical="center" wrapText="1"/>
    </xf>
    <xf numFmtId="49" fontId="34" fillId="40" borderId="15" xfId="0" applyFont="1" applyFill="1" applyBorder="1" applyNumberFormat="1">
      <alignment horizontal="left" vertical="center" wrapText="1"/>
    </xf>
    <xf numFmtId="0" fontId="0" fillId="0" borderId="38" xfId="0" applyFont="1" applyBorder="1" applyNumberFormat="1">
      <alignment horizontal="left" vertical="top" wrapText="1"/>
    </xf>
    <xf numFmtId="0" fontId="55" fillId="0" borderId="0" xfId="0" applyFont="1" applyNumberFormat="1">
      <alignment horizontal="left" vertical="center" wrapText="1"/>
    </xf>
    <xf numFmtId="49" fontId="55" fillId="0" borderId="0" xfId="0" applyFont="1" applyNumberFormat="1">
      <alignment horizontal="left" vertical="center" wrapText="1"/>
    </xf>
    <xf numFmtId="0" fontId="45" fillId="37" borderId="0" xfId="0" applyFont="1" applyFill="1" applyNumberFormat="1">
      <alignment vertical="top" wrapText="1"/>
    </xf>
    <xf numFmtId="0" fontId="55" fillId="37" borderId="25" xfId="0" applyFont="1" applyFill="1" applyBorder="1" applyNumberFormat="1">
      <alignment horizontal="center" vertical="center" wrapText="1"/>
    </xf>
    <xf numFmtId="14" fontId="23" fillId="43" borderId="25" xfId="0" applyFont="1" applyFill="1" applyBorder="1" applyNumberFormat="1">
      <alignment horizontal="left" vertical="center" wrapText="1"/>
    </xf>
    <xf numFmtId="14" fontId="23" fillId="43" borderId="14" xfId="0" applyFont="1" applyFill="1" applyBorder="1" applyNumberFormat="1">
      <alignment horizontal="center" vertical="center" wrapText="1"/>
    </xf>
    <xf numFmtId="49" fontId="34" fillId="42" borderId="14" xfId="0" applyFont="1" applyFill="1" applyBorder="1" applyNumberFormat="1">
      <alignment horizontal="left" vertical="center" wrapText="1"/>
      <protection locked="0"/>
    </xf>
    <xf numFmtId="49" fontId="36" fillId="40" borderId="17" xfId="0" applyFont="1" applyFill="1" applyBorder="1" applyNumberFormat="1">
      <alignment horizontal="center" vertical="center"/>
    </xf>
    <xf numFmtId="49" fontId="78" fillId="40" borderId="17" xfId="0" applyFont="1" applyFill="1" applyBorder="1" applyNumberFormat="1">
      <alignment horizontal="left" vertical="center" indent="1"/>
    </xf>
    <xf numFmtId="49" fontId="78" fillId="40" borderId="15" xfId="0" applyFont="1" applyFill="1" applyBorder="1" applyNumberFormat="1">
      <alignment horizontal="left" vertical="center" indent="1"/>
    </xf>
    <xf numFmtId="0" fontId="65" fillId="0" borderId="0" xfId="0" applyFont="1" applyNumberFormat="1">
      <alignment vertical="center" wrapText="1"/>
    </xf>
    <xf numFmtId="0" fontId="84" fillId="0" borderId="0" xfId="0" applyFont="1" applyNumberFormat="1">
      <alignment horizontal="center" vertical="center" wrapText="1"/>
    </xf>
    <xf numFmtId="0" fontId="53" fillId="0" borderId="0" xfId="0" applyFont="1" applyNumberFormat="1">
      <alignment vertical="top" wrapText="1"/>
    </xf>
    <xf numFmtId="0" fontId="23" fillId="0" borderId="0" xfId="0" applyFont="1" applyNumberFormat="1">
      <alignment horizontal="right" vertical="top" wrapText="1"/>
    </xf>
    <xf numFmtId="0" fontId="53" fillId="0" borderId="0" xfId="0" applyFont="1" applyNumberFormat="1">
      <alignment vertical="top"/>
    </xf>
    <xf numFmtId="0" fontId="23" fillId="0" borderId="0" xfId="0" applyFont="1" applyNumberFormat="1">
      <alignment vertical="center" wrapText="1"/>
    </xf>
    <xf numFmtId="0" fontId="54" fillId="0" borderId="0" xfId="0" applyFont="1" applyNumberFormat="1">
      <alignment horizontal="left" vertical="center" indent="1"/>
    </xf>
    <xf numFmtId="0" fontId="54" fillId="0" borderId="14" xfId="0" applyFont="1" applyBorder="1" applyNumberFormat="1">
      <alignment horizontal="center" vertical="center"/>
    </xf>
    <xf numFmtId="0" fontId="54" fillId="0" borderId="0" xfId="0" applyFont="1" applyNumberFormat="1">
      <alignment horizontal="center" vertical="center"/>
    </xf>
    <xf numFmtId="0" fontId="54" fillId="0" borderId="0" xfId="0" applyFont="1" applyNumberFormat="1">
      <alignment horizontal="left" vertical="center" wrapText="1"/>
    </xf>
    <xf numFmtId="49" fontId="23" fillId="0" borderId="0" xfId="0" applyFont="1" applyNumberFormat="1">
      <alignment vertical="center" wrapText="1"/>
    </xf>
    <xf numFmtId="49" fontId="23" fillId="0" borderId="0" xfId="0" applyFont="1" applyNumberFormat="1">
      <alignment vertical="top"/>
    </xf>
    <xf numFmtId="49" fontId="23" fillId="0" borderId="26" xfId="0" applyFont="1" applyBorder="1" applyNumberFormat="1">
      <alignment vertical="top"/>
    </xf>
    <xf numFmtId="0" fontId="23" fillId="37" borderId="14" xfId="0" applyFont="1" applyFill="1" applyBorder="1" applyNumberFormat="1">
      <alignment horizontal="left" vertical="center" wrapText="1"/>
    </xf>
    <xf numFmtId="0" fontId="23" fillId="0" borderId="14" xfId="0" applyFont="1" applyBorder="1" applyNumberFormat="1">
      <alignment vertical="center" wrapText="1"/>
    </xf>
    <xf numFmtId="0" fontId="23" fillId="0" borderId="14" xfId="0" applyFont="1" applyBorder="1" applyNumberFormat="1">
      <alignment horizontal="left" vertical="center" wrapText="1" indent="6"/>
    </xf>
    <xf numFmtId="0" fontId="23" fillId="38" borderId="16" xfId="0" applyFont="1" applyFill="1" applyBorder="1" applyNumberFormat="1">
      <alignment horizontal="left" vertical="center" wrapText="1"/>
    </xf>
    <xf numFmtId="0" fontId="23" fillId="38" borderId="17" xfId="0" applyFont="1" applyFill="1" applyBorder="1" applyNumberFormat="1">
      <alignment horizontal="left" vertical="center" wrapText="1"/>
    </xf>
    <xf numFmtId="0" fontId="23" fillId="38" borderId="15" xfId="0" applyFont="1" applyFill="1" applyBorder="1" applyNumberFormat="1">
      <alignment horizontal="left" vertical="center" wrapText="1"/>
    </xf>
    <xf numFmtId="0" fontId="53" fillId="0" borderId="14" xfId="0" applyFont="1" applyBorder="1" applyNumberFormat="1">
      <alignment vertical="top" wrapText="1"/>
    </xf>
    <xf numFmtId="0" fontId="54" fillId="0" borderId="16" xfId="0" applyFont="1" applyBorder="1" applyNumberFormat="1">
      <alignment horizontal="center" vertical="center"/>
    </xf>
    <xf numFmtId="0" fontId="23" fillId="0" borderId="0" xfId="0" applyFont="1" applyNumberFormat="1">
      <alignment horizontal="center" vertical="center" wrapText="1"/>
    </xf>
    <xf numFmtId="0" fontId="50" fillId="37" borderId="0" xfId="0" applyFont="1" applyFill="1" applyNumberFormat="1">
      <alignment horizontal="center" vertical="center" wrapText="1"/>
    </xf>
    <xf numFmtId="0" fontId="23" fillId="0" borderId="26" xfId="0" applyFont="1" applyBorder="1" applyNumberFormat="1">
      <alignment vertical="center" wrapText="1"/>
    </xf>
    <xf numFmtId="0" fontId="23" fillId="37" borderId="14" xfId="0" applyFont="1" applyFill="1" applyBorder="1" applyNumberFormat="1">
      <alignment horizontal="left" vertical="center" wrapText="1" indent="1"/>
    </xf>
    <xf numFmtId="0" fontId="45" fillId="0" borderId="0" xfId="0" applyFont="1" applyNumberFormat="1">
      <alignment vertical="center" wrapText="1"/>
    </xf>
    <xf numFmtId="0" fontId="23" fillId="37" borderId="14" xfId="0" applyFont="1" applyFill="1" applyBorder="1" applyNumberFormat="1">
      <alignment horizontal="left" vertical="center" wrapText="1" indent="2"/>
    </xf>
    <xf numFmtId="0" fontId="23" fillId="37" borderId="14" xfId="0" applyFont="1" applyFill="1" applyBorder="1" applyNumberFormat="1">
      <alignment horizontal="left" vertical="center" wrapText="1" indent="3"/>
    </xf>
    <xf numFmtId="0" fontId="54" fillId="0" borderId="14" xfId="0" applyFont="1" applyBorder="1" applyNumberFormat="1">
      <alignment horizontal="center" vertical="center" wrapText="1"/>
    </xf>
    <xf numFmtId="0" fontId="54" fillId="0" borderId="0" xfId="0" applyFont="1" applyNumberFormat="1">
      <alignment vertical="center" wrapText="1"/>
    </xf>
    <xf numFmtId="0" fontId="55" fillId="0" borderId="0" xfId="0" applyFont="1" applyNumberFormat="1">
      <alignment horizontal="center" vertical="center" wrapText="1"/>
    </xf>
    <xf numFmtId="0" fontId="55" fillId="0" borderId="0" xfId="0" applyFont="1" applyNumberFormat="1">
      <alignment horizontal="center" vertical="center" wrapText="1"/>
    </xf>
    <xf numFmtId="0" fontId="55" fillId="0" borderId="26" xfId="0" applyFont="1" applyBorder="1" applyNumberFormat="1">
      <alignment horizontal="center" vertical="center" wrapText="1"/>
    </xf>
    <xf numFmtId="0" fontId="23" fillId="37" borderId="14" xfId="0" applyFont="1" applyFill="1" applyBorder="1" applyNumberFormat="1">
      <alignment horizontal="left" vertical="center" wrapText="1" indent="4"/>
    </xf>
    <xf numFmtId="0" fontId="23" fillId="43" borderId="16" xfId="0" applyFont="1" applyFill="1" applyBorder="1" applyNumberFormat="1">
      <alignment horizontal="left" vertical="center" wrapText="1"/>
    </xf>
    <xf numFmtId="0" fontId="23" fillId="43" borderId="17" xfId="0" applyFont="1" applyFill="1" applyBorder="1" applyNumberFormat="1">
      <alignment horizontal="left" vertical="center" wrapText="1"/>
    </xf>
    <xf numFmtId="0" fontId="23" fillId="43" borderId="15" xfId="0" applyFont="1" applyFill="1" applyBorder="1" applyNumberFormat="1">
      <alignment horizontal="left" vertical="center" wrapText="1"/>
    </xf>
    <xf numFmtId="0" fontId="54" fillId="0" borderId="16" xfId="0" applyFont="1" applyBorder="1" applyNumberFormat="1">
      <alignment horizontal="center" vertical="center" wrapText="1"/>
    </xf>
    <xf numFmtId="0" fontId="54" fillId="0" borderId="0" xfId="0" applyFont="1" applyNumberFormat="1">
      <alignment vertical="center" wrapText="1"/>
    </xf>
    <xf numFmtId="0" fontId="55" fillId="0" borderId="26" xfId="0" applyFont="1" applyBorder="1" applyNumberFormat="1">
      <alignment vertical="center" wrapText="1"/>
    </xf>
    <xf numFmtId="0" fontId="23" fillId="37" borderId="14" xfId="0" applyFont="1" applyFill="1" applyBorder="1" applyNumberFormat="1">
      <alignment horizontal="left" vertical="center" wrapText="1" indent="5"/>
    </xf>
    <xf numFmtId="0" fontId="23" fillId="43" borderId="14" xfId="0" applyFont="1" applyFill="1" applyBorder="1" applyNumberFormat="1">
      <alignment horizontal="left" vertical="center" wrapText="1" indent="6"/>
    </xf>
    <xf numFmtId="4" fontId="23" fillId="39" borderId="14" xfId="0" applyFont="1" applyFill="1" applyBorder="1" applyNumberFormat="1">
      <alignment horizontal="right" vertical="center" wrapText="1"/>
      <protection locked="0"/>
    </xf>
    <xf numFmtId="4" fontId="23" fillId="0" borderId="14" xfId="0" applyFont="1" applyBorder="1" applyNumberFormat="1">
      <alignment horizontal="right" vertical="center" wrapText="1"/>
    </xf>
    <xf numFmtId="164" fontId="23" fillId="39" borderId="14" xfId="0" applyFont="1" applyFill="1" applyBorder="1" applyNumberFormat="1">
      <alignment horizontal="right" vertical="center" wrapText="1"/>
      <protection locked="0"/>
    </xf>
    <xf numFmtId="167" fontId="0" fillId="42" borderId="14" xfId="0" applyFont="1" applyFill="1" applyBorder="1" applyNumberFormat="1">
      <alignment horizontal="center" vertical="center" wrapText="1"/>
      <protection locked="0"/>
    </xf>
    <xf numFmtId="0" fontId="53" fillId="0" borderId="19" xfId="0" applyFont="1" applyBorder="1" applyNumberFormat="1">
      <alignment horizontal="left" vertical="top" wrapText="1"/>
    </xf>
    <xf numFmtId="49" fontId="23" fillId="0" borderId="14" xfId="0" applyFont="1" applyBorder="1" applyNumberFormat="1">
      <alignment horizontal="left" vertical="center" wrapText="1"/>
    </xf>
    <xf numFmtId="4" fontId="55" fillId="0" borderId="14" xfId="0" applyFont="1" applyBorder="1" applyNumberFormat="1">
      <alignment horizontal="center" vertical="center" wrapText="1"/>
    </xf>
    <xf numFmtId="49" fontId="0" fillId="42" borderId="14" xfId="0" applyFont="1" applyFill="1" applyBorder="1" applyNumberFormat="1">
      <alignment horizontal="center" vertical="center" wrapText="1"/>
      <protection locked="0"/>
    </xf>
    <xf numFmtId="0" fontId="53" fillId="0" borderId="38" xfId="0" applyFont="1" applyBorder="1" applyNumberFormat="1">
      <alignment horizontal="left" vertical="top" wrapText="1"/>
    </xf>
    <xf numFmtId="49" fontId="78" fillId="40" borderId="16" xfId="0" applyFont="1" applyFill="1" applyBorder="1" applyNumberFormat="1">
      <alignment horizontal="left" vertical="center"/>
    </xf>
    <xf numFmtId="49" fontId="48" fillId="40" borderId="17" xfId="0" applyFont="1" applyFill="1" applyBorder="1" applyNumberFormat="1">
      <alignment horizontal="left" vertical="center" indent="6"/>
    </xf>
    <xf numFmtId="49" fontId="23" fillId="40" borderId="15" xfId="0" applyFont="1" applyFill="1" applyBorder="1" applyNumberFormat="1">
      <alignment horizontal="center" vertical="center" wrapText="1"/>
    </xf>
    <xf numFmtId="0" fontId="53" fillId="0" borderId="25" xfId="0" applyFont="1" applyBorder="1" applyNumberFormat="1">
      <alignment horizontal="left" vertical="top" wrapText="1"/>
    </xf>
    <xf numFmtId="49" fontId="48" fillId="40" borderId="17" xfId="0" applyFont="1" applyFill="1" applyBorder="1" applyNumberFormat="1">
      <alignment horizontal="left" vertical="center" indent="5"/>
    </xf>
    <xf numFmtId="49" fontId="0" fillId="40" borderId="17" xfId="0" applyFont="1" applyFill="1" applyBorder="1" applyNumberFormat="1">
      <alignment horizontal="center" vertical="center" wrapText="1"/>
    </xf>
    <xf numFmtId="49" fontId="0" fillId="40" borderId="15" xfId="0" applyFont="1" applyFill="1" applyBorder="1" applyNumberFormat="1">
      <alignment horizontal="center" vertical="center" wrapText="1"/>
    </xf>
    <xf numFmtId="49" fontId="47" fillId="0" borderId="0" xfId="0" applyFont="1" applyNumberFormat="1">
      <alignment vertical="top"/>
    </xf>
    <xf numFmtId="49" fontId="48" fillId="40" borderId="17" xfId="0" applyFont="1" applyFill="1" applyBorder="1" applyNumberFormat="1">
      <alignment horizontal="left" vertical="center" indent="4"/>
    </xf>
    <xf numFmtId="0" fontId="55" fillId="0" borderId="0" xfId="0" applyFont="1" applyNumberFormat="1">
      <alignment vertical="center" wrapText="1"/>
    </xf>
    <xf numFmtId="0" fontId="55" fillId="0" borderId="0" xfId="0" applyFont="1" applyNumberFormat="1">
      <alignment horizontal="left" vertical="center" indent="1"/>
    </xf>
    <xf numFmtId="0" fontId="55" fillId="0" borderId="0" xfId="0" applyFont="1" applyNumberFormat="1">
      <alignment horizontal="center" vertical="center"/>
    </xf>
    <xf numFmtId="0" fontId="55" fillId="0" borderId="0" xfId="0" applyFont="1" applyNumberFormat="1">
      <alignment horizontal="left" vertical="center" wrapText="1"/>
    </xf>
    <xf numFmtId="49" fontId="55" fillId="0" borderId="0" xfId="0" applyFont="1" applyNumberFormat="1">
      <alignment vertical="top"/>
    </xf>
    <xf numFmtId="49" fontId="112" fillId="0" borderId="0" xfId="0" applyFont="1" applyNumberFormat="1">
      <alignment vertical="top"/>
    </xf>
    <xf numFmtId="49" fontId="102" fillId="0" borderId="21" xfId="0" applyFont="1" applyBorder="1" applyNumberFormat="1">
      <alignment horizontal="left" vertical="center"/>
    </xf>
    <xf numFmtId="49" fontId="55" fillId="0" borderId="21" xfId="0" applyFont="1" applyBorder="1" applyNumberFormat="1">
      <alignment horizontal="left" vertical="center" indent="3"/>
    </xf>
    <xf numFmtId="49" fontId="55" fillId="0" borderId="21" xfId="0" applyFont="1" applyBorder="1" applyNumberFormat="1">
      <alignment horizontal="center" vertical="center" wrapText="1"/>
    </xf>
    <xf numFmtId="49" fontId="55" fillId="0" borderId="0" xfId="0" applyFont="1" applyNumberFormat="1">
      <alignment horizontal="left" vertical="center"/>
    </xf>
    <xf numFmtId="49" fontId="102" fillId="0" borderId="0" xfId="0" applyFont="1" applyNumberFormat="1">
      <alignment horizontal="left" vertical="center"/>
    </xf>
    <xf numFmtId="49" fontId="55" fillId="0" borderId="0" xfId="0" applyFont="1" applyNumberFormat="1">
      <alignment horizontal="left" vertical="center" indent="2"/>
    </xf>
    <xf numFmtId="49" fontId="55" fillId="0" borderId="0" xfId="0" applyFont="1" applyNumberFormat="1">
      <alignment horizontal="center" vertical="center" wrapText="1"/>
    </xf>
    <xf numFmtId="49" fontId="55" fillId="0" borderId="0" xfId="0" applyFont="1" applyNumberFormat="1">
      <alignment horizontal="left" vertical="center" indent="1"/>
    </xf>
    <xf numFmtId="49" fontId="23" fillId="0" borderId="0" xfId="0" applyFont="1" applyNumberFormat="1">
      <alignment vertical="center" wrapText="1"/>
    </xf>
    <xf numFmtId="4" fontId="54" fillId="0" borderId="14" xfId="0" applyFont="1" applyBorder="1" applyNumberFormat="1">
      <alignment horizontal="right" vertical="center" wrapText="1"/>
    </xf>
    <xf numFmtId="164" fontId="54" fillId="0" borderId="14" xfId="0" applyFont="1" applyBorder="1" applyNumberFormat="1">
      <alignment horizontal="right" vertical="center" wrapText="1"/>
    </xf>
    <xf numFmtId="167" fontId="54" fillId="0" borderId="14" xfId="0" applyFont="1" applyBorder="1" applyNumberFormat="1">
      <alignment horizontal="center" vertical="center" wrapText="1"/>
    </xf>
    <xf numFmtId="49" fontId="54" fillId="0" borderId="14" xfId="0" applyFont="1" applyBorder="1" applyNumberFormat="1">
      <alignment horizontal="center" vertical="center" wrapText="1"/>
    </xf>
    <xf numFmtId="0" fontId="54" fillId="0" borderId="0" xfId="0" applyFont="1" applyNumberFormat="1">
      <alignment vertical="center" wrapText="1"/>
    </xf>
    <xf numFmtId="0" fontId="54" fillId="0" borderId="0" xfId="0" applyFont="1" applyNumberFormat="1">
      <alignment horizontal="center" vertical="center" wrapText="1"/>
    </xf>
    <xf numFmtId="49" fontId="54" fillId="0" borderId="0" xfId="0" applyFont="1" applyNumberFormat="1">
      <alignment vertical="center" wrapText="1"/>
    </xf>
    <xf numFmtId="49" fontId="54" fillId="0" borderId="14" xfId="0" applyFont="1" applyBorder="1" applyNumberFormat="1">
      <alignment vertical="center" wrapText="1"/>
    </xf>
    <xf numFmtId="0" fontId="74" fillId="0" borderId="0" xfId="0" applyFont="1" applyNumberFormat="1">
      <alignment vertical="center" wrapText="1"/>
    </xf>
    <xf numFmtId="0" fontId="54" fillId="0" borderId="0" xfId="0" applyFont="1" applyNumberFormat="1">
      <alignment horizontal="left" vertical="center" wrapText="1"/>
    </xf>
    <xf numFmtId="0" fontId="54" fillId="0" borderId="0" xfId="0" applyFont="1" applyNumberFormat="1">
      <alignment vertical="center" wrapText="1"/>
    </xf>
    <xf numFmtId="0" fontId="47" fillId="37" borderId="0" xfId="0" applyFont="1" applyFill="1" applyNumberFormat="1">
      <alignment vertical="center" wrapText="1"/>
    </xf>
    <xf numFmtId="0" fontId="23" fillId="37" borderId="0" xfId="0" applyFont="1" applyFill="1" applyNumberFormat="1">
      <alignment horizontal="left" vertical="center" wrapText="1"/>
    </xf>
    <xf numFmtId="0" fontId="23" fillId="37" borderId="0" xfId="0" applyFont="1" applyFill="1" applyNumberFormat="1">
      <alignment vertical="center" wrapText="1"/>
    </xf>
    <xf numFmtId="0" fontId="23" fillId="0" borderId="21" xfId="0" applyFont="1" applyBorder="1" applyNumberFormat="1">
      <alignment horizontal="left" vertical="top" wrapText="1" indent="1"/>
    </xf>
    <xf numFmtId="0" fontId="22" fillId="0" borderId="0" xfId="0" applyFont="1" applyNumberFormat="1">
      <alignment vertical="center" wrapText="1"/>
    </xf>
    <xf numFmtId="0" fontId="23" fillId="0" borderId="29" xfId="0" applyFont="1" applyBorder="1" applyNumberFormat="1">
      <alignment horizontal="left" vertical="center" wrapText="1" indent="1"/>
    </xf>
    <xf numFmtId="0" fontId="36" fillId="37" borderId="0" xfId="0" applyFont="1" applyFill="1" applyNumberFormat="1">
      <alignment horizontal="center" vertical="center" wrapText="1"/>
    </xf>
    <xf numFmtId="0" fontId="0" fillId="0" borderId="0" xfId="0" applyFont="1" applyNumberFormat="1">
      <alignment vertical="center"/>
    </xf>
    <xf numFmtId="0" fontId="54" fillId="0" borderId="0" xfId="0" applyFont="1" applyNumberFormat="1">
      <alignment vertical="center"/>
    </xf>
    <xf numFmtId="0" fontId="54" fillId="0" borderId="0" xfId="0" applyFont="1" applyNumberFormat="1">
      <alignment horizontal="center" vertical="center"/>
    </xf>
    <xf numFmtId="0" fontId="0" fillId="37" borderId="14" xfId="0" applyFont="1" applyFill="1" applyBorder="1" applyNumberFormat="1">
      <alignment horizontal="right" vertical="center" wrapText="1" indent="1"/>
    </xf>
    <xf numFmtId="0" fontId="0" fillId="0" borderId="17" xfId="0" applyFont="1" applyBorder="1" applyNumberFormat="1">
      <alignment vertical="center"/>
    </xf>
    <xf numFmtId="0" fontId="23" fillId="38" borderId="14" xfId="0" applyFont="1" applyFill="1" applyBorder="1" applyNumberFormat="1">
      <alignment horizontal="left" vertical="center" wrapText="1" indent="1"/>
    </xf>
    <xf numFmtId="0" fontId="23" fillId="0" borderId="0" xfId="0" applyFont="1" applyNumberFormat="1">
      <alignment vertical="center" wrapText="1"/>
    </xf>
    <xf numFmtId="0" fontId="73" fillId="0" borderId="0" xfId="0" applyFont="1" applyNumberFormat="1">
      <alignment vertical="center"/>
    </xf>
    <xf numFmtId="0" fontId="55" fillId="0" borderId="0" xfId="0" applyFont="1" applyNumberFormat="1">
      <alignment vertical="center"/>
    </xf>
    <xf numFmtId="167" fontId="23" fillId="38" borderId="14" xfId="0" applyFont="1" applyFill="1" applyBorder="1" applyNumberFormat="1">
      <alignment horizontal="left" vertical="center" wrapText="1" indent="1"/>
    </xf>
    <xf numFmtId="49" fontId="23" fillId="0" borderId="0" xfId="0" applyFont="1" applyNumberFormat="1">
      <alignment vertical="center" wrapText="1"/>
    </xf>
    <xf numFmtId="0" fontId="23" fillId="0" borderId="0" xfId="0" applyFont="1" applyNumberFormat="1">
      <alignment horizontal="right" vertical="center" wrapText="1"/>
    </xf>
    <xf numFmtId="0" fontId="55" fillId="0" borderId="0" xfId="0" applyFont="1" applyNumberFormat="1">
      <alignment vertical="center" wrapText="1"/>
    </xf>
    <xf numFmtId="0" fontId="23" fillId="37" borderId="29" xfId="0" applyFont="1" applyFill="1" applyBorder="1" applyNumberFormat="1">
      <alignment vertical="center" wrapText="1"/>
    </xf>
    <xf numFmtId="0" fontId="45" fillId="0" borderId="29" xfId="0" applyFont="1" applyBorder="1" applyNumberFormat="1">
      <alignment horizontal="center" vertical="center" wrapText="1"/>
    </xf>
    <xf numFmtId="0" fontId="23" fillId="37" borderId="14" xfId="0" applyFont="1" applyFill="1" applyBorder="1" applyNumberFormat="1">
      <alignment horizontal="left" vertical="center" wrapText="1"/>
    </xf>
    <xf numFmtId="0" fontId="23" fillId="0" borderId="19" xfId="0" applyFont="1" applyBorder="1" applyNumberFormat="1">
      <alignment vertical="center" wrapText="1"/>
    </xf>
    <xf numFmtId="0" fontId="0" fillId="37" borderId="16" xfId="0" applyFont="1" applyFill="1" applyBorder="1" applyNumberFormat="1">
      <alignment horizontal="center" vertical="center" wrapText="1"/>
    </xf>
    <xf numFmtId="0" fontId="0" fillId="37" borderId="17" xfId="0" applyFont="1" applyFill="1" applyBorder="1" applyNumberFormat="1">
      <alignment horizontal="center" vertical="center" wrapText="1"/>
    </xf>
    <xf numFmtId="0" fontId="0" fillId="37" borderId="15" xfId="0" applyFont="1" applyFill="1" applyBorder="1" applyNumberFormat="1">
      <alignment horizontal="center" vertical="center" wrapText="1"/>
    </xf>
    <xf numFmtId="0" fontId="23" fillId="37" borderId="19" xfId="0" applyFont="1" applyFill="1" applyBorder="1" applyNumberFormat="1">
      <alignment horizontal="center" vertical="center" wrapText="1"/>
    </xf>
    <xf numFmtId="49" fontId="48" fillId="40" borderId="19" xfId="0" applyFont="1" applyFill="1" applyBorder="1" applyNumberFormat="1">
      <alignment horizontal="center" vertical="center" textRotation="90" wrapText="1"/>
    </xf>
    <xf numFmtId="0" fontId="23" fillId="0" borderId="38" xfId="0" applyFont="1" applyBorder="1" applyNumberFormat="1">
      <alignment vertical="center" wrapText="1"/>
    </xf>
    <xf numFmtId="0" fontId="23" fillId="0" borderId="19" xfId="0" applyFont="1" applyBorder="1" applyNumberFormat="1">
      <alignment horizontal="center" vertical="center" wrapText="1"/>
    </xf>
    <xf numFmtId="0" fontId="54" fillId="0" borderId="19" xfId="0" applyFont="1" applyBorder="1" applyNumberFormat="1">
      <alignment horizontal="center" vertical="center" wrapText="1"/>
    </xf>
    <xf numFmtId="0" fontId="23" fillId="0" borderId="16" xfId="0" applyFont="1" applyBorder="1" applyNumberFormat="1">
      <alignment horizontal="center" vertical="center" wrapText="1"/>
    </xf>
    <xf numFmtId="0" fontId="23" fillId="0" borderId="15" xfId="0" applyFont="1" applyBorder="1" applyNumberFormat="1">
      <alignment horizontal="center" vertical="center" wrapText="1"/>
    </xf>
    <xf numFmtId="0" fontId="23" fillId="0" borderId="17" xfId="0" applyFont="1" applyBorder="1" applyNumberFormat="1">
      <alignment horizontal="center" vertical="center" wrapText="1"/>
    </xf>
    <xf numFmtId="0" fontId="23" fillId="37" borderId="38" xfId="0" applyFont="1" applyFill="1" applyBorder="1" applyNumberFormat="1">
      <alignment horizontal="center" vertical="center" wrapText="1"/>
    </xf>
    <xf numFmtId="49" fontId="48" fillId="40" borderId="38" xfId="0" applyFont="1" applyFill="1" applyBorder="1" applyNumberFormat="1">
      <alignment horizontal="center" vertical="center" textRotation="90" wrapText="1"/>
    </xf>
    <xf numFmtId="0" fontId="54" fillId="0" borderId="0" xfId="0" applyFont="1" applyNumberFormat="1">
      <alignment vertical="center"/>
    </xf>
    <xf numFmtId="0" fontId="23" fillId="0" borderId="25" xfId="0" applyFont="1" applyBorder="1" applyNumberFormat="1">
      <alignment vertical="center" wrapText="1"/>
    </xf>
    <xf numFmtId="0" fontId="23" fillId="0" borderId="25" xfId="0" applyFont="1" applyBorder="1" applyNumberFormat="1">
      <alignment horizontal="center" vertical="center" wrapText="1"/>
    </xf>
    <xf numFmtId="0" fontId="54" fillId="0" borderId="25" xfId="0" applyFont="1" applyBorder="1" applyNumberFormat="1">
      <alignment horizontal="center" vertical="center" wrapText="1"/>
    </xf>
    <xf numFmtId="0" fontId="0" fillId="0" borderId="14" xfId="0" applyFont="1" applyBorder="1" applyNumberFormat="1">
      <alignment horizontal="center" vertical="center" wrapText="1"/>
    </xf>
    <xf numFmtId="0" fontId="0" fillId="0" borderId="14" xfId="0" applyFont="1" applyBorder="1" applyNumberFormat="1">
      <alignment horizontal="center" vertical="center" wrapText="1"/>
    </xf>
    <xf numFmtId="0" fontId="0" fillId="0" borderId="16" xfId="0" applyFont="1" applyBorder="1" applyNumberFormat="1">
      <alignment horizontal="center" vertical="center" wrapText="1"/>
    </xf>
    <xf numFmtId="0" fontId="0" fillId="0" borderId="15" xfId="0" applyFont="1" applyBorder="1" applyNumberFormat="1">
      <alignment horizontal="center" vertical="center" wrapText="1"/>
    </xf>
    <xf numFmtId="0" fontId="23" fillId="37" borderId="25" xfId="0" applyFont="1" applyFill="1" applyBorder="1" applyNumberFormat="1">
      <alignment horizontal="center" vertical="center" wrapText="1"/>
    </xf>
    <xf numFmtId="0" fontId="0" fillId="0" borderId="14" xfId="0" applyFont="1" applyBorder="1" applyNumberFormat="1">
      <alignment horizontal="center" vertical="center" wrapText="1"/>
    </xf>
    <xf numFmtId="49" fontId="48" fillId="40" borderId="25" xfId="0" applyFont="1" applyFill="1" applyBorder="1" applyNumberFormat="1">
      <alignment horizontal="center" vertical="center" textRotation="90" wrapText="1"/>
    </xf>
    <xf numFmtId="49" fontId="77" fillId="0" borderId="0" xfId="0" applyFont="1" applyNumberFormat="1">
      <alignment vertical="center" wrapText="1"/>
    </xf>
    <xf numFmtId="0" fontId="111" fillId="37" borderId="0" xfId="0" applyFont="1" applyFill="1" applyNumberFormat="1">
      <alignment vertical="center" wrapText="1"/>
    </xf>
    <xf numFmtId="0" fontId="112" fillId="37" borderId="0" xfId="0" applyFont="1" applyFill="1" applyNumberFormat="1">
      <alignment vertical="center" wrapText="1"/>
    </xf>
    <xf numFmtId="49" fontId="85" fillId="37" borderId="21" xfId="0" applyFont="1" applyFill="1" applyBorder="1" applyNumberFormat="1">
      <alignment horizontal="left" vertical="center" wrapText="1"/>
    </xf>
    <xf numFmtId="49" fontId="85" fillId="37" borderId="21" xfId="0" applyFont="1" applyFill="1" applyBorder="1" applyNumberFormat="1">
      <alignment horizontal="center" vertical="center" wrapText="1"/>
    </xf>
    <xf numFmtId="0" fontId="55" fillId="37" borderId="21" xfId="0" applyFont="1" applyFill="1" applyBorder="1" applyNumberFormat="1">
      <alignment horizontal="center" vertical="center" wrapText="1"/>
    </xf>
    <xf numFmtId="0" fontId="85" fillId="37" borderId="21" xfId="0" applyFont="1" applyFill="1" applyBorder="1" applyNumberFormat="1">
      <alignment horizontal="center" vertical="center" wrapText="1"/>
    </xf>
    <xf numFmtId="0" fontId="85" fillId="37" borderId="21" xfId="0" applyFont="1" applyFill="1" applyBorder="1" applyNumberFormat="1">
      <alignment horizontal="center" vertical="center" wrapText="1"/>
    </xf>
    <xf numFmtId="0" fontId="85" fillId="37" borderId="21" xfId="0" applyFont="1" applyFill="1" applyBorder="1" applyNumberFormat="1">
      <alignment horizontal="center" vertical="center" wrapText="1"/>
    </xf>
    <xf numFmtId="0" fontId="23" fillId="37" borderId="14" xfId="0" applyFont="1" applyFill="1" applyBorder="1" applyNumberFormat="1">
      <alignment horizontal="left" vertical="center" wrapText="1"/>
    </xf>
    <xf numFmtId="0" fontId="23" fillId="0" borderId="0" xfId="0" applyFont="1" applyNumberFormat="1">
      <alignment horizontal="center" vertical="center" wrapText="1"/>
    </xf>
    <xf numFmtId="0" fontId="55" fillId="0" borderId="0" xfId="0" applyFont="1" applyNumberFormat="1">
      <alignment horizontal="center" vertical="center" wrapText="1"/>
    </xf>
    <xf numFmtId="167" fontId="0" fillId="42" borderId="19" xfId="0" applyFont="1" applyFill="1" applyBorder="1" applyNumberFormat="1">
      <alignment horizontal="center" vertical="center" wrapText="1"/>
      <protection locked="0"/>
    </xf>
    <xf numFmtId="4" fontId="23" fillId="0" borderId="19" xfId="0" applyFont="1" applyBorder="1" applyNumberFormat="1">
      <alignment horizontal="right" vertical="center" wrapText="1"/>
    </xf>
    <xf numFmtId="49" fontId="23" fillId="0" borderId="14" xfId="0" applyFont="1" applyBorder="1" applyNumberFormat="1">
      <alignment horizontal="left" vertical="center" wrapText="1"/>
    </xf>
    <xf numFmtId="49" fontId="0" fillId="42" borderId="25" xfId="0" applyFont="1" applyFill="1" applyBorder="1" applyNumberFormat="1">
      <alignment horizontal="center" vertical="center" wrapText="1"/>
      <protection locked="0"/>
    </xf>
    <xf numFmtId="4" fontId="23" fillId="0" borderId="25" xfId="0" applyFont="1" applyBorder="1" applyNumberFormat="1">
      <alignment horizontal="right" vertical="center" wrapText="1"/>
    </xf>
    <xf numFmtId="0" fontId="55" fillId="0" borderId="0" xfId="0" applyFont="1" applyNumberFormat="1">
      <alignment horizontal="left" vertical="center" indent="1"/>
    </xf>
    <xf numFmtId="0" fontId="55" fillId="0" borderId="0" xfId="0" applyFont="1" applyNumberFormat="1">
      <alignment vertical="center" wrapText="1"/>
    </xf>
    <xf numFmtId="0" fontId="55" fillId="0" borderId="0" xfId="0" applyFont="1" applyNumberFormat="1">
      <alignment horizontal="center" vertical="center"/>
    </xf>
    <xf numFmtId="0" fontId="55" fillId="0" borderId="0" xfId="0" applyFont="1" applyNumberFormat="1">
      <alignment vertical="center" wrapText="1"/>
    </xf>
    <xf numFmtId="49" fontId="55" fillId="0" borderId="0" xfId="0" applyFont="1" applyNumberFormat="1">
      <alignment vertical="top"/>
    </xf>
    <xf numFmtId="49" fontId="112" fillId="0" borderId="0" xfId="0" applyFont="1" applyNumberFormat="1">
      <alignment vertical="top"/>
    </xf>
    <xf numFmtId="0" fontId="23" fillId="0" borderId="0" xfId="0" applyFont="1" applyNumberFormat="1">
      <alignment horizontal="right" vertical="top" wrapText="1"/>
    </xf>
    <xf numFmtId="0" fontId="23" fillId="0" borderId="0" xfId="0" applyFont="1" applyNumberFormat="1">
      <alignment horizontal="left" vertical="top" wrapText="1"/>
    </xf>
    <xf numFmtId="49" fontId="23" fillId="0" borderId="0" xfId="0" applyFont="1" applyNumberFormat="1">
      <alignment vertical="center" wrapText="1"/>
    </xf>
    <xf numFmtId="0" fontId="54" fillId="0" borderId="0" xfId="0" applyFont="1" applyNumberFormat="1">
      <alignment horizontal="center" vertical="center" wrapText="1"/>
    </xf>
    <xf numFmtId="49" fontId="54" fillId="0" borderId="0" xfId="0" applyFont="1" applyNumberFormat="1">
      <alignment vertical="center" wrapText="1"/>
    </xf>
    <xf numFmtId="49" fontId="23" fillId="0" borderId="0" xfId="0" applyFont="1" applyNumberFormat="1">
      <alignment vertical="center" wrapText="1"/>
    </xf>
    <xf numFmtId="0" fontId="47" fillId="0" borderId="0" xfId="0" applyFont="1" applyNumberFormat="1">
      <alignment vertical="center" wrapText="1"/>
    </xf>
    <xf numFmtId="0" fontId="23" fillId="0" borderId="0" xfId="0" applyFont="1" applyNumberFormat="1">
      <alignment horizontal="left" vertical="center" wrapText="1"/>
    </xf>
    <xf numFmtId="0" fontId="23" fillId="0" borderId="0" xfId="0" applyFont="1" applyNumberFormat="1">
      <alignment vertical="center" wrapText="1"/>
    </xf>
    <xf numFmtId="0" fontId="23" fillId="37" borderId="14" xfId="0" applyFont="1" applyFill="1" applyBorder="1" applyNumberFormat="1">
      <alignment horizontal="left" vertical="center" wrapText="1"/>
    </xf>
    <xf numFmtId="0" fontId="23" fillId="0" borderId="0" xfId="0" applyFont="1" applyNumberFormat="1">
      <alignment horizontal="center" vertical="center" wrapText="1"/>
    </xf>
    <xf numFmtId="0" fontId="55" fillId="0" borderId="0" xfId="0" applyFont="1" applyNumberFormat="1">
      <alignment horizontal="center" vertical="center" wrapText="1"/>
    </xf>
    <xf numFmtId="49" fontId="23" fillId="0" borderId="14" xfId="0" applyFont="1" applyBorder="1" applyNumberFormat="1">
      <alignment horizontal="left" vertical="center" wrapText="1"/>
    </xf>
    <xf numFmtId="0" fontId="23" fillId="0" borderId="0" xfId="0" applyFont="1" applyNumberFormat="1">
      <alignment horizontal="right" vertical="center" wrapText="1"/>
    </xf>
    <xf numFmtId="0" fontId="0" fillId="0" borderId="14" xfId="0" applyFont="1" applyBorder="1" applyNumberFormat="1">
      <alignment horizontal="center" vertical="center" wrapText="1"/>
    </xf>
    <xf numFmtId="0" fontId="85" fillId="37" borderId="21" xfId="0" applyFont="1" applyFill="1" applyBorder="1" applyNumberFormat="1">
      <alignment horizontal="center" vertical="center" wrapText="1"/>
    </xf>
    <xf numFmtId="49" fontId="23" fillId="0" borderId="0" xfId="0" applyFont="1" applyNumberFormat="1">
      <alignment vertical="center" wrapText="1"/>
    </xf>
    <xf numFmtId="0" fontId="23" fillId="0" borderId="14" xfId="0" applyFont="1" applyBorder="1" applyNumberFormat="1">
      <alignment horizontal="center" vertical="center"/>
    </xf>
    <xf numFmtId="0" fontId="23" fillId="0" borderId="0" xfId="0" applyFont="1" applyNumberFormat="1">
      <alignment horizontal="center" vertical="center"/>
    </xf>
    <xf numFmtId="0" fontId="23" fillId="37" borderId="14" xfId="0" applyFont="1" applyFill="1" applyBorder="1" applyNumberFormat="1">
      <alignment horizontal="left" vertical="center" wrapText="1"/>
    </xf>
    <xf numFmtId="0" fontId="23" fillId="0" borderId="14" xfId="0" applyFont="1" applyBorder="1" applyNumberFormat="1">
      <alignment vertical="center" wrapText="1"/>
    </xf>
    <xf numFmtId="0" fontId="23" fillId="0" borderId="16" xfId="0" applyFont="1" applyBorder="1" applyNumberFormat="1">
      <alignment horizontal="center" vertical="center"/>
    </xf>
    <xf numFmtId="0" fontId="23" fillId="0" borderId="0" xfId="0" applyFont="1" applyNumberFormat="1">
      <alignment horizontal="center" vertical="center" wrapText="1"/>
    </xf>
    <xf numFmtId="0" fontId="23" fillId="37" borderId="14" xfId="0" applyFont="1" applyFill="1" applyBorder="1" applyNumberFormat="1">
      <alignment horizontal="left" vertical="center" wrapText="1" indent="1"/>
    </xf>
    <xf numFmtId="0" fontId="23" fillId="0" borderId="0" xfId="0" applyFont="1" applyNumberFormat="1">
      <alignment vertical="center" wrapText="1"/>
    </xf>
    <xf numFmtId="0" fontId="55" fillId="0" borderId="0" xfId="0" applyFont="1" applyNumberFormat="1">
      <alignment horizontal="center" vertical="center" wrapText="1"/>
    </xf>
    <xf numFmtId="0" fontId="55" fillId="0" borderId="0" xfId="0" applyFont="1" applyNumberFormat="1">
      <alignment vertical="center" wrapText="1"/>
    </xf>
    <xf numFmtId="49" fontId="23" fillId="0" borderId="14" xfId="0" applyFont="1" applyBorder="1" applyNumberFormat="1">
      <alignment horizontal="left" vertical="center" wrapText="1"/>
    </xf>
    <xf numFmtId="0" fontId="55" fillId="0" borderId="0" xfId="0" applyFont="1" applyNumberFormat="1">
      <alignment vertical="center" wrapText="1"/>
    </xf>
    <xf numFmtId="0" fontId="77" fillId="0" borderId="0" xfId="0" applyFont="1" applyNumberFormat="1">
      <alignment horizontal="left" vertical="center" indent="1"/>
    </xf>
    <xf numFmtId="0" fontId="77" fillId="0" borderId="0" xfId="0" applyFont="1" applyNumberFormat="1">
      <alignment horizontal="center" vertical="center"/>
    </xf>
    <xf numFmtId="0" fontId="77" fillId="0" borderId="0" xfId="0" applyFont="1" applyNumberFormat="1">
      <alignment horizontal="left" vertical="center" wrapText="1"/>
    </xf>
    <xf numFmtId="0" fontId="77" fillId="0" borderId="0" xfId="0" applyFont="1" applyNumberFormat="1">
      <alignment vertical="center" wrapText="1"/>
    </xf>
    <xf numFmtId="0" fontId="55" fillId="0" borderId="0" xfId="0" applyFont="1" applyNumberFormat="1">
      <alignment vertical="center"/>
    </xf>
    <xf numFmtId="49" fontId="77" fillId="0" borderId="0" xfId="0" applyFont="1" applyNumberFormat="1">
      <alignment horizontal="left" vertical="center"/>
    </xf>
    <xf numFmtId="0" fontId="54" fillId="0" borderId="0" xfId="0" applyFont="1" applyNumberFormat="1">
      <alignment vertical="center" wrapText="1"/>
    </xf>
    <xf numFmtId="0" fontId="23" fillId="0" borderId="0" xfId="0" applyFont="1" applyNumberFormat="1">
      <alignment horizontal="center" vertical="center" wrapText="1"/>
    </xf>
    <xf numFmtId="49" fontId="23" fillId="0" borderId="0" xfId="0" applyFont="1" applyNumberFormat="1">
      <alignment vertical="center" wrapText="1"/>
    </xf>
    <xf numFmtId="49" fontId="23" fillId="0" borderId="14" xfId="0" applyFont="1" applyBorder="1" applyNumberFormat="1">
      <alignment vertical="center" wrapText="1"/>
    </xf>
    <xf numFmtId="0" fontId="23" fillId="0" borderId="0" xfId="0" applyFont="1" applyNumberFormat="1">
      <alignment vertical="center"/>
    </xf>
    <xf numFmtId="0" fontId="23" fillId="0" borderId="0" xfId="0" applyFont="1" applyNumberFormat="1">
      <alignment horizontal="center" vertical="center"/>
    </xf>
    <xf numFmtId="0" fontId="23" fillId="0" borderId="0" xfId="0" applyFont="1" applyNumberFormat="1">
      <alignment horizontal="right" vertical="center" wrapText="1"/>
    </xf>
    <xf numFmtId="0" fontId="55" fillId="0" borderId="0" xfId="0" applyFont="1" applyNumberFormat="1">
      <alignment vertical="center" wrapText="1"/>
    </xf>
    <xf numFmtId="0" fontId="23" fillId="0" borderId="19" xfId="0" applyFont="1" applyBorder="1" applyNumberFormat="1">
      <alignment vertical="center" wrapText="1"/>
    </xf>
    <xf numFmtId="0" fontId="0" fillId="0" borderId="14" xfId="0" applyFont="1" applyBorder="1" applyNumberFormat="1">
      <alignment horizontal="center" vertical="center" wrapText="1"/>
    </xf>
    <xf numFmtId="0" fontId="77" fillId="0" borderId="0" xfId="0" applyFont="1" applyNumberFormat="1">
      <alignment vertical="center" wrapText="1"/>
    </xf>
    <xf numFmtId="0" fontId="85" fillId="37" borderId="21" xfId="0" applyFont="1" applyFill="1" applyBorder="1" applyNumberFormat="1">
      <alignment horizontal="center" vertical="center" wrapText="1"/>
    </xf>
    <xf numFmtId="0" fontId="77" fillId="0" borderId="0" xfId="0" applyFont="1" applyNumberFormat="1">
      <alignment horizontal="left" vertical="center" indent="1"/>
    </xf>
    <xf numFmtId="0" fontId="55" fillId="0" borderId="0" xfId="0" applyFont="1" applyNumberFormat="1">
      <alignment vertical="center" wrapText="1"/>
    </xf>
    <xf numFmtId="0" fontId="77" fillId="0" borderId="0" xfId="0" applyFont="1" applyNumberFormat="1">
      <alignment horizontal="center" vertical="center"/>
    </xf>
    <xf numFmtId="0" fontId="23" fillId="0" borderId="0" xfId="0" applyFont="1" applyNumberFormat="1">
      <alignment vertical="center" wrapText="1"/>
    </xf>
    <xf numFmtId="0" fontId="23" fillId="0" borderId="0" xfId="0" applyFont="1" applyNumberFormat="1">
      <alignment horizontal="center" vertical="center" wrapText="1"/>
    </xf>
    <xf numFmtId="49" fontId="23" fillId="0" borderId="0" xfId="0" applyFont="1" applyNumberFormat="1">
      <alignment vertical="center" wrapText="1"/>
    </xf>
    <xf numFmtId="0" fontId="23" fillId="0" borderId="0" xfId="0" applyFont="1" applyNumberFormat="1">
      <alignment horizontal="left" vertical="center" indent="1"/>
    </xf>
    <xf numFmtId="49" fontId="23" fillId="0" borderId="0" xfId="0" applyFont="1" applyNumberFormat="1">
      <alignment horizontal="left" vertical="center"/>
    </xf>
    <xf numFmtId="164" fontId="23" fillId="0" borderId="14" xfId="0" applyFont="1" applyBorder="1" applyNumberFormat="1">
      <alignment horizontal="right" vertical="center" wrapText="1"/>
    </xf>
    <xf numFmtId="0" fontId="0" fillId="37" borderId="21" xfId="0" applyFont="1" applyFill="1" applyBorder="1" applyNumberFormat="1">
      <alignment horizontal="center" vertical="center" wrapText="1"/>
    </xf>
    <xf numFmtId="0" fontId="55" fillId="0" borderId="19" xfId="0" applyFont="1" applyBorder="1" applyNumberFormat="1">
      <alignment horizontal="center" vertical="center" wrapText="1"/>
    </xf>
    <xf numFmtId="0" fontId="23" fillId="0" borderId="39" xfId="0" applyFont="1" applyBorder="1" applyNumberFormat="1">
      <alignment horizontal="center" vertical="center" wrapText="1"/>
    </xf>
    <xf numFmtId="0" fontId="55" fillId="0" borderId="14" xfId="0" applyFont="1" applyBorder="1" applyNumberFormat="1">
      <alignment vertical="center" wrapText="1"/>
    </xf>
    <xf numFmtId="0" fontId="23" fillId="0" borderId="0" xfId="0" applyFont="1" applyNumberFormat="1">
      <alignment vertical="center"/>
    </xf>
    <xf numFmtId="0" fontId="55" fillId="0" borderId="25" xfId="0" applyFont="1" applyBorder="1" applyNumberFormat="1">
      <alignment horizontal="center" vertical="center" wrapText="1"/>
    </xf>
    <xf numFmtId="0" fontId="23" fillId="0" borderId="32" xfId="0" applyFont="1" applyBorder="1" applyNumberFormat="1">
      <alignment horizontal="center" vertical="center" wrapText="1"/>
    </xf>
    <xf numFmtId="0" fontId="55" fillId="0" borderId="14" xfId="0" applyFont="1" applyBorder="1" applyNumberFormat="1">
      <alignment horizontal="center" vertical="center" wrapText="1"/>
    </xf>
    <xf numFmtId="0" fontId="0" fillId="0" borderId="15" xfId="0" applyFont="1" applyBorder="1" applyNumberFormat="1">
      <alignment horizontal="center" vertical="center" wrapText="1"/>
    </xf>
    <xf numFmtId="0" fontId="85" fillId="37" borderId="0" xfId="0" applyFont="1" applyFill="1" applyNumberFormat="1">
      <alignment horizontal="center" vertical="center" wrapText="1"/>
    </xf>
    <xf numFmtId="0" fontId="55" fillId="0" borderId="14" xfId="0" applyFont="1" applyBorder="1" applyNumberFormat="1">
      <alignment horizontal="left" vertical="center" wrapText="1"/>
    </xf>
    <xf numFmtId="0" fontId="55" fillId="0" borderId="14" xfId="0" applyFont="1" applyBorder="1" applyNumberFormat="1">
      <alignment horizontal="left" vertical="center" wrapText="1" indent="4"/>
    </xf>
    <xf numFmtId="0" fontId="55" fillId="0" borderId="14" xfId="0" applyFont="1" applyBorder="1" applyNumberFormat="1">
      <alignment horizontal="left" vertical="center" wrapText="1" indent="6"/>
    </xf>
    <xf numFmtId="0" fontId="55" fillId="0" borderId="16" xfId="0" applyFont="1" applyBorder="1" applyNumberFormat="1">
      <alignment horizontal="left" vertical="center" wrapText="1"/>
    </xf>
    <xf numFmtId="0" fontId="55" fillId="0" borderId="17" xfId="0" applyFont="1" applyBorder="1" applyNumberFormat="1">
      <alignment horizontal="left" vertical="center" wrapText="1"/>
    </xf>
    <xf numFmtId="0" fontId="55" fillId="0" borderId="15" xfId="0" applyFont="1" applyBorder="1" applyNumberFormat="1">
      <alignment horizontal="left" vertical="center" wrapText="1"/>
    </xf>
    <xf numFmtId="0" fontId="55" fillId="0" borderId="14" xfId="0" applyFont="1" applyBorder="1" applyNumberFormat="1">
      <alignment vertical="top" wrapText="1"/>
    </xf>
    <xf numFmtId="49" fontId="102" fillId="0" borderId="16" xfId="0" applyFont="1" applyBorder="1" applyNumberFormat="1">
      <alignment horizontal="left" vertical="center"/>
    </xf>
    <xf numFmtId="49" fontId="55" fillId="0" borderId="17" xfId="0" applyFont="1" applyBorder="1" applyNumberFormat="1">
      <alignment horizontal="left" vertical="center" indent="4"/>
    </xf>
    <xf numFmtId="49" fontId="55" fillId="0" borderId="17" xfId="0" applyFont="1" applyBorder="1" applyNumberFormat="1">
      <alignment horizontal="center" vertical="center" wrapText="1"/>
    </xf>
    <xf numFmtId="49" fontId="55" fillId="0" borderId="15" xfId="0" applyFont="1" applyBorder="1" applyNumberFormat="1">
      <alignment horizontal="center" vertical="center" wrapText="1"/>
    </xf>
    <xf numFmtId="49" fontId="55" fillId="0" borderId="0" xfId="0" applyFont="1" applyNumberFormat="1">
      <alignment vertical="center" wrapText="1"/>
    </xf>
    <xf numFmtId="0" fontId="0" fillId="0" borderId="0" xfId="0" applyFont="1" applyNumberFormat="1">
      <alignment horizontal="left" vertical="top" wrapText="1"/>
    </xf>
    <xf numFmtId="0" fontId="54" fillId="0" borderId="0" xfId="0" applyFont="1" applyNumberFormat="1">
      <alignment vertical="top" wrapText="1"/>
    </xf>
    <xf numFmtId="0" fontId="23" fillId="0" borderId="21" xfId="0" applyFont="1" applyBorder="1" applyNumberFormat="1">
      <alignment horizontal="left" vertical="center" wrapText="1" indent="1"/>
    </xf>
    <xf numFmtId="0" fontId="23" fillId="0" borderId="0" xfId="0" applyFont="1" applyNumberFormat="1">
      <alignment horizontal="left" vertical="center" wrapText="1"/>
    </xf>
    <xf numFmtId="0" fontId="23" fillId="43" borderId="22" xfId="0" applyFont="1" applyFill="1" applyBorder="1" applyNumberFormat="1">
      <alignment horizontal="left" vertical="center" wrapText="1"/>
    </xf>
    <xf numFmtId="0" fontId="23" fillId="0" borderId="0" xfId="0" applyFont="1" applyNumberFormat="1">
      <alignment horizontal="center" vertical="center" wrapText="1"/>
    </xf>
    <xf numFmtId="164" fontId="23" fillId="39" borderId="16" xfId="0" applyFont="1" applyFill="1" applyBorder="1" applyNumberFormat="1">
      <alignment horizontal="right" vertical="center" wrapText="1"/>
      <protection locked="0"/>
    </xf>
    <xf numFmtId="4" fontId="23" fillId="39" borderId="15" xfId="0" applyFont="1" applyFill="1" applyBorder="1" applyNumberFormat="1">
      <alignment horizontal="right" vertical="center" wrapText="1"/>
      <protection locked="0"/>
    </xf>
    <xf numFmtId="0" fontId="53" fillId="0" borderId="19" xfId="0" applyFont="1" applyBorder="1" applyNumberFormat="1">
      <alignment vertical="top" wrapText="1"/>
    </xf>
    <xf numFmtId="0" fontId="23" fillId="39" borderId="14" xfId="0" applyFont="1" applyFill="1" applyBorder="1" applyNumberFormat="1">
      <alignment horizontal="left" vertical="center" wrapText="1" indent="7"/>
      <protection locked="0"/>
    </xf>
    <xf numFmtId="49" fontId="0" fillId="42" borderId="14" xfId="0" applyFont="1" applyFill="1" applyBorder="1" applyNumberFormat="1">
      <alignment horizontal="center" vertical="center" wrapText="1"/>
      <protection locked="0"/>
    </xf>
    <xf numFmtId="4" fontId="55" fillId="0" borderId="16" xfId="0" applyFont="1" applyBorder="1" applyNumberFormat="1">
      <alignment horizontal="center" vertical="center" wrapText="1"/>
    </xf>
    <xf numFmtId="4" fontId="23" fillId="0" borderId="15" xfId="0" applyFont="1" applyBorder="1" applyNumberFormat="1">
      <alignment horizontal="right" vertical="center" wrapText="1"/>
    </xf>
    <xf numFmtId="0" fontId="23" fillId="40" borderId="17" xfId="0" applyFont="1" applyFill="1" applyBorder="1" applyNumberFormat="1">
      <alignment horizontal="left" vertical="center" wrapText="1" indent="6"/>
    </xf>
    <xf numFmtId="4" fontId="23" fillId="40" borderId="17" xfId="0" applyFont="1" applyFill="1" applyBorder="1" applyNumberFormat="1">
      <alignment horizontal="right" vertical="center" wrapText="1"/>
    </xf>
    <xf numFmtId="4" fontId="55" fillId="40" borderId="17" xfId="0" applyFont="1" applyFill="1" applyBorder="1" applyNumberFormat="1">
      <alignment horizontal="center" vertical="center" wrapText="1"/>
    </xf>
    <xf numFmtId="4" fontId="23" fillId="40" borderId="15" xfId="0" applyFont="1" applyFill="1" applyBorder="1" applyNumberFormat="1">
      <alignment horizontal="right" vertical="center" wrapText="1"/>
    </xf>
    <xf numFmtId="49" fontId="23" fillId="40" borderId="29" xfId="0" applyFont="1" applyFill="1" applyBorder="1" applyNumberFormat="1">
      <alignment horizontal="center" vertical="center" wrapText="1"/>
    </xf>
    <xf numFmtId="0" fontId="23" fillId="0" borderId="0" xfId="0" applyFont="1" applyNumberFormat="1">
      <alignment horizontal="center" vertical="center" wrapText="1"/>
    </xf>
    <xf numFmtId="0" fontId="23" fillId="0" borderId="14" xfId="0" applyFont="1" applyBorder="1" applyNumberFormat="1">
      <alignment horizontal="center" vertical="center" wrapText="1"/>
    </xf>
    <xf numFmtId="0" fontId="23" fillId="0" borderId="21" xfId="0" applyFont="1" applyBorder="1" applyNumberFormat="1">
      <alignment horizontal="center" vertical="center" wrapText="1"/>
    </xf>
    <xf numFmtId="0" fontId="23" fillId="0" borderId="22" xfId="0" applyFont="1" applyBorder="1" applyNumberFormat="1">
      <alignment horizontal="center" vertical="center" wrapText="1"/>
    </xf>
    <xf numFmtId="0" fontId="23" fillId="0" borderId="24" xfId="0" applyFont="1" applyBorder="1" applyNumberFormat="1">
      <alignment horizontal="center" vertical="center" wrapText="1"/>
    </xf>
    <xf numFmtId="0" fontId="0" fillId="0" borderId="19" xfId="0" applyFont="1" applyBorder="1" applyNumberFormat="1">
      <alignment horizontal="center" vertical="center" wrapText="1"/>
    </xf>
    <xf numFmtId="0" fontId="0" fillId="0" borderId="17" xfId="0" applyFont="1" applyBorder="1" applyNumberFormat="1">
      <alignment horizontal="center" vertical="center" wrapText="1"/>
    </xf>
    <xf numFmtId="0" fontId="23" fillId="0" borderId="29" xfId="0" applyFont="1" applyBorder="1" applyNumberFormat="1">
      <alignment horizontal="center" vertical="center" wrapText="1"/>
    </xf>
    <xf numFmtId="0" fontId="23" fillId="0" borderId="31" xfId="0" applyFont="1" applyBorder="1" applyNumberFormat="1">
      <alignment horizontal="center" vertical="center" wrapText="1"/>
    </xf>
    <xf numFmtId="0" fontId="0" fillId="0" borderId="38" xfId="0" applyFont="1" applyBorder="1" applyNumberFormat="1">
      <alignment horizontal="center" vertical="center" wrapText="1"/>
    </xf>
    <xf numFmtId="0" fontId="0" fillId="0" borderId="39" xfId="0" applyFont="1" applyBorder="1" applyNumberFormat="1">
      <alignment horizontal="center" vertical="center" wrapText="1"/>
    </xf>
    <xf numFmtId="0" fontId="0" fillId="0" borderId="22" xfId="0" applyFont="1" applyBorder="1" applyNumberFormat="1">
      <alignment horizontal="center" vertical="center" wrapText="1"/>
    </xf>
    <xf numFmtId="0" fontId="0" fillId="0" borderId="25" xfId="0" applyFont="1" applyBorder="1" applyNumberFormat="1">
      <alignment horizontal="center" vertical="center" wrapText="1"/>
    </xf>
    <xf numFmtId="0" fontId="0" fillId="0" borderId="32" xfId="0" applyFont="1" applyBorder="1" applyNumberFormat="1">
      <alignment horizontal="center" vertical="center" wrapText="1"/>
    </xf>
    <xf numFmtId="0" fontId="0" fillId="0" borderId="31" xfId="0" applyFont="1" applyBorder="1" applyNumberFormat="1">
      <alignment horizontal="center" vertical="center" wrapText="1"/>
    </xf>
    <xf numFmtId="0" fontId="23" fillId="0" borderId="14" xfId="0" applyFont="1" applyBorder="1" applyNumberFormat="1">
      <alignment horizontal="center" vertical="center"/>
    </xf>
    <xf numFmtId="0" fontId="23" fillId="0" borderId="16" xfId="0" applyFont="1" applyBorder="1" applyNumberFormat="1">
      <alignment horizontal="center" vertical="center"/>
    </xf>
    <xf numFmtId="0" fontId="23" fillId="0" borderId="0" xfId="0" applyFont="1" applyNumberFormat="1">
      <alignment horizontal="center" vertical="center" wrapText="1"/>
    </xf>
    <xf numFmtId="49" fontId="54" fillId="0" borderId="0" xfId="0" applyFont="1" applyNumberFormat="1">
      <alignment vertical="center" wrapText="1"/>
    </xf>
    <xf numFmtId="0" fontId="54" fillId="0" borderId="0" xfId="0" applyFont="1" applyNumberFormat="1">
      <alignment horizontal="center" vertical="center" wrapText="1"/>
    </xf>
    <xf numFmtId="0" fontId="61" fillId="37" borderId="0" xfId="0" applyFont="1" applyFill="1" applyNumberFormat="1">
      <alignment horizontal="center" vertical="center" wrapText="1"/>
    </xf>
    <xf numFmtId="0" fontId="61" fillId="0" borderId="0" xfId="0" applyFont="1" applyNumberFormat="1">
      <alignment vertical="center" wrapText="1"/>
    </xf>
    <xf numFmtId="0" fontId="55" fillId="0" borderId="14" xfId="0" applyFont="1" applyBorder="1" applyNumberFormat="1">
      <alignment horizontal="left" vertical="center" wrapText="1" indent="5"/>
    </xf>
    <xf numFmtId="0" fontId="55" fillId="0" borderId="26" xfId="0" applyFont="1" applyBorder="1" applyNumberFormat="1">
      <alignment horizontal="center" vertical="top" wrapText="1"/>
    </xf>
    <xf numFmtId="0" fontId="23" fillId="37" borderId="19" xfId="0" applyFont="1" applyFill="1" applyBorder="1" applyNumberFormat="1">
      <alignment horizontal="left" vertical="center" wrapText="1"/>
    </xf>
    <xf numFmtId="49" fontId="23" fillId="42" borderId="19" xfId="0" applyFont="1" applyFill="1" applyBorder="1" applyNumberFormat="1">
      <alignment horizontal="left" vertical="center" wrapText="1" indent="6"/>
      <protection locked="0"/>
    </xf>
    <xf numFmtId="0" fontId="45" fillId="0" borderId="14" xfId="0" applyFont="1" applyBorder="1" applyNumberFormat="1">
      <alignment horizontal="center" vertical="center" wrapText="1"/>
    </xf>
    <xf numFmtId="49" fontId="23" fillId="43" borderId="14" xfId="0" applyFont="1" applyFill="1" applyBorder="1" applyNumberFormat="1">
      <alignment horizontal="left" vertical="center" wrapText="1" indent="1"/>
    </xf>
    <xf numFmtId="0" fontId="23" fillId="0" borderId="14" xfId="0" applyFont="1" applyBorder="1" applyNumberFormat="1">
      <alignment horizontal="left" vertical="center" wrapText="1" indent="4"/>
    </xf>
    <xf numFmtId="49" fontId="23" fillId="37" borderId="14" xfId="0" applyFont="1" applyFill="1" applyBorder="1" applyNumberFormat="1">
      <alignment horizontal="center" vertical="center" wrapText="1"/>
    </xf>
    <xf numFmtId="0" fontId="23" fillId="43" borderId="14" xfId="0" applyFont="1" applyFill="1" applyBorder="1" applyNumberFormat="1">
      <alignment horizontal="left" vertical="center" wrapText="1" indent="1"/>
    </xf>
    <xf numFmtId="167" fontId="0" fillId="42" borderId="14" xfId="0" applyFont="1" applyFill="1" applyBorder="1" applyNumberFormat="1">
      <alignment horizontal="center" vertical="center" wrapText="1"/>
      <protection locked="0"/>
    </xf>
    <xf numFmtId="49" fontId="23" fillId="43" borderId="14" xfId="0" applyFont="1" applyFill="1" applyBorder="1" applyNumberFormat="1">
      <alignment horizontal="center" vertical="center" wrapText="1"/>
    </xf>
    <xf numFmtId="0" fontId="23" fillId="37" borderId="38" xfId="0" applyFont="1" applyFill="1" applyBorder="1" applyNumberFormat="1">
      <alignment horizontal="left" vertical="center" wrapText="1"/>
    </xf>
    <xf numFmtId="49" fontId="23" fillId="42" borderId="38" xfId="0" applyFont="1" applyFill="1" applyBorder="1" applyNumberFormat="1">
      <alignment horizontal="left" vertical="center" wrapText="1" indent="6"/>
      <protection locked="0"/>
    </xf>
    <xf numFmtId="164" fontId="23" fillId="40" borderId="15" xfId="0" applyFont="1" applyFill="1" applyBorder="1" applyNumberFormat="1">
      <alignment horizontal="right" vertical="center" wrapText="1"/>
    </xf>
    <xf numFmtId="49" fontId="48" fillId="40" borderId="16" xfId="0" applyFont="1" applyFill="1" applyBorder="1" applyNumberFormat="1">
      <alignment horizontal="left" vertical="center"/>
    </xf>
    <xf numFmtId="164" fontId="23" fillId="40" borderId="17" xfId="0" applyFont="1" applyFill="1" applyBorder="1" applyNumberFormat="1">
      <alignment horizontal="right" vertical="center" wrapText="1"/>
    </xf>
    <xf numFmtId="4" fontId="23" fillId="0" borderId="38" xfId="0" applyFont="1" applyBorder="1" applyNumberFormat="1">
      <alignment horizontal="right" vertical="center" wrapText="1"/>
    </xf>
    <xf numFmtId="49" fontId="48" fillId="40" borderId="16" xfId="0" applyFont="1" applyFill="1" applyBorder="1" applyNumberFormat="1">
      <alignment horizontal="left" vertical="center" indent="1"/>
    </xf>
    <xf numFmtId="0" fontId="23" fillId="37" borderId="25" xfId="0" applyFont="1" applyFill="1" applyBorder="1" applyNumberFormat="1">
      <alignment horizontal="left" vertical="center" wrapText="1"/>
    </xf>
    <xf numFmtId="49" fontId="23" fillId="42" borderId="25" xfId="0" applyFont="1" applyFill="1" applyBorder="1" applyNumberFormat="1">
      <alignment horizontal="left" vertical="center" wrapText="1" indent="6"/>
      <protection locked="0"/>
    </xf>
    <xf numFmtId="4" fontId="55" fillId="40" borderId="15" xfId="0" applyFont="1" applyFill="1" applyBorder="1" applyNumberFormat="1">
      <alignment horizontal="center" vertical="center" wrapText="1"/>
    </xf>
    <xf numFmtId="49" fontId="48" fillId="40" borderId="16" xfId="0" applyFont="1" applyFill="1" applyBorder="1" applyNumberFormat="1">
      <alignment vertical="center" wrapText="1"/>
    </xf>
    <xf numFmtId="49" fontId="48" fillId="40" borderId="17" xfId="0" applyFont="1" applyFill="1" applyBorder="1" applyNumberFormat="1">
      <alignment vertical="center" wrapText="1"/>
    </xf>
    <xf numFmtId="49" fontId="55" fillId="0" borderId="26" xfId="0" applyFont="1" applyBorder="1" applyNumberFormat="1">
      <alignment vertical="top"/>
    </xf>
    <xf numFmtId="0" fontId="116" fillId="0" borderId="0" xfId="0" applyFont="1" applyNumberFormat="1">
      <alignment horizontal="center" vertical="center" wrapText="1"/>
    </xf>
    <xf numFmtId="49" fontId="55" fillId="0" borderId="0" xfId="0" applyFont="1" applyNumberFormat="1">
      <alignment horizontal="center" vertical="center" wrapText="1"/>
    </xf>
    <xf numFmtId="49" fontId="55" fillId="0" borderId="0" xfId="0" applyFont="1" applyNumberFormat="1">
      <alignment horizontal="left" vertical="center" wrapText="1" indent="1"/>
    </xf>
    <xf numFmtId="0" fontId="55" fillId="0" borderId="0" xfId="0" applyFont="1" applyNumberFormat="1">
      <alignment horizontal="left" vertical="center" wrapText="1" indent="4"/>
    </xf>
    <xf numFmtId="0" fontId="55" fillId="0" borderId="26" xfId="0" applyFont="1" applyBorder="1" applyNumberFormat="1">
      <alignment horizontal="left" vertical="center" wrapText="1" indent="1"/>
    </xf>
    <xf numFmtId="4" fontId="55" fillId="0" borderId="14" xfId="0" applyFont="1" applyBorder="1" applyNumberFormat="1">
      <alignment horizontal="right" vertical="center" wrapText="1"/>
    </xf>
    <xf numFmtId="164" fontId="55" fillId="0" borderId="14" xfId="0" applyFont="1" applyBorder="1" applyNumberFormat="1">
      <alignment horizontal="right" vertical="center" wrapText="1"/>
    </xf>
    <xf numFmtId="167" fontId="55" fillId="0" borderId="14" xfId="0" applyFont="1" applyBorder="1" applyNumberFormat="1">
      <alignment horizontal="center" vertical="center" wrapText="1"/>
    </xf>
    <xf numFmtId="49" fontId="55" fillId="0" borderId="14" xfId="0" applyFont="1" applyBorder="1" applyNumberFormat="1">
      <alignment horizontal="center" vertical="center" wrapText="1"/>
    </xf>
    <xf numFmtId="0" fontId="54" fillId="0" borderId="0" xfId="0" applyFont="1" applyNumberFormat="1">
      <alignment horizontal="left" vertical="center"/>
    </xf>
    <xf numFmtId="49" fontId="54" fillId="0" borderId="0" xfId="0" applyFont="1" applyNumberFormat="1">
      <alignment horizontal="left" vertical="center"/>
    </xf>
    <xf numFmtId="0" fontId="54" fillId="0" borderId="0" xfId="0" applyFont="1" applyNumberFormat="1">
      <alignment horizontal="left" vertical="center"/>
    </xf>
    <xf numFmtId="0" fontId="74" fillId="0" borderId="0" xfId="0" applyFont="1" applyNumberFormat="1">
      <alignment horizontal="left" vertical="center"/>
    </xf>
    <xf numFmtId="0" fontId="54" fillId="0" borderId="0" xfId="0" applyFont="1" applyNumberFormat="1">
      <alignment horizontal="left" vertical="center"/>
    </xf>
    <xf numFmtId="0" fontId="55" fillId="0" borderId="0" xfId="0" applyFont="1" applyNumberFormat="1">
      <alignment horizontal="left" vertical="center"/>
    </xf>
    <xf numFmtId="0" fontId="74" fillId="37" borderId="0" xfId="0" applyFont="1" applyFill="1" applyNumberFormat="1">
      <alignment vertical="center" wrapText="1"/>
    </xf>
    <xf numFmtId="0" fontId="23" fillId="37" borderId="39" xfId="0" applyFont="1" applyFill="1" applyBorder="1" applyNumberFormat="1">
      <alignment horizontal="center" vertical="center" wrapText="1"/>
    </xf>
    <xf numFmtId="0" fontId="0" fillId="37" borderId="39" xfId="0" applyFont="1" applyFill="1" applyBorder="1" applyNumberFormat="1">
      <alignment horizontal="center" vertical="center" wrapText="1"/>
    </xf>
    <xf numFmtId="0" fontId="0" fillId="37" borderId="22" xfId="0" applyFont="1" applyFill="1" applyBorder="1" applyNumberFormat="1">
      <alignment horizontal="center" vertical="center" wrapText="1"/>
    </xf>
    <xf numFmtId="0" fontId="23" fillId="37" borderId="24" xfId="0" applyFont="1" applyFill="1" applyBorder="1" applyNumberFormat="1">
      <alignment horizontal="center" vertical="center" wrapText="1"/>
    </xf>
    <xf numFmtId="0" fontId="0" fillId="37" borderId="24" xfId="0" applyFont="1" applyFill="1" applyBorder="1" applyNumberFormat="1">
      <alignment horizontal="center" vertical="center" wrapText="1"/>
    </xf>
    <xf numFmtId="0" fontId="0" fillId="37" borderId="0" xfId="0" applyFont="1" applyFill="1" applyNumberFormat="1">
      <alignment horizontal="center" vertical="center" wrapText="1"/>
    </xf>
    <xf numFmtId="0" fontId="0" fillId="37" borderId="26" xfId="0" applyFont="1" applyFill="1" applyBorder="1" applyNumberFormat="1">
      <alignment horizontal="center" vertical="center" wrapText="1"/>
    </xf>
    <xf numFmtId="0" fontId="23" fillId="42" borderId="14" xfId="0" applyFont="1" applyFill="1" applyBorder="1" applyNumberFormat="1">
      <alignment horizontal="center" vertical="center" wrapText="1"/>
      <protection locked="0"/>
    </xf>
    <xf numFmtId="0" fontId="23" fillId="37" borderId="14" xfId="0" applyFont="1" applyFill="1" applyBorder="1" applyNumberFormat="1">
      <alignment horizontal="center" vertical="center" wrapText="1"/>
    </xf>
    <xf numFmtId="0" fontId="23" fillId="37" borderId="32" xfId="0" applyFont="1" applyFill="1" applyBorder="1" applyNumberFormat="1">
      <alignment horizontal="center" vertical="center" wrapText="1"/>
    </xf>
    <xf numFmtId="0" fontId="0" fillId="37" borderId="32" xfId="0" applyFont="1" applyFill="1" applyBorder="1" applyNumberFormat="1">
      <alignment horizontal="center" vertical="center" wrapText="1"/>
    </xf>
    <xf numFmtId="0" fontId="0" fillId="37" borderId="29" xfId="0" applyFont="1" applyFill="1" applyBorder="1" applyNumberFormat="1">
      <alignment horizontal="center" vertical="center" wrapText="1"/>
    </xf>
    <xf numFmtId="0" fontId="0" fillId="37" borderId="31" xfId="0" applyFont="1" applyFill="1" applyBorder="1" applyNumberFormat="1">
      <alignment horizontal="center" vertical="center" wrapText="1"/>
    </xf>
    <xf numFmtId="0" fontId="23" fillId="37" borderId="25" xfId="0" applyFont="1" applyFill="1" applyBorder="1" applyNumberFormat="1">
      <alignment horizontal="center" vertical="center" wrapText="1"/>
    </xf>
    <xf numFmtId="49" fontId="23" fillId="0" borderId="14" xfId="0" applyFont="1" applyBorder="1" applyNumberFormat="1">
      <alignment horizontal="left" vertical="center" wrapText="1" indent="1"/>
    </xf>
    <xf numFmtId="0" fontId="23" fillId="0" borderId="14" xfId="0" applyFont="1" applyBorder="1" applyNumberFormat="1">
      <alignment horizontal="left" vertical="center" wrapText="1" indent="1"/>
    </xf>
    <xf numFmtId="49" fontId="23" fillId="40" borderId="16" xfId="0" applyFont="1" applyFill="1" applyBorder="1" applyNumberFormat="1">
      <alignment horizontal="center" vertical="center" wrapText="1"/>
    </xf>
    <xf numFmtId="49" fontId="77" fillId="0" borderId="26" xfId="0" applyFont="1" applyBorder="1" applyNumberFormat="1">
      <alignment vertical="top"/>
    </xf>
    <xf numFmtId="0" fontId="23" fillId="0" borderId="0" xfId="0" applyFont="1" applyNumberFormat="1">
      <alignment horizontal="left" vertical="top" wrapText="1"/>
    </xf>
    <xf numFmtId="0" fontId="74" fillId="0" borderId="0" xfId="0" applyFont="1" applyNumberFormat="1">
      <alignment vertical="center" wrapText="1"/>
    </xf>
    <xf numFmtId="0" fontId="23" fillId="37" borderId="14" xfId="0" applyFont="1" applyFill="1" applyBorder="1" applyNumberFormat="1">
      <alignment horizontal="left" vertical="center" wrapText="1"/>
    </xf>
    <xf numFmtId="0" fontId="23" fillId="0" borderId="0" xfId="0" applyFont="1" applyNumberFormat="1">
      <alignment horizontal="center" vertical="center" wrapText="1"/>
    </xf>
    <xf numFmtId="0" fontId="55" fillId="0" borderId="0" xfId="0" applyFont="1" applyNumberFormat="1">
      <alignment horizontal="center" vertical="center" wrapText="1"/>
    </xf>
    <xf numFmtId="0" fontId="23" fillId="39" borderId="16" xfId="0" applyFont="1" applyFill="1" applyBorder="1" applyNumberFormat="1">
      <alignment horizontal="left" vertical="center" wrapText="1"/>
      <protection locked="0"/>
    </xf>
    <xf numFmtId="0" fontId="23" fillId="39" borderId="17" xfId="0" applyFont="1" applyFill="1" applyBorder="1" applyNumberFormat="1">
      <alignment horizontal="left" vertical="center" wrapText="1"/>
      <protection locked="0"/>
    </xf>
    <xf numFmtId="0" fontId="23" fillId="39" borderId="15" xfId="0" applyFont="1" applyFill="1" applyBorder="1" applyNumberFormat="1">
      <alignment horizontal="left" vertical="center" wrapText="1"/>
      <protection locked="0"/>
    </xf>
    <xf numFmtId="49" fontId="23" fillId="39" borderId="16" xfId="0" applyFont="1" applyFill="1" applyBorder="1" applyNumberFormat="1">
      <alignment horizontal="left" vertical="center" wrapText="1"/>
      <protection locked="0"/>
    </xf>
    <xf numFmtId="49" fontId="23" fillId="39" borderId="17" xfId="0" applyFont="1" applyFill="1" applyBorder="1" applyNumberFormat="1">
      <alignment horizontal="left" vertical="center" wrapText="1"/>
      <protection locked="0"/>
    </xf>
    <xf numFmtId="49" fontId="23" fillId="39" borderId="15" xfId="0" applyFont="1" applyFill="1" applyBorder="1" applyNumberFormat="1">
      <alignment horizontal="left" vertical="center" wrapText="1"/>
      <protection locked="0"/>
    </xf>
    <xf numFmtId="49" fontId="23" fillId="39" borderId="14" xfId="0" applyFont="1" applyFill="1" applyBorder="1" applyNumberFormat="1">
      <alignment horizontal="left" vertical="center" wrapText="1" indent="6"/>
      <protection locked="0"/>
    </xf>
    <xf numFmtId="4" fontId="23" fillId="0" borderId="39" xfId="0" applyFont="1" applyBorder="1" applyNumberFormat="1">
      <alignment horizontal="right" vertical="center" wrapText="1"/>
    </xf>
    <xf numFmtId="0" fontId="53" fillId="0" borderId="14" xfId="0" applyFont="1" applyBorder="1" applyNumberFormat="1">
      <alignment horizontal="left" vertical="top" wrapText="1"/>
    </xf>
    <xf numFmtId="49" fontId="23" fillId="0" borderId="14" xfId="0" applyFont="1" applyBorder="1" applyNumberFormat="1">
      <alignment horizontal="left" vertical="center" wrapText="1"/>
    </xf>
    <xf numFmtId="4" fontId="23" fillId="0" borderId="32" xfId="0" applyFont="1" applyBorder="1" applyNumberFormat="1">
      <alignment horizontal="right" vertical="center" wrapText="1"/>
    </xf>
    <xf numFmtId="49" fontId="0" fillId="40" borderId="31" xfId="0" applyFont="1" applyFill="1" applyBorder="1" applyNumberFormat="1">
      <alignment horizontal="center" vertical="center" wrapText="1"/>
    </xf>
    <xf numFmtId="49" fontId="48" fillId="40" borderId="17" xfId="0" applyFont="1" applyFill="1" applyBorder="1" applyNumberFormat="1">
      <alignment horizontal="left" vertical="center" indent="3"/>
    </xf>
    <xf numFmtId="0" fontId="55" fillId="0" borderId="0" xfId="0" applyFont="1" applyNumberFormat="1">
      <alignment horizontal="center" vertical="center"/>
    </xf>
    <xf numFmtId="0" fontId="54" fillId="0" borderId="0" xfId="0" applyFont="1" applyNumberFormat="1">
      <alignment horizontal="center" vertical="center" wrapText="1"/>
    </xf>
    <xf numFmtId="0" fontId="115" fillId="0" borderId="0" xfId="0" applyFont="1" applyNumberFormat="1">
      <alignment vertical="center" wrapText="1"/>
    </xf>
    <xf numFmtId="0" fontId="23" fillId="0" borderId="0" xfId="0" applyFont="1" applyNumberFormat="1">
      <alignment horizontal="right" vertical="center" wrapText="1"/>
    </xf>
    <xf numFmtId="0" fontId="23" fillId="0" borderId="19" xfId="0" applyFont="1" applyBorder="1" applyNumberFormat="1">
      <alignment horizontal="center" vertical="center" wrapText="1"/>
    </xf>
    <xf numFmtId="0" fontId="0" fillId="0" borderId="14" xfId="0" applyFont="1" applyBorder="1" applyNumberFormat="1">
      <alignment horizontal="center" vertical="center" wrapText="1"/>
    </xf>
    <xf numFmtId="0" fontId="85" fillId="37" borderId="21" xfId="0" applyFont="1" applyFill="1" applyBorder="1" applyNumberFormat="1">
      <alignment horizontal="center" vertical="center" wrapText="1"/>
    </xf>
    <xf numFmtId="0" fontId="23" fillId="37" borderId="14" xfId="0" applyFont="1" applyFill="1" applyBorder="1" applyNumberFormat="1">
      <alignment horizontal="left" vertical="center" wrapText="1"/>
    </xf>
    <xf numFmtId="0" fontId="23" fillId="0" borderId="0" xfId="0" applyFont="1" applyNumberFormat="1">
      <alignment horizontal="center" vertical="center" wrapText="1"/>
    </xf>
    <xf numFmtId="0" fontId="55" fillId="0" borderId="0" xfId="0" applyFont="1" applyNumberFormat="1">
      <alignment horizontal="center" vertical="center" wrapText="1"/>
    </xf>
    <xf numFmtId="49" fontId="23" fillId="0" borderId="14" xfId="0" applyFont="1" applyBorder="1" applyNumberFormat="1">
      <alignment horizontal="left" vertical="center" wrapText="1"/>
    </xf>
    <xf numFmtId="0" fontId="54" fillId="0" borderId="0" xfId="0" applyFont="1" applyNumberFormat="1">
      <alignment horizontal="center" vertical="center" wrapText="1"/>
    </xf>
    <xf numFmtId="49" fontId="23" fillId="0" borderId="0" xfId="0" applyFont="1" applyNumberFormat="1">
      <alignment vertical="center" wrapText="1"/>
    </xf>
    <xf numFmtId="0" fontId="23" fillId="37" borderId="14" xfId="0" applyFont="1" applyFill="1" applyBorder="1" applyNumberFormat="1">
      <alignment horizontal="left" vertical="center" wrapText="1"/>
    </xf>
    <xf numFmtId="0" fontId="23" fillId="0" borderId="0" xfId="0" applyFont="1" applyNumberFormat="1">
      <alignment horizontal="center" vertical="center" wrapText="1"/>
    </xf>
    <xf numFmtId="0" fontId="55" fillId="0" borderId="0" xfId="0" applyFont="1" applyNumberFormat="1">
      <alignment horizontal="center" vertical="center" wrapText="1"/>
    </xf>
    <xf numFmtId="49" fontId="23" fillId="0" borderId="14" xfId="0" applyFont="1" applyBorder="1" applyNumberFormat="1">
      <alignment horizontal="left" vertical="center" wrapText="1"/>
    </xf>
    <xf numFmtId="0" fontId="55" fillId="0" borderId="0" xfId="0" applyFont="1" applyNumberFormat="1">
      <alignment horizontal="center" vertical="center"/>
    </xf>
    <xf numFmtId="0" fontId="54" fillId="0" borderId="0" xfId="0" applyFont="1" applyNumberFormat="1">
      <alignment horizontal="center" vertical="center" wrapText="1"/>
    </xf>
    <xf numFmtId="0" fontId="23" fillId="0" borderId="0" xfId="0" applyFont="1" applyNumberFormat="1">
      <alignment horizontal="right" vertical="center" wrapText="1"/>
    </xf>
    <xf numFmtId="0" fontId="23" fillId="0" borderId="19" xfId="0" applyFont="1" applyBorder="1" applyNumberFormat="1">
      <alignment horizontal="center" vertical="center" wrapText="1"/>
    </xf>
    <xf numFmtId="0" fontId="0" fillId="0" borderId="14" xfId="0" applyFont="1" applyBorder="1" applyNumberFormat="1">
      <alignment horizontal="center" vertical="center" wrapText="1"/>
    </xf>
    <xf numFmtId="0" fontId="85" fillId="37" borderId="21" xfId="0" applyFont="1" applyFill="1" applyBorder="1" applyNumberFormat="1">
      <alignment horizontal="center" vertical="center" wrapText="1"/>
    </xf>
    <xf numFmtId="0" fontId="54" fillId="0" borderId="0" xfId="0" applyFont="1" applyNumberFormat="1">
      <alignment horizontal="center" vertical="center" wrapText="1"/>
    </xf>
    <xf numFmtId="49" fontId="23" fillId="0" borderId="0" xfId="0" applyFont="1" applyNumberFormat="1">
      <alignment vertical="center" wrapText="1"/>
    </xf>
    <xf numFmtId="0" fontId="23" fillId="38" borderId="17" xfId="0" applyFont="1" applyFill="1" applyBorder="1" applyNumberFormat="1">
      <alignment horizontal="left" vertical="center" wrapText="1"/>
    </xf>
    <xf numFmtId="0" fontId="54" fillId="0" borderId="0" xfId="0" applyFont="1" applyNumberFormat="1">
      <alignment horizontal="center" vertical="center" wrapText="1"/>
    </xf>
    <xf numFmtId="0" fontId="55" fillId="0" borderId="17" xfId="0" applyFont="1" applyBorder="1" applyNumberFormat="1">
      <alignment horizontal="left" vertical="center" wrapText="1"/>
    </xf>
    <xf numFmtId="49" fontId="23" fillId="43" borderId="14" xfId="0" applyFont="1" applyFill="1" applyBorder="1" applyNumberFormat="1">
      <alignment horizontal="center" vertical="center" wrapText="1"/>
    </xf>
    <xf numFmtId="167" fontId="0" fillId="42" borderId="14" xfId="0" applyFont="1" applyFill="1" applyBorder="1" applyNumberFormat="1">
      <alignment horizontal="center" vertical="center" wrapText="1"/>
      <protection locked="0"/>
    </xf>
    <xf numFmtId="49" fontId="23" fillId="43" borderId="17" xfId="0" applyFont="1" applyFill="1" applyBorder="1" applyNumberFormat="1">
      <alignment horizontal="center" vertical="center" wrapText="1"/>
    </xf>
    <xf numFmtId="49" fontId="55" fillId="0" borderId="14" xfId="0" applyFont="1" applyBorder="1" applyNumberFormat="1">
      <alignment horizontal="center" vertical="center" wrapText="1"/>
    </xf>
    <xf numFmtId="0" fontId="77" fillId="0" borderId="0" xfId="0" applyFont="1" applyNumberFormat="1">
      <alignment vertical="center" wrapText="1"/>
    </xf>
    <xf numFmtId="0" fontId="23" fillId="0" borderId="0" xfId="0" applyFont="1" applyNumberFormat="1">
      <alignment horizontal="left" vertical="center"/>
    </xf>
    <xf numFmtId="49" fontId="23" fillId="0" borderId="0" xfId="0" applyFont="1" applyNumberFormat="1">
      <alignment horizontal="left" vertical="center"/>
    </xf>
    <xf numFmtId="0" fontId="23" fillId="0" borderId="0" xfId="0" applyFont="1" applyNumberFormat="1">
      <alignment horizontal="left" vertical="center"/>
    </xf>
    <xf numFmtId="0" fontId="45" fillId="0" borderId="29" xfId="0" applyFont="1" applyBorder="1" applyNumberFormat="1">
      <alignment horizontal="center" vertical="center" wrapText="1"/>
    </xf>
    <xf numFmtId="0" fontId="23" fillId="42" borderId="15" xfId="0" applyFont="1" applyFill="1" applyBorder="1" applyNumberFormat="1">
      <alignment horizontal="center" vertical="center" wrapText="1"/>
      <protection locked="0"/>
    </xf>
    <xf numFmtId="0" fontId="23" fillId="37" borderId="14" xfId="0" applyFont="1" applyFill="1" applyBorder="1" applyNumberFormat="1">
      <alignment horizontal="center" vertical="center" wrapText="1"/>
    </xf>
    <xf numFmtId="0" fontId="23" fillId="37" borderId="31" xfId="0" applyFont="1" applyFill="1" applyBorder="1" applyNumberFormat="1">
      <alignment horizontal="center" vertical="center" wrapText="1"/>
    </xf>
    <xf numFmtId="0" fontId="23" fillId="37" borderId="25" xfId="0" applyFont="1" applyFill="1" applyBorder="1" applyNumberFormat="1">
      <alignment horizontal="center" vertical="center" wrapText="1"/>
    </xf>
    <xf numFmtId="0" fontId="23" fillId="0" borderId="14" xfId="0" applyFont="1" applyBorder="1" applyNumberFormat="1">
      <alignment horizontal="center" vertical="center" wrapText="1"/>
    </xf>
    <xf numFmtId="0" fontId="23" fillId="37" borderId="19" xfId="0" applyFont="1" applyFill="1" applyBorder="1" applyNumberFormat="1">
      <alignment horizontal="left" vertical="center" wrapText="1"/>
    </xf>
    <xf numFmtId="49" fontId="23" fillId="42" borderId="19" xfId="0" applyFont="1" applyFill="1" applyBorder="1" applyNumberFormat="1">
      <alignment horizontal="left" vertical="center" wrapText="1" indent="6"/>
      <protection locked="0"/>
    </xf>
    <xf numFmtId="49" fontId="23" fillId="39" borderId="19" xfId="0" applyFont="1" applyFill="1" applyBorder="1" applyNumberFormat="1">
      <alignment horizontal="left" vertical="center" wrapText="1" indent="6"/>
      <protection locked="0"/>
    </xf>
    <xf numFmtId="4" fontId="23" fillId="42" borderId="14" xfId="0" applyFont="1" applyFill="1" applyBorder="1" applyNumberFormat="1">
      <alignment horizontal="left" vertical="center" wrapText="1" indent="1"/>
      <protection locked="0"/>
    </xf>
    <xf numFmtId="0" fontId="23" fillId="0" borderId="0" xfId="0" applyFont="1" applyNumberFormat="1">
      <alignment horizontal="left" vertical="top" wrapText="1"/>
    </xf>
    <xf numFmtId="0" fontId="23" fillId="37" borderId="14" xfId="0" applyFont="1" applyFill="1" applyBorder="1" applyNumberFormat="1">
      <alignment horizontal="left" vertical="center" wrapText="1"/>
    </xf>
    <xf numFmtId="0" fontId="116" fillId="0" borderId="0" xfId="0" applyFont="1" applyNumberFormat="1">
      <alignment vertical="center" wrapText="1"/>
    </xf>
    <xf numFmtId="0" fontId="116" fillId="37" borderId="0" xfId="0" applyFont="1" applyFill="1" applyNumberFormat="1">
      <alignment horizontal="center" vertical="center" wrapText="1"/>
    </xf>
    <xf numFmtId="0" fontId="55" fillId="37" borderId="14" xfId="0" applyFont="1" applyFill="1" applyBorder="1" applyNumberFormat="1">
      <alignment horizontal="left" vertical="center" wrapText="1" indent="3"/>
    </xf>
    <xf numFmtId="0" fontId="55" fillId="0" borderId="0" xfId="0" applyFont="1" applyNumberFormat="1">
      <alignment horizontal="center" vertical="center" wrapText="1"/>
    </xf>
    <xf numFmtId="49" fontId="23" fillId="39" borderId="19" xfId="0" applyFont="1" applyFill="1" applyBorder="1" applyNumberFormat="1">
      <alignment horizontal="left" vertical="center" wrapText="1" indent="6"/>
      <protection locked="0"/>
    </xf>
    <xf numFmtId="4" fontId="23" fillId="42" borderId="14" xfId="0" applyFont="1" applyFill="1" applyBorder="1" applyNumberFormat="1">
      <alignment horizontal="left" vertical="center" wrapText="1" indent="1"/>
      <protection locked="0"/>
    </xf>
    <xf numFmtId="49" fontId="23" fillId="43" borderId="14" xfId="0" applyFont="1" applyFill="1" applyBorder="1" applyNumberFormat="1">
      <alignment horizontal="left" vertical="center" wrapText="1" indent="1"/>
      <protection locked="0"/>
    </xf>
    <xf numFmtId="4" fontId="23" fillId="42" borderId="14" xfId="0" applyFont="1" applyFill="1" applyBorder="1" applyNumberFormat="1">
      <alignment horizontal="center" vertical="center" wrapText="1"/>
      <protection locked="0"/>
    </xf>
    <xf numFmtId="49" fontId="23" fillId="43" borderId="22" xfId="0" applyFont="1" applyFill="1" applyBorder="1" applyNumberFormat="1">
      <alignment horizontal="center" vertical="center" wrapText="1"/>
    </xf>
    <xf numFmtId="49" fontId="23" fillId="37" borderId="14" xfId="0" applyFont="1" applyFill="1" applyBorder="1" applyNumberFormat="1">
      <alignment horizontal="center" vertical="center" wrapText="1"/>
    </xf>
    <xf numFmtId="49" fontId="23" fillId="42" borderId="14" xfId="0" applyFont="1" applyFill="1" applyBorder="1" applyNumberFormat="1">
      <alignment horizontal="left" vertical="center" wrapText="1" indent="1"/>
      <protection locked="0"/>
    </xf>
    <xf numFmtId="49" fontId="23" fillId="39" borderId="38" xfId="0" applyFont="1" applyFill="1" applyBorder="1" applyNumberFormat="1">
      <alignment horizontal="left" vertical="center" wrapText="1" indent="6"/>
      <protection locked="0"/>
    </xf>
    <xf numFmtId="49" fontId="23" fillId="43" borderId="31" xfId="0" applyFont="1" applyFill="1" applyBorder="1" applyNumberFormat="1">
      <alignment horizontal="center" vertical="center" wrapText="1"/>
    </xf>
    <xf numFmtId="49" fontId="48" fillId="40" borderId="29" xfId="0" applyFont="1" applyFill="1" applyBorder="1" applyNumberFormat="1">
      <alignment horizontal="left" vertical="center"/>
    </xf>
    <xf numFmtId="49" fontId="23" fillId="39" borderId="25" xfId="0" applyFont="1" applyFill="1" applyBorder="1" applyNumberFormat="1">
      <alignment horizontal="left" vertical="center" wrapText="1" indent="6"/>
      <protection locked="0"/>
    </xf>
    <xf numFmtId="0" fontId="55" fillId="0" borderId="0" xfId="0" applyFont="1" applyNumberFormat="1">
      <alignment horizontal="center" vertical="center"/>
    </xf>
    <xf numFmtId="0" fontId="55" fillId="0" borderId="0" xfId="0" applyFont="1" applyNumberFormat="1">
      <alignment horizontal="left" vertical="center" wrapText="1" indent="1"/>
    </xf>
    <xf numFmtId="0" fontId="23" fillId="37" borderId="14" xfId="0" applyFont="1" applyFill="1" applyBorder="1" applyNumberFormat="1">
      <alignment horizontal="center" vertical="center" wrapText="1"/>
    </xf>
    <xf numFmtId="0" fontId="55" fillId="0" borderId="21" xfId="0" applyFont="1" applyBorder="1" applyNumberFormat="1">
      <alignment horizontal="left" vertical="center" wrapText="1"/>
    </xf>
    <xf numFmtId="0" fontId="23" fillId="0" borderId="0" xfId="0" applyFont="1" applyNumberFormat="1">
      <alignment horizontal="left" vertical="top" wrapText="1"/>
    </xf>
    <xf numFmtId="0" fontId="54" fillId="0" borderId="0" xfId="0" applyFont="1" applyNumberFormat="1">
      <alignment horizontal="center" vertical="center" wrapText="1"/>
    </xf>
    <xf numFmtId="0" fontId="23" fillId="37" borderId="14" xfId="0" applyFont="1" applyFill="1" applyBorder="1" applyNumberFormat="1">
      <alignment horizontal="left" vertical="center" wrapText="1"/>
    </xf>
    <xf numFmtId="0" fontId="23" fillId="0" borderId="0" xfId="0" applyFont="1" applyNumberFormat="1">
      <alignment horizontal="center" vertical="center" wrapText="1"/>
    </xf>
    <xf numFmtId="0" fontId="55" fillId="0" borderId="0" xfId="0" applyFont="1" applyNumberFormat="1">
      <alignment horizontal="center" vertical="center" wrapText="1"/>
    </xf>
    <xf numFmtId="49" fontId="23" fillId="0" borderId="14" xfId="0" applyFont="1" applyBorder="1" applyNumberFormat="1">
      <alignment horizontal="left" vertical="center" wrapText="1"/>
    </xf>
    <xf numFmtId="0" fontId="55" fillId="0" borderId="0" xfId="0" applyFont="1" applyNumberFormat="1">
      <alignment horizontal="center" vertical="center"/>
    </xf>
    <xf numFmtId="0" fontId="54" fillId="0" borderId="0" xfId="0" applyFont="1" applyNumberFormat="1">
      <alignment horizontal="center" vertical="center" wrapText="1"/>
    </xf>
    <xf numFmtId="0" fontId="23" fillId="0" borderId="0" xfId="0" applyFont="1" applyNumberFormat="1">
      <alignment horizontal="right" vertical="center" wrapText="1"/>
    </xf>
    <xf numFmtId="0" fontId="23" fillId="0" borderId="19" xfId="0" applyFont="1" applyBorder="1" applyNumberFormat="1">
      <alignment horizontal="center" vertical="center" wrapText="1"/>
    </xf>
    <xf numFmtId="0" fontId="0" fillId="0" borderId="14" xfId="0" applyFont="1" applyBorder="1" applyNumberFormat="1">
      <alignment horizontal="center" vertical="center" wrapText="1"/>
    </xf>
    <xf numFmtId="0" fontId="85" fillId="37" borderId="21" xfId="0" applyFont="1" applyFill="1" applyBorder="1" applyNumberFormat="1">
      <alignment horizontal="center" vertical="center" wrapText="1"/>
    </xf>
    <xf numFmtId="0" fontId="54" fillId="0" borderId="0" xfId="0" applyFont="1" applyNumberFormat="1">
      <alignment horizontal="center" vertical="center" wrapText="1"/>
    </xf>
    <xf numFmtId="49" fontId="23" fillId="0" borderId="0" xfId="0" applyFont="1" applyNumberFormat="1">
      <alignment vertical="center" wrapText="1"/>
    </xf>
    <xf numFmtId="49" fontId="23" fillId="43" borderId="14" xfId="0" applyFont="1" applyFill="1" applyBorder="1" applyNumberFormat="1">
      <alignment horizontal="center" vertical="center" wrapText="1"/>
    </xf>
    <xf numFmtId="49" fontId="23" fillId="37" borderId="14" xfId="0" applyFont="1" applyFill="1" applyBorder="1" applyNumberFormat="1">
      <alignment horizontal="center" vertical="center" wrapText="1"/>
    </xf>
    <xf numFmtId="49" fontId="23" fillId="42" borderId="14" xfId="0" applyFont="1" applyFill="1" applyBorder="1" applyNumberFormat="1">
      <alignment horizontal="left" vertical="center" wrapText="1" indent="1"/>
      <protection locked="0"/>
    </xf>
    <xf numFmtId="49" fontId="55" fillId="0" borderId="14" xfId="0" applyFont="1" applyBorder="1" applyNumberFormat="1">
      <alignment horizontal="center" vertical="center" wrapText="1"/>
    </xf>
    <xf numFmtId="0" fontId="23" fillId="37" borderId="14" xfId="0" applyFont="1" applyFill="1" applyBorder="1" applyNumberFormat="1">
      <alignment horizontal="center" vertical="center" wrapText="1"/>
    </xf>
    <xf numFmtId="0" fontId="23" fillId="0" borderId="0" xfId="0" applyFont="1" applyNumberFormat="1">
      <alignment horizontal="left" vertical="top" wrapText="1"/>
    </xf>
    <xf numFmtId="0" fontId="23" fillId="0" borderId="14" xfId="0" applyFont="1" applyBorder="1" applyNumberFormat="1">
      <alignment horizontal="center" vertical="center" wrapText="1"/>
    </xf>
    <xf numFmtId="49" fontId="23" fillId="37" borderId="14" xfId="0" applyFont="1" applyFill="1" applyBorder="1" applyNumberFormat="1">
      <alignment horizontal="center" vertical="center" wrapText="1"/>
    </xf>
    <xf numFmtId="0" fontId="54" fillId="0" borderId="0" xfId="0" applyFont="1" applyNumberFormat="1">
      <alignment horizontal="center" vertical="center" wrapText="1"/>
    </xf>
    <xf numFmtId="49" fontId="23" fillId="37" borderId="14" xfId="0" applyFont="1" applyFill="1" applyBorder="1" applyNumberFormat="1">
      <alignment horizontal="center" vertical="center" wrapText="1"/>
    </xf>
    <xf numFmtId="167" fontId="0" fillId="42" borderId="14" xfId="0" applyFont="1" applyFill="1" applyBorder="1" applyNumberFormat="1">
      <alignment horizontal="center" vertical="center" wrapText="1"/>
      <protection locked="0"/>
    </xf>
    <xf numFmtId="167" fontId="0" fillId="42" borderId="19" xfId="0" applyFont="1" applyFill="1" applyBorder="1" applyNumberFormat="1">
      <alignment horizontal="center" vertical="center" wrapText="1"/>
      <protection locked="0"/>
    </xf>
    <xf numFmtId="49" fontId="0" fillId="0" borderId="0" xfId="0" applyFont="1" applyNumberFormat="1">
      <alignment vertical="top"/>
    </xf>
    <xf numFmtId="0" fontId="54" fillId="0" borderId="0" xfId="0" applyFont="1" applyNumberFormat="1">
      <alignment horizontal="left" vertical="center" indent="1"/>
    </xf>
    <xf numFmtId="0" fontId="54" fillId="0" borderId="16" xfId="0" applyFont="1" applyBorder="1" applyNumberFormat="1">
      <alignment horizontal="center" vertical="center"/>
    </xf>
    <xf numFmtId="0" fontId="54" fillId="0" borderId="16" xfId="0" applyFont="1" applyBorder="1" applyNumberFormat="1">
      <alignment horizontal="center" vertical="center" wrapText="1"/>
    </xf>
    <xf numFmtId="0" fontId="54" fillId="0" borderId="14" xfId="0" applyFont="1" applyBorder="1" applyNumberFormat="1">
      <alignment horizontal="center" vertical="center" wrapText="1"/>
    </xf>
    <xf numFmtId="0" fontId="54" fillId="0" borderId="0" xfId="0" applyFont="1" applyNumberFormat="1">
      <alignment horizontal="center" vertical="center"/>
    </xf>
    <xf numFmtId="49" fontId="54" fillId="0" borderId="0" xfId="0" applyFont="1" applyNumberFormat="1">
      <alignment vertical="center" wrapText="1"/>
    </xf>
    <xf numFmtId="0" fontId="55" fillId="0" borderId="0" xfId="0" applyFont="1" applyNumberFormat="1">
      <alignment horizontal="center" vertical="center" wrapText="1"/>
    </xf>
    <xf numFmtId="0" fontId="44" fillId="0" borderId="0" xfId="0" applyFont="1" applyNumberFormat="1">
      <alignment horizontal="center" vertical="center" wrapText="1"/>
    </xf>
    <xf numFmtId="0" fontId="55" fillId="0" borderId="26" xfId="0" applyFont="1" applyBorder="1" applyNumberFormat="1">
      <alignment vertical="center" wrapText="1"/>
    </xf>
    <xf numFmtId="0" fontId="23" fillId="37" borderId="14" xfId="0" applyFont="1" applyFill="1" applyBorder="1" applyNumberFormat="1">
      <alignment horizontal="left" vertical="center" wrapText="1"/>
    </xf>
    <xf numFmtId="0" fontId="23" fillId="37" borderId="14" xfId="0" applyFont="1" applyFill="1" applyBorder="1" applyNumberFormat="1">
      <alignment horizontal="left" vertical="center" wrapText="1" indent="5"/>
    </xf>
    <xf numFmtId="0" fontId="23" fillId="0" borderId="14" xfId="0" applyFont="1" applyBorder="1" applyNumberFormat="1">
      <alignment horizontal="left" vertical="center" wrapText="1" indent="6"/>
    </xf>
    <xf numFmtId="0" fontId="23" fillId="43" borderId="16" xfId="0" applyFont="1" applyFill="1" applyBorder="1" applyNumberFormat="1">
      <alignment horizontal="left" vertical="center" wrapText="1"/>
    </xf>
    <xf numFmtId="0" fontId="23" fillId="43" borderId="17" xfId="0" applyFont="1" applyFill="1" applyBorder="1" applyNumberFormat="1">
      <alignment horizontal="left" vertical="center" wrapText="1"/>
    </xf>
    <xf numFmtId="0" fontId="23" fillId="43" borderId="15" xfId="0" applyFont="1" applyFill="1" applyBorder="1" applyNumberFormat="1">
      <alignment horizontal="left" vertical="center" wrapText="1"/>
    </xf>
    <xf numFmtId="0" fontId="53" fillId="0" borderId="19" xfId="0" applyFont="1" applyBorder="1" applyNumberFormat="1">
      <alignment vertical="top" wrapText="1"/>
    </xf>
    <xf numFmtId="0" fontId="55" fillId="0" borderId="0" xfId="0" applyFont="1" applyNumberFormat="1">
      <alignment vertical="center" wrapText="1"/>
    </xf>
    <xf numFmtId="0" fontId="55" fillId="0" borderId="0" xfId="0" applyFont="1" applyNumberFormat="1">
      <alignment vertical="center"/>
    </xf>
    <xf numFmtId="49" fontId="0" fillId="0" borderId="0" xfId="0" applyFont="1" applyNumberFormat="1">
      <alignment vertical="top"/>
    </xf>
    <xf numFmtId="49" fontId="23" fillId="39" borderId="14" xfId="0" applyFont="1" applyFill="1" applyBorder="1" applyNumberFormat="1">
      <alignment horizontal="left" vertical="center" wrapText="1" indent="6"/>
      <protection locked="0"/>
    </xf>
    <xf numFmtId="4" fontId="23" fillId="39" borderId="14" xfId="0" applyFont="1" applyFill="1" applyBorder="1" applyNumberFormat="1">
      <alignment horizontal="right" vertical="center" wrapText="1"/>
      <protection locked="0"/>
    </xf>
    <xf numFmtId="49" fontId="23" fillId="43" borderId="14" xfId="0" applyFont="1" applyFill="1" applyBorder="1" applyNumberFormat="1">
      <alignment horizontal="center" vertical="center" wrapText="1"/>
    </xf>
    <xf numFmtId="4" fontId="23" fillId="0" borderId="39" xfId="0" applyFont="1" applyBorder="1" applyNumberFormat="1">
      <alignment horizontal="right" vertical="center" wrapText="1"/>
    </xf>
    <xf numFmtId="0" fontId="53" fillId="0" borderId="14" xfId="0" applyFont="1" applyBorder="1" applyNumberFormat="1">
      <alignment horizontal="left" vertical="top" wrapText="1"/>
    </xf>
    <xf numFmtId="49" fontId="0" fillId="0" borderId="0" xfId="0" applyFont="1" applyNumberFormat="1">
      <alignment vertical="top"/>
    </xf>
    <xf numFmtId="49" fontId="23" fillId="0" borderId="14" xfId="0" applyFont="1" applyBorder="1" applyNumberFormat="1">
      <alignment horizontal="left" vertical="center" wrapText="1"/>
    </xf>
    <xf numFmtId="4" fontId="23" fillId="0" borderId="14" xfId="0" applyFont="1" applyBorder="1" applyNumberFormat="1">
      <alignment horizontal="right" vertical="center" wrapText="1"/>
    </xf>
    <xf numFmtId="49" fontId="0" fillId="42" borderId="14" xfId="0" applyFont="1" applyFill="1" applyBorder="1" applyNumberFormat="1">
      <alignment horizontal="center" vertical="center" wrapText="1"/>
      <protection locked="0"/>
    </xf>
    <xf numFmtId="49" fontId="0" fillId="42" borderId="25" xfId="0" applyFont="1" applyFill="1" applyBorder="1" applyNumberFormat="1">
      <alignment horizontal="center" vertical="center" wrapText="1"/>
      <protection locked="0"/>
    </xf>
    <xf numFmtId="4" fontId="23" fillId="0" borderId="32" xfId="0" applyFont="1" applyBorder="1" applyNumberFormat="1">
      <alignment horizontal="right" vertical="center" wrapText="1"/>
    </xf>
    <xf numFmtId="49" fontId="0" fillId="0" borderId="0" xfId="0" applyFont="1" applyNumberFormat="1">
      <alignment vertical="top"/>
    </xf>
    <xf numFmtId="0" fontId="55" fillId="0" borderId="26" xfId="0" applyFont="1" applyBorder="1" applyNumberFormat="1">
      <alignment horizontal="center" vertical="center" wrapText="1"/>
    </xf>
    <xf numFmtId="49" fontId="78" fillId="40" borderId="16" xfId="0" applyFont="1" applyFill="1" applyBorder="1" applyNumberFormat="1">
      <alignment horizontal="left" vertical="center"/>
    </xf>
    <xf numFmtId="49" fontId="48" fillId="40" borderId="17" xfId="0" applyFont="1" applyFill="1" applyBorder="1" applyNumberFormat="1">
      <alignment horizontal="left" vertical="center" indent="5"/>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0" fontId="53" fillId="0" borderId="14" xfId="0" applyFont="1" applyBorder="1" applyNumberFormat="1">
      <alignment vertical="top" wrapText="1"/>
    </xf>
    <xf numFmtId="49" fontId="0" fillId="0" borderId="0" xfId="0" applyFont="1" applyNumberFormat="1">
      <alignment vertical="top"/>
    </xf>
    <xf numFmtId="49" fontId="0" fillId="0" borderId="0" xfId="0" applyFont="1" applyNumberFormat="1">
      <alignment vertical="top"/>
    </xf>
    <xf numFmtId="49" fontId="0" fillId="0" borderId="0" xfId="0" applyFont="1" applyNumberFormat="1">
      <alignment vertical="top"/>
    </xf>
    <xf numFmtId="49" fontId="0" fillId="0" borderId="0" xfId="0" applyFont="1" applyNumberFormat="1">
      <alignment vertical="top"/>
    </xf>
    <xf numFmtId="49" fontId="78" fillId="40" borderId="16" xfId="0" applyFont="1" applyFill="1" applyBorder="1" applyNumberFormat="1">
      <alignment horizontal="left" vertical="center"/>
    </xf>
    <xf numFmtId="49" fontId="48" fillId="40" borderId="17" xfId="0" applyFont="1" applyFill="1" applyBorder="1" applyNumberFormat="1">
      <alignment horizontal="left" vertical="center" indent="5"/>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0" fillId="0" borderId="0" xfId="0" applyFont="1" applyNumberFormat="1">
      <alignment vertical="top"/>
    </xf>
    <xf numFmtId="49" fontId="0" fillId="0" borderId="0" xfId="0" applyFont="1" applyNumberFormat="1">
      <alignment vertical="top"/>
    </xf>
    <xf numFmtId="49" fontId="0" fillId="0" borderId="0" xfId="0" applyFont="1" applyNumberFormat="1">
      <alignment vertical="top"/>
    </xf>
    <xf numFmtId="49" fontId="0" fillId="0" borderId="0" xfId="0" applyFont="1" applyNumberFormat="1">
      <alignment vertical="top"/>
    </xf>
    <xf numFmtId="49" fontId="78" fillId="40" borderId="16" xfId="0" applyFont="1" applyFill="1" applyBorder="1" applyNumberFormat="1">
      <alignment horizontal="left" vertical="center"/>
    </xf>
    <xf numFmtId="49" fontId="48" fillId="40" borderId="17" xfId="0" applyFont="1" applyFill="1" applyBorder="1" applyNumberFormat="1">
      <alignment horizontal="left" vertical="center" indent="5"/>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49" fontId="23" fillId="40" borderId="17" xfId="0" applyFont="1" applyFill="1" applyBorder="1" applyNumberFormat="1">
      <alignment horizontal="center" vertical="center" wrapText="1"/>
    </xf>
    <xf numFmtId="0" fontId="54" fillId="0" borderId="0" xfId="0" applyFont="1" applyNumberFormat="1">
      <alignment horizontal="center" vertical="center" wrapText="1"/>
    </xf>
    <xf numFmtId="49" fontId="23" fillId="0" borderId="0" xfId="0" applyFont="1" applyNumberFormat="1">
      <alignment vertical="center" wrapText="1"/>
    </xf>
    <xf numFmtId="0" fontId="85" fillId="37" borderId="21" xfId="0" applyFont="1" applyFill="1" applyBorder="1" applyNumberFormat="1">
      <alignment horizontal="center" vertical="center" wrapText="1"/>
    </xf>
    <xf numFmtId="49" fontId="55" fillId="0" borderId="0" xfId="0" applyFont="1" applyNumberFormat="1">
      <alignment horizontal="center" vertical="center" wrapText="1"/>
    </xf>
    <xf numFmtId="49" fontId="23" fillId="0" borderId="0" xfId="0" applyFont="1" applyNumberFormat="1">
      <alignment horizontal="center" vertical="center" wrapText="1"/>
    </xf>
    <xf numFmtId="0" fontId="23" fillId="0" borderId="30" xfId="0" applyFont="1" applyBorder="1" applyNumberFormat="1">
      <alignment horizontal="center" vertical="center" wrapText="1"/>
    </xf>
    <xf numFmtId="0" fontId="23" fillId="42" borderId="14" xfId="0" applyFont="1" applyFill="1" applyBorder="1" applyNumberFormat="1">
      <alignment horizontal="left" vertical="center" wrapText="1" indent="2"/>
      <protection locked="0"/>
    </xf>
    <xf numFmtId="0" fontId="23" fillId="0" borderId="14" xfId="0" applyFont="1" applyBorder="1" applyNumberFormat="1">
      <alignment horizontal="center" vertical="center" wrapText="1"/>
    </xf>
    <xf numFmtId="0" fontId="23" fillId="0" borderId="14" xfId="0" applyFont="1" applyBorder="1" applyNumberFormat="1">
      <alignment vertical="center" wrapText="1"/>
    </xf>
    <xf numFmtId="0" fontId="89" fillId="0" borderId="0" xfId="0" applyFont="1" applyNumberFormat="1">
      <alignment vertical="center" wrapText="1"/>
    </xf>
    <xf numFmtId="0" fontId="55" fillId="0" borderId="30" xfId="0" applyFont="1" applyBorder="1" applyNumberFormat="1">
      <alignment horizontal="center" vertical="center" wrapText="1"/>
    </xf>
    <xf numFmtId="0" fontId="55" fillId="0" borderId="14" xfId="0" applyFont="1" applyBorder="1" applyNumberFormat="1">
      <alignment horizontal="left" vertical="center" wrapText="1" indent="2"/>
    </xf>
    <xf numFmtId="0" fontId="55" fillId="0" borderId="14" xfId="0" applyFont="1" applyBorder="1" applyNumberFormat="1">
      <alignment horizontal="center" vertical="center" wrapText="1"/>
    </xf>
    <xf numFmtId="0" fontId="55" fillId="0" borderId="14" xfId="0" applyFont="1" applyBorder="1" applyNumberFormat="1">
      <alignment vertical="center" wrapText="1"/>
    </xf>
    <xf numFmtId="0" fontId="23" fillId="0" borderId="14" xfId="0" applyFont="1" applyBorder="1" applyNumberFormat="1">
      <alignment horizontal="left" vertical="center" wrapText="1" indent="3"/>
    </xf>
    <xf numFmtId="49" fontId="23" fillId="42" borderId="14" xfId="0" applyFont="1" applyFill="1" applyBorder="1" applyNumberFormat="1">
      <alignment horizontal="center" vertical="center" wrapText="1"/>
      <protection locked="0"/>
    </xf>
    <xf numFmtId="4" fontId="23" fillId="39" borderId="14" xfId="0" applyFont="1" applyFill="1" applyBorder="1" applyNumberFormat="1">
      <alignment horizontal="right" vertical="center" wrapText="1"/>
      <protection locked="0"/>
    </xf>
    <xf numFmtId="0" fontId="23" fillId="39" borderId="14" xfId="0" applyFont="1" applyFill="1" applyBorder="1" applyNumberFormat="1">
      <alignment horizontal="left" vertical="center" wrapText="1"/>
      <protection locked="0"/>
    </xf>
    <xf numFmtId="49" fontId="96" fillId="0" borderId="0" xfId="0" applyFont="1" applyNumberFormat="1">
      <alignment horizontal="center" vertical="center" wrapText="1"/>
    </xf>
    <xf numFmtId="49" fontId="23" fillId="0" borderId="0" xfId="0" applyFont="1" applyNumberFormat="1">
      <alignment horizontal="center" vertical="top" wrapText="1"/>
    </xf>
    <xf numFmtId="0" fontId="23" fillId="0" borderId="14" xfId="0" applyFont="1" applyBorder="1" applyNumberFormat="1">
      <alignment horizontal="center" vertical="center" wrapText="1"/>
    </xf>
    <xf numFmtId="0" fontId="23" fillId="0" borderId="15" xfId="0" applyFont="1" applyBorder="1" applyNumberFormat="1">
      <alignment vertical="top" wrapText="1"/>
    </xf>
    <xf numFmtId="0" fontId="59" fillId="0" borderId="0" xfId="0" applyFont="1" applyNumberFormat="1">
      <alignment vertical="center" wrapText="1"/>
    </xf>
    <xf numFmtId="0" fontId="23" fillId="0" borderId="15" xfId="0" applyFont="1" applyBorder="1" applyNumberFormat="1">
      <alignment horizontal="center" vertical="center" wrapText="1"/>
    </xf>
    <xf numFmtId="166" fontId="23" fillId="39" borderId="14" xfId="0" applyFont="1" applyFill="1" applyBorder="1" applyNumberFormat="1">
      <alignment horizontal="right" vertical="center" wrapText="1"/>
      <protection locked="0"/>
    </xf>
    <xf numFmtId="0" fontId="23" fillId="0" borderId="22" xfId="0" applyFont="1" applyBorder="1" applyNumberFormat="1">
      <alignment vertical="center" wrapText="1"/>
    </xf>
    <xf numFmtId="0" fontId="40" fillId="0" borderId="0" xfId="0" applyFont="1" applyNumberFormat="1">
      <alignment vertical="center" wrapText="1"/>
    </xf>
    <xf numFmtId="0" fontId="40" fillId="0" borderId="0" xfId="0" applyFont="1" applyNumberFormat="1">
      <alignment vertical="center" wrapText="1"/>
    </xf>
    <xf numFmtId="0" fontId="22" fillId="0" borderId="0" xfId="0" applyFont="1" applyNumberFormat="1">
      <alignment vertical="center" wrapText="1"/>
    </xf>
    <xf numFmtId="0" fontId="23" fillId="0" borderId="0" xfId="0" applyFont="1" applyNumberFormat="1">
      <alignment horizontal="left" vertical="center" wrapText="1" indent="3"/>
    </xf>
    <xf numFmtId="0" fontId="102" fillId="37" borderId="0" xfId="0" applyFont="1" applyFill="1" applyNumberFormat="1">
      <alignment horizontal="right" vertical="center"/>
    </xf>
    <xf numFmtId="0" fontId="23" fillId="0" borderId="16" xfId="0" applyFont="1" applyBorder="1" applyNumberFormat="1">
      <alignment vertical="center" wrapText="1"/>
    </xf>
    <xf numFmtId="0" fontId="23" fillId="0" borderId="17" xfId="0" applyFont="1" applyBorder="1" applyNumberFormat="1">
      <alignment horizontal="right" vertical="center" wrapText="1" indent="1"/>
    </xf>
    <xf numFmtId="0" fontId="23" fillId="0" borderId="15" xfId="0" applyFont="1" applyBorder="1" applyNumberFormat="1">
      <alignment horizontal="right" vertical="center" wrapText="1" indent="1"/>
    </xf>
    <xf numFmtId="0" fontId="23" fillId="38" borderId="16" xfId="0" applyFont="1" applyFill="1" applyBorder="1" applyNumberFormat="1">
      <alignment horizontal="left" vertical="top" wrapText="1"/>
    </xf>
    <xf numFmtId="0" fontId="23" fillId="0" borderId="16" xfId="0" applyFont="1" applyBorder="1" applyNumberFormat="1">
      <alignment horizontal="right" vertical="center" wrapText="1"/>
    </xf>
    <xf numFmtId="0" fontId="23" fillId="0" borderId="17" xfId="0" applyFont="1" applyBorder="1" applyNumberFormat="1">
      <alignment horizontal="right" vertical="center" wrapText="1"/>
    </xf>
    <xf numFmtId="0" fontId="23" fillId="0" borderId="17" xfId="0" applyFont="1" applyBorder="1" applyNumberFormat="1">
      <alignment horizontal="right" vertical="center" wrapText="1" indent="1"/>
    </xf>
    <xf numFmtId="0" fontId="23" fillId="0" borderId="14" xfId="0" applyFont="1" applyBorder="1" applyNumberFormat="1">
      <alignment horizontal="center" vertical="center" wrapText="1"/>
    </xf>
    <xf numFmtId="0" fontId="23" fillId="0" borderId="14" xfId="0" applyFont="1" applyBorder="1" applyNumberFormat="1">
      <alignment horizontal="left" vertical="center" wrapText="1"/>
    </xf>
    <xf numFmtId="0" fontId="23" fillId="0" borderId="14" xfId="0" applyFont="1" applyBorder="1" applyNumberFormat="1">
      <alignment horizontal="center" vertical="center" wrapText="1"/>
    </xf>
    <xf numFmtId="4" fontId="23" fillId="42" borderId="14" xfId="0" applyFont="1" applyFill="1" applyBorder="1" applyNumberFormat="1">
      <alignment horizontal="right" vertical="center" wrapText="1"/>
      <protection locked="0"/>
    </xf>
    <xf numFmtId="4" fontId="23" fillId="38" borderId="14" xfId="0" applyFont="1" applyFill="1" applyBorder="1" applyNumberFormat="1">
      <alignment horizontal="right" vertical="center" wrapText="1"/>
    </xf>
    <xf numFmtId="0" fontId="23" fillId="0" borderId="14" xfId="0" applyFont="1" applyBorder="1" applyNumberFormat="1">
      <alignment horizontal="left" vertical="center" wrapText="1" indent="1"/>
    </xf>
    <xf numFmtId="49" fontId="96" fillId="48" borderId="0" xfId="0" applyFont="1" applyFill="1" applyNumberFormat="1">
      <alignment horizontal="center" vertical="center" textRotation="90" wrapText="1"/>
    </xf>
    <xf numFmtId="0" fontId="77" fillId="0" borderId="0" xfId="0" applyFont="1" applyNumberFormat="1">
      <alignment horizontal="center" vertical="center" wrapText="1"/>
    </xf>
    <xf numFmtId="49" fontId="77" fillId="0" borderId="0" xfId="0" applyFont="1" applyNumberFormat="1">
      <alignment horizontal="center" vertical="center" wrapText="1"/>
    </xf>
    <xf numFmtId="49" fontId="77" fillId="0" borderId="30" xfId="0" applyFont="1" applyBorder="1" applyNumberFormat="1">
      <alignment horizontal="center" vertical="center" wrapText="1"/>
    </xf>
    <xf numFmtId="0" fontId="77" fillId="0" borderId="14" xfId="0" applyFont="1" applyBorder="1" applyNumberFormat="1">
      <alignment horizontal="left" vertical="center" wrapText="1" indent="2"/>
    </xf>
    <xf numFmtId="0" fontId="77" fillId="0" borderId="14" xfId="0" applyFont="1" applyBorder="1" applyNumberFormat="1">
      <alignment horizontal="center" vertical="center" wrapText="1"/>
    </xf>
    <xf numFmtId="0" fontId="77" fillId="0" borderId="14" xfId="0" applyFont="1" applyBorder="1" applyNumberFormat="1">
      <alignment vertical="center" wrapText="1"/>
    </xf>
    <xf numFmtId="0" fontId="90" fillId="0" borderId="0" xfId="0" applyFont="1" applyNumberFormat="1">
      <alignment vertical="center" wrapText="1"/>
    </xf>
    <xf numFmtId="0" fontId="68" fillId="0" borderId="0" xfId="0" applyFont="1" applyNumberFormat="1">
      <alignment vertical="center" wrapText="1"/>
    </xf>
    <xf numFmtId="0" fontId="77" fillId="0" borderId="30" xfId="0" applyFont="1" applyBorder="1" applyNumberFormat="1">
      <alignment horizontal="center" vertical="center" wrapText="1"/>
    </xf>
    <xf numFmtId="0" fontId="77" fillId="0" borderId="14" xfId="0" applyFont="1" applyBorder="1" applyNumberFormat="1">
      <alignment horizontal="left" vertical="center" wrapText="1" indent="3"/>
    </xf>
    <xf numFmtId="4" fontId="77" fillId="0" borderId="14" xfId="0" applyFont="1" applyBorder="1" applyNumberFormat="1">
      <alignment horizontal="right" vertical="center" wrapText="1"/>
    </xf>
    <xf numFmtId="0" fontId="45" fillId="0" borderId="0" xfId="0" applyFont="1" applyNumberFormat="1">
      <alignment horizontal="center" vertical="center" wrapText="1"/>
    </xf>
    <xf numFmtId="49" fontId="23" fillId="40" borderId="16" xfId="0" applyFont="1" applyFill="1" applyBorder="1" applyNumberFormat="1">
      <alignment vertical="center" wrapText="1"/>
    </xf>
    <xf numFmtId="0" fontId="23" fillId="40" borderId="17" xfId="0" applyFont="1" applyFill="1" applyBorder="1" applyNumberFormat="1">
      <alignment vertical="center" wrapText="1"/>
    </xf>
    <xf numFmtId="0" fontId="54" fillId="40" borderId="15" xfId="0" applyFont="1" applyFill="1" applyBorder="1" applyNumberFormat="1">
      <alignment vertical="center" wrapText="1"/>
    </xf>
    <xf numFmtId="0" fontId="23" fillId="0" borderId="14" xfId="0" applyFont="1" applyBorder="1" applyNumberFormat="1">
      <alignment horizontal="left" vertical="center" wrapText="1" indent="2"/>
    </xf>
    <xf numFmtId="14" fontId="23" fillId="0" borderId="0" xfId="0" applyFont="1" applyNumberFormat="1">
      <alignment horizontal="center" vertical="center" wrapText="1"/>
    </xf>
    <xf numFmtId="49" fontId="96" fillId="48" borderId="0" xfId="0" applyFont="1" applyFill="1" applyNumberFormat="1">
      <alignment horizontal="center" vertical="center" wrapText="1"/>
    </xf>
    <xf numFmtId="49" fontId="36" fillId="0" borderId="0" xfId="0" applyFont="1" applyNumberFormat="1">
      <alignment horizontal="center" vertical="center"/>
    </xf>
    <xf numFmtId="166" fontId="23" fillId="42" borderId="14" xfId="0" applyFont="1" applyFill="1" applyBorder="1" applyNumberFormat="1">
      <alignment horizontal="right" vertical="center" wrapText="1"/>
      <protection locked="0"/>
    </xf>
    <xf numFmtId="0" fontId="54" fillId="0" borderId="0" xfId="0" applyFont="1" applyNumberFormat="1">
      <alignment horizontal="left" vertical="center" wrapText="1"/>
    </xf>
    <xf numFmtId="49" fontId="96" fillId="0" borderId="0" xfId="0" applyFont="1" applyNumberFormat="1">
      <alignment horizontal="left" vertical="center" wrapText="1"/>
    </xf>
    <xf numFmtId="0" fontId="55" fillId="0" borderId="0" xfId="0" applyFont="1" applyNumberFormat="1">
      <alignment horizontal="left" vertical="center" wrapText="1"/>
    </xf>
    <xf numFmtId="49" fontId="23" fillId="0" borderId="0" xfId="0" applyFont="1" applyNumberFormat="1">
      <alignment horizontal="left" vertical="center" wrapText="1"/>
    </xf>
    <xf numFmtId="0" fontId="59" fillId="0" borderId="0" xfId="0" applyFont="1" applyNumberFormat="1">
      <alignment horizontal="left" vertical="center" wrapText="1"/>
    </xf>
    <xf numFmtId="0" fontId="40" fillId="0" borderId="0" xfId="0" applyFont="1" applyNumberFormat="1">
      <alignment horizontal="left" vertical="center" wrapText="1"/>
    </xf>
    <xf numFmtId="49" fontId="23" fillId="43" borderId="14" xfId="0" applyFont="1" applyFill="1" applyBorder="1" applyNumberFormat="1">
      <alignment horizontal="left" vertical="center" wrapText="1"/>
    </xf>
    <xf numFmtId="0" fontId="23" fillId="0" borderId="19" xfId="0" applyFont="1" applyBorder="1" applyNumberFormat="1">
      <alignment horizontal="center" vertical="center" wrapText="1"/>
    </xf>
    <xf numFmtId="4" fontId="23" fillId="38" borderId="19" xfId="0" applyFont="1" applyFill="1" applyBorder="1" applyNumberFormat="1">
      <alignment horizontal="right" vertical="center" wrapText="1"/>
    </xf>
    <xf numFmtId="0" fontId="55" fillId="0" borderId="14" xfId="0" applyFont="1" applyBorder="1" applyNumberFormat="1">
      <alignment horizontal="left" vertical="center" wrapText="1" indent="3"/>
    </xf>
    <xf numFmtId="49" fontId="55" fillId="0" borderId="14" xfId="0" applyFont="1" applyBorder="1" applyNumberFormat="1">
      <alignment vertical="center" wrapText="1"/>
    </xf>
    <xf numFmtId="0" fontId="55" fillId="0" borderId="19" xfId="0" applyFont="1" applyBorder="1" applyNumberFormat="1">
      <alignment vertical="top" wrapText="1"/>
    </xf>
    <xf numFmtId="4" fontId="23" fillId="42" borderId="15" xfId="0" applyFont="1" applyFill="1" applyBorder="1" applyNumberFormat="1">
      <alignment horizontal="right" vertical="center" wrapText="1"/>
      <protection locked="0"/>
    </xf>
    <xf numFmtId="49" fontId="34" fillId="39" borderId="15" xfId="0" applyFont="1" applyFill="1" applyBorder="1" applyNumberFormat="1">
      <alignment horizontal="left" vertical="center" wrapText="1"/>
      <protection locked="0"/>
    </xf>
    <xf numFmtId="49" fontId="34" fillId="39" borderId="14" xfId="0" applyFont="1" applyFill="1" applyBorder="1" applyNumberFormat="1">
      <alignment horizontal="left" vertical="center" wrapText="1"/>
      <protection locked="0"/>
    </xf>
    <xf numFmtId="0" fontId="54" fillId="0" borderId="0" xfId="0" applyFont="1" applyNumberFormat="1">
      <alignment vertical="center" wrapText="1"/>
    </xf>
    <xf numFmtId="0" fontId="55" fillId="0" borderId="0" xfId="0" applyFont="1" applyNumberFormat="1">
      <alignment vertical="center" wrapText="1"/>
    </xf>
    <xf numFmtId="49" fontId="23" fillId="0" borderId="0" xfId="0" applyFont="1" applyNumberFormat="1">
      <alignment horizontal="center" vertical="center" wrapText="1"/>
    </xf>
    <xf numFmtId="0" fontId="23" fillId="0" borderId="14" xfId="0" applyFont="1" applyBorder="1" applyNumberFormat="1">
      <alignment horizontal="center" vertical="center" wrapText="1"/>
    </xf>
    <xf numFmtId="166" fontId="23" fillId="42" borderId="15" xfId="0" applyFont="1" applyFill="1" applyBorder="1" applyNumberFormat="1">
      <alignment horizontal="right" vertical="center" wrapText="1"/>
      <protection locked="0"/>
    </xf>
    <xf numFmtId="0" fontId="89" fillId="0" borderId="0" xfId="0" applyFont="1" applyNumberFormat="1">
      <alignment vertical="center" wrapText="1"/>
    </xf>
    <xf numFmtId="0" fontId="59" fillId="0" borderId="0" xfId="0" applyFont="1" applyNumberFormat="1">
      <alignment vertical="center" wrapText="1"/>
    </xf>
    <xf numFmtId="0" fontId="40" fillId="0" borderId="0" xfId="0" applyFont="1" applyNumberFormat="1">
      <alignment vertical="center" wrapText="1"/>
    </xf>
    <xf numFmtId="49" fontId="36" fillId="0" borderId="0" xfId="0" applyFont="1" applyNumberFormat="1">
      <alignment horizontal="center" vertical="center"/>
    </xf>
    <xf numFmtId="0" fontId="23" fillId="0" borderId="0" xfId="0" applyFont="1" applyNumberFormat="1">
      <alignment vertical="center" wrapText="1"/>
    </xf>
    <xf numFmtId="0" fontId="54" fillId="0" borderId="0" xfId="0" applyFont="1" applyNumberFormat="1">
      <alignment vertical="center" wrapText="1"/>
    </xf>
    <xf numFmtId="166" fontId="23" fillId="38" borderId="15" xfId="0" applyFont="1" applyFill="1" applyBorder="1" applyNumberFormat="1">
      <alignment horizontal="right" vertical="center" wrapText="1"/>
    </xf>
    <xf numFmtId="166" fontId="23" fillId="38" borderId="14" xfId="0" applyFont="1" applyFill="1" applyBorder="1" applyNumberFormat="1">
      <alignment horizontal="right" vertical="center" wrapText="1"/>
    </xf>
    <xf numFmtId="49" fontId="96" fillId="48" borderId="0" xfId="0" applyFont="1" applyFill="1" applyNumberFormat="1">
      <alignment horizontal="center" vertical="center" textRotation="90" wrapText="1"/>
    </xf>
    <xf numFmtId="0" fontId="23" fillId="42" borderId="14" xfId="0" applyFont="1" applyFill="1" applyBorder="1" applyNumberFormat="1">
      <alignment horizontal="center" vertical="center" wrapText="1"/>
      <protection locked="0"/>
    </xf>
    <xf numFmtId="4" fontId="23" fillId="42" borderId="31" xfId="0" applyFont="1" applyFill="1" applyBorder="1" applyNumberFormat="1">
      <alignment horizontal="right" vertical="center" wrapText="1"/>
      <protection locked="0"/>
    </xf>
    <xf numFmtId="4" fontId="23" fillId="42" borderId="25" xfId="0" applyFont="1" applyFill="1" applyBorder="1" applyNumberFormat="1">
      <alignment horizontal="right" vertical="center" wrapText="1"/>
      <protection locked="0"/>
    </xf>
    <xf numFmtId="0" fontId="55" fillId="0" borderId="38" xfId="0" applyFont="1" applyBorder="1" applyNumberFormat="1">
      <alignment horizontal="left" vertical="center" wrapText="1" indent="1"/>
    </xf>
    <xf numFmtId="0" fontId="55" fillId="0" borderId="38" xfId="0" applyFont="1" applyBorder="1" applyNumberFormat="1">
      <alignment horizontal="center" vertical="center" wrapText="1"/>
    </xf>
    <xf numFmtId="0" fontId="55" fillId="0" borderId="19" xfId="0" applyFont="1" applyBorder="1" applyNumberFormat="1">
      <alignment vertical="center" wrapText="1"/>
    </xf>
    <xf numFmtId="49" fontId="23" fillId="40" borderId="39" xfId="0" applyFont="1" applyFill="1" applyBorder="1" applyNumberFormat="1">
      <alignment vertical="center" wrapText="1"/>
    </xf>
    <xf numFmtId="49" fontId="48" fillId="40" borderId="21" xfId="0" applyFont="1" applyFill="1" applyBorder="1" applyNumberFormat="1">
      <alignment horizontal="left" vertical="center" indent="1"/>
    </xf>
    <xf numFmtId="0" fontId="23" fillId="0" borderId="25" xfId="0" applyFont="1" applyBorder="1" applyNumberFormat="1">
      <alignment vertical="top" wrapText="1"/>
    </xf>
    <xf numFmtId="0" fontId="23" fillId="0" borderId="15" xfId="0" applyFont="1" applyBorder="1" applyNumberFormat="1">
      <alignment horizontal="center" vertical="center" wrapText="1"/>
    </xf>
    <xf numFmtId="0" fontId="23" fillId="0" borderId="15" xfId="0" applyFont="1" applyBorder="1" applyNumberFormat="1">
      <alignment horizontal="center" vertical="center" wrapText="1"/>
    </xf>
    <xf numFmtId="0" fontId="23" fillId="0" borderId="22" xfId="0" applyFont="1" applyBorder="1" applyNumberFormat="1">
      <alignment horizontal="center" vertical="center" wrapText="1"/>
    </xf>
    <xf numFmtId="166" fontId="23" fillId="42" borderId="19" xfId="0" applyFont="1" applyFill="1" applyBorder="1" applyNumberFormat="1">
      <alignment horizontal="right" vertical="center" wrapText="1"/>
      <protection locked="0"/>
    </xf>
    <xf numFmtId="0" fontId="55" fillId="0" borderId="25" xfId="0" applyFont="1" applyBorder="1" applyNumberFormat="1">
      <alignment horizontal="left" vertical="center" wrapText="1" indent="1"/>
    </xf>
    <xf numFmtId="0" fontId="55" fillId="0" borderId="19" xfId="0" applyFont="1" applyBorder="1" applyNumberFormat="1">
      <alignment horizontal="center" vertical="center" wrapText="1"/>
    </xf>
    <xf numFmtId="0" fontId="45" fillId="0" borderId="0" xfId="0" applyFont="1" applyNumberFormat="1">
      <alignment horizontal="center" vertical="center" wrapText="1"/>
    </xf>
    <xf numFmtId="49" fontId="23" fillId="40" borderId="39" xfId="0" applyFont="1" applyFill="1" applyBorder="1" applyNumberFormat="1">
      <alignment vertical="center" wrapText="1"/>
    </xf>
    <xf numFmtId="49" fontId="48" fillId="40" borderId="21" xfId="0" applyFont="1" applyFill="1" applyBorder="1" applyNumberFormat="1">
      <alignment horizontal="left" vertical="center" indent="1"/>
    </xf>
    <xf numFmtId="0" fontId="23" fillId="40" borderId="17" xfId="0" applyFont="1" applyFill="1" applyBorder="1" applyNumberFormat="1">
      <alignment vertical="center" wrapText="1"/>
    </xf>
    <xf numFmtId="0" fontId="54" fillId="40" borderId="15" xfId="0" applyFont="1" applyFill="1" applyBorder="1" applyNumberFormat="1">
      <alignment vertical="center" wrapText="1"/>
    </xf>
    <xf numFmtId="0" fontId="23" fillId="0" borderId="25" xfId="0" applyFont="1" applyBorder="1" applyNumberFormat="1">
      <alignment vertical="top" wrapText="1"/>
    </xf>
    <xf numFmtId="0" fontId="55" fillId="0" borderId="19" xfId="0" applyFont="1" applyBorder="1" applyNumberFormat="1">
      <alignment horizontal="left" vertical="center" wrapText="1" indent="1"/>
    </xf>
    <xf numFmtId="49" fontId="34" fillId="39" borderId="14" xfId="0" applyFont="1" applyFill="1" applyBorder="1" applyNumberFormat="1">
      <alignment horizontal="left" vertical="center" wrapText="1"/>
      <protection locked="0"/>
    </xf>
    <xf numFmtId="0" fontId="23" fillId="0" borderId="0" xfId="0" applyFont="1" applyNumberFormat="1">
      <alignment vertical="top" wrapText="1"/>
    </xf>
    <xf numFmtId="0" fontId="23" fillId="0" borderId="0" xfId="0" applyFont="1" applyNumberFormat="1">
      <alignment horizontal="left" vertical="top" wrapText="1"/>
    </xf>
    <xf numFmtId="0" fontId="23" fillId="0" borderId="0" xfId="0" applyFont="1" applyNumberFormat="1">
      <alignment horizontal="left" vertical="center" wrapText="1"/>
    </xf>
    <xf numFmtId="0" fontId="59" fillId="0" borderId="0" xfId="0" applyFont="1" applyNumberFormat="1">
      <alignment vertical="center"/>
    </xf>
    <xf numFmtId="0" fontId="96" fillId="0" borderId="0" xfId="0" applyFont="1" applyNumberFormat="1">
      <alignment vertical="center" wrapText="1"/>
    </xf>
    <xf numFmtId="49" fontId="96" fillId="0" borderId="0" xfId="0" applyFont="1" applyNumberFormat="1">
      <alignment horizontal="center" vertical="center" wrapText="1"/>
    </xf>
    <xf numFmtId="0" fontId="23" fillId="0" borderId="0" xfId="0" applyFont="1" applyNumberFormat="1">
      <alignment vertical="center" wrapText="1"/>
    </xf>
    <xf numFmtId="0" fontId="59" fillId="0" borderId="0" xfId="0" applyFont="1" applyNumberFormat="1">
      <alignment vertical="center" wrapText="1"/>
    </xf>
    <xf numFmtId="0" fontId="23" fillId="0" borderId="21" xfId="0" applyFont="1" applyBorder="1" applyNumberFormat="1">
      <alignment vertical="center" wrapText="1"/>
    </xf>
    <xf numFmtId="0" fontId="23" fillId="0" borderId="0" xfId="0" applyFont="1" applyNumberFormat="1">
      <alignment horizontal="center" vertical="center" wrapText="1"/>
    </xf>
    <xf numFmtId="49" fontId="40" fillId="0" borderId="0" xfId="0" applyFont="1" applyNumberFormat="1">
      <alignment horizontal="center" vertical="center" wrapText="1"/>
    </xf>
    <xf numFmtId="0" fontId="23" fillId="0" borderId="29" xfId="0" applyFont="1" applyBorder="1" applyNumberFormat="1">
      <alignment vertical="center" wrapText="1"/>
    </xf>
    <xf numFmtId="0" fontId="55" fillId="0" borderId="0" xfId="0" applyFont="1" applyNumberFormat="1">
      <alignment vertical="center" wrapText="1"/>
    </xf>
    <xf numFmtId="0" fontId="40" fillId="0" borderId="0" xfId="0" applyFont="1" applyNumberFormat="1">
      <alignment vertical="center" wrapText="1"/>
    </xf>
    <xf numFmtId="0" fontId="36" fillId="0" borderId="0" xfId="0" applyFont="1" applyNumberFormat="1">
      <alignment horizontal="center" vertical="center" wrapText="1"/>
    </xf>
    <xf numFmtId="49" fontId="68" fillId="0" borderId="0" xfId="0" applyFont="1" applyNumberFormat="1">
      <alignment horizontal="center" vertical="center" wrapText="1"/>
    </xf>
    <xf numFmtId="0" fontId="77" fillId="0" borderId="0" xfId="0" applyFont="1" applyNumberFormat="1">
      <alignment horizontal="center" vertical="center" wrapText="1"/>
    </xf>
    <xf numFmtId="0" fontId="105" fillId="0" borderId="0" xfId="0" applyFont="1" applyNumberFormat="1">
      <alignment horizontal="center" vertical="center" wrapText="1"/>
    </xf>
    <xf numFmtId="0" fontId="106" fillId="37" borderId="0" xfId="0" applyFont="1" applyFill="1" applyNumberFormat="1">
      <alignment horizontal="right" vertical="center"/>
    </xf>
    <xf numFmtId="0" fontId="68" fillId="0" borderId="0" xfId="0" applyFont="1" applyNumberFormat="1">
      <alignment vertical="center" wrapText="1"/>
    </xf>
    <xf numFmtId="0" fontId="76" fillId="0" borderId="0" xfId="0" applyFont="1" applyNumberFormat="1">
      <alignment vertical="center" wrapText="1"/>
    </xf>
    <xf numFmtId="0" fontId="23" fillId="0" borderId="14" xfId="0" applyFont="1" applyBorder="1" applyNumberFormat="1">
      <alignment horizontal="center" vertical="center" wrapText="1"/>
    </xf>
    <xf numFmtId="49" fontId="55" fillId="0" borderId="0" xfId="0" applyFont="1" applyNumberFormat="1">
      <alignment horizontal="center" vertical="center" wrapText="1"/>
    </xf>
    <xf numFmtId="49" fontId="55" fillId="0" borderId="0" xfId="0" applyFont="1" applyNumberFormat="1">
      <alignment horizontal="center" vertical="center" wrapText="1"/>
    </xf>
    <xf numFmtId="0" fontId="23" fillId="0" borderId="0" xfId="0" applyFont="1" applyNumberFormat="1">
      <alignment vertical="center" wrapText="1"/>
    </xf>
    <xf numFmtId="49" fontId="40" fillId="0" borderId="0" xfId="0" applyFont="1" applyNumberFormat="1">
      <alignment horizontal="center" vertical="center" wrapText="1"/>
    </xf>
    <xf numFmtId="49" fontId="23" fillId="0" borderId="0" xfId="0" applyFont="1" applyNumberFormat="1">
      <alignment horizontal="center" vertical="center" wrapText="1"/>
    </xf>
    <xf numFmtId="4" fontId="23" fillId="0" borderId="0" xfId="0" applyFont="1" applyNumberFormat="1">
      <alignment horizontal="right" vertical="center" wrapText="1"/>
    </xf>
    <xf numFmtId="9" fontId="36" fillId="0" borderId="0" xfId="0" applyFont="1" applyNumberFormat="1">
      <alignment horizontal="center" vertical="center" wrapText="1"/>
    </xf>
    <xf numFmtId="0" fontId="76" fillId="0" borderId="0" xfId="0" applyFont="1" applyNumberFormat="1">
      <alignment vertical="center" wrapText="1"/>
    </xf>
    <xf numFmtId="0" fontId="55" fillId="0" borderId="0" xfId="0" applyFont="1" applyNumberFormat="1">
      <alignment vertical="center" wrapText="1"/>
    </xf>
    <xf numFmtId="0" fontId="40" fillId="0" borderId="0" xfId="0" applyFont="1" applyNumberFormat="1">
      <alignment vertical="center" wrapText="1"/>
    </xf>
    <xf numFmtId="0" fontId="0" fillId="0" borderId="0" xfId="0" applyFont="1" applyNumberFormat="1">
      <alignment vertical="top"/>
    </xf>
    <xf numFmtId="49" fontId="0" fillId="0" borderId="0" xfId="0" applyFont="1" applyNumberFormat="1">
      <alignment vertical="top"/>
    </xf>
    <xf numFmtId="49" fontId="55" fillId="0" borderId="19" xfId="0" applyFont="1" applyBorder="1" applyNumberFormat="1">
      <alignment horizontal="center" vertical="center" wrapText="1"/>
    </xf>
    <xf numFmtId="0" fontId="0" fillId="0" borderId="16" xfId="0" applyFont="1" applyBorder="1" applyNumberFormat="1">
      <alignment horizontal="right" vertical="center" wrapText="1" indent="1"/>
    </xf>
    <xf numFmtId="0" fontId="0" fillId="0" borderId="17" xfId="0" applyFont="1" applyBorder="1" applyNumberFormat="1">
      <alignment horizontal="right" vertical="center" wrapText="1" indent="1"/>
    </xf>
    <xf numFmtId="0" fontId="0" fillId="0" borderId="15" xfId="0" applyFont="1" applyBorder="1" applyNumberFormat="1">
      <alignment horizontal="right" vertical="center" wrapText="1" indent="1"/>
    </xf>
    <xf numFmtId="0" fontId="0" fillId="38" borderId="14" xfId="0" applyFont="1" applyFill="1" applyBorder="1" applyNumberFormat="1">
      <alignment horizontal="left" vertical="center" wrapText="1" indent="1"/>
    </xf>
    <xf numFmtId="0" fontId="23" fillId="0" borderId="15" xfId="0" applyFont="1" applyBorder="1" applyNumberFormat="1">
      <alignment horizontal="left" vertical="center" wrapText="1" indent="1"/>
    </xf>
    <xf numFmtId="49" fontId="55" fillId="0" borderId="24" xfId="0" applyFont="1" applyBorder="1" applyNumberFormat="1">
      <alignment vertical="top"/>
    </xf>
    <xf numFmtId="49" fontId="55" fillId="0" borderId="0" xfId="0" applyFont="1" applyNumberFormat="1">
      <alignment vertical="top"/>
    </xf>
    <xf numFmtId="49" fontId="54" fillId="0" borderId="0" xfId="0" applyFont="1" applyNumberFormat="1">
      <alignment vertical="top"/>
    </xf>
    <xf numFmtId="49" fontId="55" fillId="0" borderId="0" xfId="0" applyFont="1" applyNumberFormat="1">
      <alignment vertical="top"/>
    </xf>
    <xf numFmtId="49" fontId="54" fillId="0" borderId="0" xfId="0" applyFont="1" applyNumberFormat="1">
      <alignment vertical="top"/>
    </xf>
    <xf numFmtId="0" fontId="54" fillId="0" borderId="0" xfId="0" applyFont="1" applyNumberFormat="1">
      <alignment horizontal="center" vertical="top"/>
    </xf>
    <xf numFmtId="49" fontId="54" fillId="0" borderId="0" xfId="0" applyFont="1" applyNumberFormat="1">
      <alignment vertical="top"/>
    </xf>
    <xf numFmtId="0" fontId="54" fillId="0" borderId="0" xfId="0" applyFont="1" applyNumberFormat="1">
      <alignment vertical="top"/>
    </xf>
    <xf numFmtId="0" fontId="79" fillId="0" borderId="0" xfId="0" applyFont="1" applyNumberFormat="1">
      <alignment vertical="top"/>
    </xf>
    <xf numFmtId="0" fontId="92" fillId="0" borderId="0" xfId="0" applyFont="1" applyNumberFormat="1">
      <alignment vertical="top"/>
    </xf>
    <xf numFmtId="49" fontId="55" fillId="0" borderId="38" xfId="0" applyFont="1" applyBorder="1" applyNumberFormat="1">
      <alignment horizontal="center" vertical="center" wrapText="1"/>
    </xf>
    <xf numFmtId="0" fontId="54" fillId="0" borderId="0" xfId="0" applyFont="1" applyNumberFormat="1">
      <alignment horizontal="center" vertical="center" wrapText="1"/>
    </xf>
    <xf numFmtId="0" fontId="23" fillId="0" borderId="25" xfId="0" applyFont="1" applyBorder="1" applyNumberFormat="1">
      <alignment horizontal="left" vertical="center" wrapText="1"/>
    </xf>
    <xf numFmtId="2" fontId="23" fillId="0" borderId="25" xfId="0" applyFont="1" applyBorder="1" applyNumberFormat="1">
      <alignment horizontal="center" vertical="center" wrapText="1"/>
    </xf>
    <xf numFmtId="0" fontId="23" fillId="0" borderId="14" xfId="0" applyFont="1" applyBorder="1" applyNumberFormat="1">
      <alignment horizontal="left" vertical="center" wrapText="1"/>
    </xf>
    <xf numFmtId="49" fontId="55" fillId="0" borderId="24" xfId="0" applyFont="1" applyBorder="1" applyNumberFormat="1">
      <alignment vertical="top"/>
    </xf>
    <xf numFmtId="0" fontId="55" fillId="0" borderId="0" xfId="0" applyFont="1" applyNumberFormat="1">
      <alignment horizontal="center" vertical="center" wrapText="1"/>
    </xf>
    <xf numFmtId="0" fontId="55" fillId="0" borderId="0" xfId="0" applyFont="1" applyNumberFormat="1">
      <alignment horizontal="center" vertical="center" wrapText="1"/>
    </xf>
    <xf numFmtId="0" fontId="55" fillId="0" borderId="14" xfId="0" applyFont="1" applyBorder="1" applyNumberFormat="1">
      <alignment horizontal="left" vertical="center" wrapText="1"/>
    </xf>
    <xf numFmtId="0" fontId="55" fillId="0" borderId="14" xfId="0" applyFont="1" applyBorder="1" applyNumberFormat="1">
      <alignment vertical="center" wrapText="1"/>
    </xf>
    <xf numFmtId="0" fontId="55" fillId="0" borderId="24" xfId="0" applyFont="1" applyBorder="1" applyNumberFormat="1">
      <alignment vertical="center" wrapText="1"/>
    </xf>
    <xf numFmtId="49" fontId="48" fillId="40" borderId="16" xfId="0" applyFont="1" applyFill="1" applyBorder="1" applyNumberFormat="1">
      <alignment horizontal="left" vertical="center"/>
    </xf>
    <xf numFmtId="49" fontId="48" fillId="40" borderId="17" xfId="0" applyFont="1" applyFill="1" applyBorder="1" applyNumberFormat="1">
      <alignment horizontal="left" vertical="center" indent="1"/>
    </xf>
    <xf numFmtId="49" fontId="48" fillId="40" borderId="17" xfId="0" applyFont="1" applyFill="1" applyBorder="1" applyNumberFormat="1">
      <alignment horizontal="left" vertical="center"/>
    </xf>
    <xf numFmtId="49" fontId="48" fillId="40" borderId="15" xfId="0" applyFont="1" applyFill="1" applyBorder="1" applyNumberFormat="1">
      <alignment horizontal="left" vertical="center" indent="1"/>
    </xf>
    <xf numFmtId="0" fontId="23" fillId="0" borderId="25" xfId="0" applyFont="1" applyBorder="1" applyNumberFormat="1">
      <alignment horizontal="left" vertical="center" wrapText="1"/>
    </xf>
    <xf numFmtId="0" fontId="23" fillId="0" borderId="14" xfId="0" applyFont="1" applyBorder="1" applyNumberFormat="1">
      <alignment horizontal="left" vertical="center" wrapText="1"/>
    </xf>
    <xf numFmtId="0" fontId="54" fillId="0" borderId="0" xfId="0" applyFont="1" applyNumberFormat="1">
      <alignment horizontal="center" vertical="top"/>
    </xf>
    <xf numFmtId="0" fontId="55" fillId="0" borderId="0" xfId="0" applyFont="1" applyNumberFormat="1">
      <alignment horizontal="center" vertical="center" wrapText="1"/>
    </xf>
    <xf numFmtId="49" fontId="55" fillId="0" borderId="25" xfId="0" applyFont="1" applyBorder="1" applyNumberFormat="1">
      <alignment horizontal="center" vertical="center" wrapText="1"/>
    </xf>
    <xf numFmtId="49" fontId="48" fillId="0" borderId="21" xfId="0" applyFont="1" applyBorder="1" applyNumberFormat="1">
      <alignment horizontal="right" vertical="center"/>
    </xf>
    <xf numFmtId="0" fontId="23" fillId="0" borderId="0" xfId="0" applyFont="1" applyNumberFormat="1">
      <alignment horizontal="right" vertical="center" wrapText="1"/>
    </xf>
    <xf numFmtId="0" fontId="0" fillId="0" borderId="0" xfId="0" applyFont="1" applyNumberFormat="1">
      <alignment vertical="center"/>
    </xf>
    <xf numFmtId="0" fontId="53" fillId="0" borderId="0" xfId="0" applyFont="1" applyNumberFormat="1">
      <alignment horizontal="right" vertical="top" wrapText="1"/>
    </xf>
    <xf numFmtId="0" fontId="53" fillId="0" borderId="0" xfId="0" applyFont="1" applyNumberFormat="1">
      <alignment horizontal="left" vertical="top" wrapText="1"/>
    </xf>
    <xf numFmtId="49" fontId="40" fillId="0" borderId="0" xfId="0" applyFont="1" applyNumberFormat="1">
      <alignment horizontal="center" vertical="center" wrapText="1"/>
    </xf>
    <xf numFmtId="0" fontId="55" fillId="0" borderId="0" xfId="0" applyFont="1" applyNumberFormat="1">
      <alignment vertical="center" wrapText="1"/>
    </xf>
    <xf numFmtId="0" fontId="40" fillId="0" borderId="0" xfId="0" applyFont="1" applyNumberFormat="1">
      <alignment vertical="center" wrapText="1"/>
    </xf>
    <xf numFmtId="0" fontId="23" fillId="0" borderId="14" xfId="0" applyFont="1" applyBorder="1" applyNumberFormat="1">
      <alignment horizontal="center" vertical="center" wrapText="1"/>
    </xf>
    <xf numFmtId="0" fontId="23" fillId="0" borderId="14" xfId="0" applyFont="1" applyBorder="1" applyNumberFormat="1">
      <alignment horizontal="center" vertical="center" wrapText="1"/>
    </xf>
    <xf numFmtId="0" fontId="23" fillId="38" borderId="16" xfId="0" applyFont="1" applyFill="1" applyBorder="1" applyNumberFormat="1">
      <alignment horizontal="left" vertical="top" wrapText="1"/>
    </xf>
    <xf numFmtId="0" fontId="55" fillId="0" borderId="16" xfId="0" applyFont="1" applyBorder="1" applyNumberFormat="1">
      <alignment vertical="center" wrapText="1"/>
    </xf>
    <xf numFmtId="0" fontId="55" fillId="0" borderId="17" xfId="0" applyFont="1" applyBorder="1" applyNumberFormat="1">
      <alignment horizontal="right" vertical="center" wrapText="1" indent="1"/>
    </xf>
    <xf numFmtId="0" fontId="55" fillId="0" borderId="15" xfId="0" applyFont="1" applyBorder="1" applyNumberFormat="1">
      <alignment horizontal="right" vertical="center" wrapText="1" indent="1"/>
    </xf>
    <xf numFmtId="0" fontId="55" fillId="0" borderId="16" xfId="0" applyFont="1" applyBorder="1" applyNumberFormat="1">
      <alignment horizontal="left" vertical="top" wrapText="1"/>
    </xf>
    <xf numFmtId="0" fontId="23" fillId="0" borderId="17" xfId="0" applyFont="1" applyBorder="1" applyNumberFormat="1">
      <alignment horizontal="right" vertical="center" wrapText="1" indent="1"/>
    </xf>
    <xf numFmtId="0" fontId="23" fillId="0" borderId="14" xfId="0" applyFont="1" applyBorder="1" applyNumberFormat="1">
      <alignment horizontal="center" vertical="center" wrapText="1"/>
    </xf>
    <xf numFmtId="49" fontId="23" fillId="0" borderId="30" xfId="0" applyFont="1" applyBorder="1" applyNumberFormat="1">
      <alignment horizontal="center" vertical="center" wrapText="1"/>
    </xf>
    <xf numFmtId="0" fontId="23" fillId="0" borderId="14" xfId="0" applyFont="1" applyBorder="1" applyNumberFormat="1">
      <alignment horizontal="left" vertical="center" wrapText="1"/>
    </xf>
    <xf numFmtId="49" fontId="23" fillId="0" borderId="61" xfId="0" applyFont="1" applyBorder="1" applyNumberFormat="1">
      <alignment horizontal="center" vertical="center" wrapText="1"/>
    </xf>
    <xf numFmtId="0" fontId="23" fillId="0" borderId="14" xfId="0" applyFont="1" applyBorder="1" applyNumberFormat="1">
      <alignment horizontal="left" vertical="center" wrapText="1" indent="1"/>
    </xf>
    <xf numFmtId="0" fontId="23" fillId="0" borderId="15" xfId="0" applyFont="1" applyBorder="1" applyNumberFormat="1">
      <alignment horizontal="center" vertical="center" wrapText="1"/>
    </xf>
    <xf numFmtId="49" fontId="23" fillId="0" borderId="62" xfId="0" applyFont="1" applyBorder="1" applyNumberFormat="1">
      <alignment horizontal="center" vertical="center" wrapText="1"/>
    </xf>
    <xf numFmtId="0" fontId="23" fillId="0" borderId="15" xfId="0" applyFont="1" applyBorder="1" applyNumberFormat="1">
      <alignment horizontal="center" vertical="center" wrapText="1"/>
    </xf>
    <xf numFmtId="4" fontId="23" fillId="42" borderId="19" xfId="0" applyFont="1" applyFill="1" applyBorder="1" applyNumberFormat="1">
      <alignment horizontal="right" vertical="center" wrapText="1"/>
      <protection locked="0"/>
    </xf>
    <xf numFmtId="0" fontId="23" fillId="0" borderId="19" xfId="0" applyFont="1" applyBorder="1" applyNumberFormat="1">
      <alignment horizontal="center" vertical="center" wrapText="1"/>
    </xf>
    <xf numFmtId="49" fontId="48" fillId="40" borderId="21" xfId="0" applyFont="1" applyFill="1" applyBorder="1" applyNumberFormat="1">
      <alignment horizontal="left" vertical="center" indent="2"/>
    </xf>
    <xf numFmtId="0" fontId="23" fillId="0" borderId="14" xfId="0" applyFont="1" applyBorder="1" applyNumberFormat="1">
      <alignment horizontal="center" vertical="center" wrapText="1"/>
    </xf>
    <xf numFmtId="0" fontId="23" fillId="0" borderId="14" xfId="0" applyFont="1" applyBorder="1" applyNumberFormat="1">
      <alignment horizontal="center" vertical="center" wrapText="1"/>
    </xf>
    <xf numFmtId="0" fontId="23" fillId="38" borderId="16" xfId="0" applyFont="1" applyFill="1" applyBorder="1" applyNumberFormat="1">
      <alignment horizontal="left" vertical="top" wrapText="1"/>
    </xf>
    <xf numFmtId="0" fontId="23" fillId="0" borderId="17" xfId="0" applyFont="1" applyBorder="1" applyNumberFormat="1">
      <alignment horizontal="right" vertical="center" wrapText="1" indent="1"/>
    </xf>
    <xf numFmtId="0" fontId="23" fillId="0" borderId="14" xfId="0" applyFont="1" applyBorder="1" applyNumberFormat="1">
      <alignment horizontal="center" vertical="center" wrapText="1"/>
    </xf>
    <xf numFmtId="0" fontId="23" fillId="0" borderId="19" xfId="0" applyFont="1" applyBorder="1" applyNumberFormat="1">
      <alignment horizontal="left" vertical="center" wrapText="1"/>
    </xf>
    <xf numFmtId="49" fontId="0" fillId="0" borderId="14" xfId="0" applyFont="1" applyBorder="1" applyNumberFormat="1">
      <alignment horizontal="left" vertical="center" wrapText="1" indent="1"/>
    </xf>
    <xf numFmtId="49" fontId="0" fillId="0" borderId="14" xfId="0" applyFont="1" applyBorder="1" applyNumberFormat="1">
      <alignment horizontal="left" vertical="center" wrapText="1" indent="2"/>
    </xf>
    <xf numFmtId="49" fontId="23" fillId="0" borderId="60" xfId="0" applyFont="1" applyBorder="1" applyNumberFormat="1">
      <alignment horizontal="center" vertical="center" wrapText="1"/>
    </xf>
    <xf numFmtId="0" fontId="23" fillId="0" borderId="19" xfId="0" applyFont="1" applyBorder="1" applyNumberFormat="1">
      <alignment horizontal="left" vertical="center" wrapText="1" indent="1"/>
    </xf>
    <xf numFmtId="0" fontId="23" fillId="0" borderId="19" xfId="0" applyFont="1" applyBorder="1" applyNumberFormat="1">
      <alignment horizontal="center" vertical="center" wrapText="1"/>
    </xf>
    <xf numFmtId="49" fontId="0" fillId="0" borderId="14" xfId="0" applyFont="1" applyBorder="1" applyNumberFormat="1">
      <alignment vertical="center" wrapText="1"/>
    </xf>
    <xf numFmtId="49" fontId="0" fillId="0" borderId="14" xfId="0" applyFont="1" applyBorder="1" applyNumberFormat="1">
      <alignment horizontal="left" vertical="center" wrapText="1" indent="1"/>
    </xf>
    <xf numFmtId="49" fontId="54" fillId="0" borderId="0" xfId="0" applyFont="1" applyNumberFormat="1">
      <alignment horizontal="center" vertical="center" wrapText="1"/>
    </xf>
    <xf numFmtId="49" fontId="54" fillId="0" borderId="0" xfId="0" applyFont="1" applyNumberFormat="1">
      <alignment horizontal="center" vertical="center" wrapText="1"/>
    </xf>
    <xf numFmtId="0" fontId="55" fillId="0" borderId="29" xfId="0" applyFont="1" applyBorder="1" applyNumberFormat="1">
      <alignment vertical="center" wrapText="1"/>
    </xf>
    <xf numFmtId="0" fontId="23" fillId="38" borderId="16" xfId="0" applyFont="1" applyFill="1" applyBorder="1" applyNumberFormat="1">
      <alignment horizontal="left" vertical="top" wrapText="1"/>
    </xf>
    <xf numFmtId="0" fontId="23" fillId="38" borderId="15" xfId="0" applyFont="1" applyFill="1" applyBorder="1" applyNumberFormat="1">
      <alignment horizontal="left" vertical="top" wrapText="1"/>
    </xf>
    <xf numFmtId="49" fontId="54" fillId="0" borderId="0" xfId="0" applyFont="1" applyNumberFormat="1">
      <alignment horizontal="center" vertical="center" wrapText="1"/>
    </xf>
    <xf numFmtId="49" fontId="54" fillId="0" borderId="0" xfId="0" applyFont="1" applyNumberFormat="1">
      <alignment horizontal="center" vertical="center" wrapText="1"/>
    </xf>
    <xf numFmtId="0" fontId="23" fillId="0" borderId="0" xfId="0" applyFont="1" applyNumberFormat="1">
      <alignment horizontal="left" vertical="top" wrapText="1"/>
    </xf>
    <xf numFmtId="0" fontId="23" fillId="0" borderId="0" xfId="0" applyFont="1" applyNumberFormat="1">
      <alignment vertical="top" wrapText="1"/>
    </xf>
    <xf numFmtId="0" fontId="23" fillId="0" borderId="14" xfId="0" applyFont="1" applyBorder="1" applyNumberFormat="1">
      <alignment horizontal="center" vertical="center" wrapText="1"/>
    </xf>
    <xf numFmtId="0" fontId="23" fillId="0" borderId="14" xfId="0" applyFont="1" applyBorder="1" applyNumberFormat="1">
      <alignment horizontal="center" vertical="center" wrapText="1"/>
    </xf>
    <xf numFmtId="0" fontId="23" fillId="0" borderId="14" xfId="0" applyFont="1" applyBorder="1" applyNumberFormat="1">
      <alignment horizontal="center" vertical="center" wrapText="1"/>
    </xf>
    <xf numFmtId="0" fontId="23" fillId="0" borderId="16" xfId="0" applyFont="1" applyBorder="1" applyNumberFormat="1">
      <alignment horizontal="center" vertical="center" wrapText="1"/>
    </xf>
    <xf numFmtId="0" fontId="23" fillId="0" borderId="0" xfId="0" applyFont="1" applyNumberFormat="1">
      <alignment horizontal="left" vertical="top" wrapText="1"/>
    </xf>
    <xf numFmtId="49" fontId="55" fillId="0" borderId="0" xfId="0" applyFont="1" applyNumberFormat="1">
      <alignment horizontal="center" vertical="center" wrapText="1"/>
    </xf>
    <xf numFmtId="0" fontId="55" fillId="0" borderId="0" xfId="0" applyFont="1" applyNumberFormat="1">
      <alignment horizontal="center" vertical="center" wrapText="1"/>
    </xf>
    <xf numFmtId="49" fontId="23" fillId="58" borderId="0" xfId="0" applyFont="1" applyFill="1" applyNumberFormat="1">
      <alignment horizontal="center" vertical="center" textRotation="90" wrapText="1"/>
    </xf>
    <xf numFmtId="49" fontId="23" fillId="0" borderId="14" xfId="0" applyFont="1" applyBorder="1" applyNumberFormat="1">
      <alignment horizontal="center" vertical="center" wrapText="1"/>
    </xf>
    <xf numFmtId="0" fontId="23" fillId="0" borderId="14" xfId="0" applyFont="1" applyBorder="1" applyNumberFormat="1">
      <alignment horizontal="left" vertical="center" wrapText="1"/>
    </xf>
    <xf numFmtId="4" fontId="23" fillId="0" borderId="14" xfId="0" applyFont="1" applyBorder="1" applyNumberFormat="1">
      <alignment horizontal="center" vertical="center" wrapText="1"/>
    </xf>
    <xf numFmtId="49" fontId="34" fillId="39" borderId="16" xfId="0" applyFont="1" applyFill="1" applyBorder="1" applyNumberFormat="1">
      <alignment horizontal="left" vertical="center" wrapText="1"/>
      <protection locked="0"/>
    </xf>
    <xf numFmtId="0" fontId="76" fillId="0" borderId="24" xfId="0" applyFont="1" applyBorder="1" applyNumberFormat="1">
      <alignment vertical="center" wrapText="1"/>
    </xf>
    <xf numFmtId="49" fontId="23" fillId="0" borderId="14" xfId="0" applyFont="1" applyBorder="1" applyNumberFormat="1">
      <alignment horizontal="center" vertical="center" wrapText="1"/>
    </xf>
    <xf numFmtId="49" fontId="34" fillId="39" borderId="16" xfId="0" applyFont="1" applyFill="1" applyBorder="1" applyNumberFormat="1">
      <alignment horizontal="left" vertical="center" wrapText="1"/>
      <protection locked="0"/>
    </xf>
    <xf numFmtId="0" fontId="23" fillId="0" borderId="14" xfId="0" applyFont="1" applyBorder="1" applyNumberFormat="1">
      <alignment horizontal="center" vertical="center" wrapText="1"/>
    </xf>
    <xf numFmtId="49" fontId="23" fillId="39" borderId="14" xfId="0" applyFont="1" applyFill="1" applyBorder="1" applyNumberFormat="1">
      <alignment horizontal="left" vertical="center" wrapText="1"/>
      <protection locked="0"/>
    </xf>
    <xf numFmtId="3" fontId="23" fillId="39" borderId="16" xfId="0" applyFont="1" applyFill="1" applyBorder="1" applyNumberFormat="1">
      <alignment horizontal="right" vertical="center" wrapText="1"/>
      <protection locked="0"/>
    </xf>
    <xf numFmtId="4" fontId="23" fillId="39" borderId="16" xfId="0" applyFont="1" applyFill="1" applyBorder="1" applyNumberFormat="1">
      <alignment horizontal="right" vertical="center" wrapText="1"/>
      <protection locked="0"/>
    </xf>
    <xf numFmtId="49" fontId="23" fillId="42" borderId="14" xfId="0" applyFont="1" applyFill="1" applyBorder="1" applyNumberFormat="1">
      <alignment horizontal="left" vertical="center" wrapText="1"/>
      <protection locked="0"/>
    </xf>
    <xf numFmtId="49" fontId="23" fillId="42" borderId="14" xfId="0" applyFont="1" applyFill="1" applyBorder="1" applyNumberFormat="1">
      <alignment horizontal="left" vertical="center" wrapText="1"/>
      <protection locked="0"/>
    </xf>
    <xf numFmtId="0" fontId="45" fillId="0" borderId="0" xfId="0" applyFont="1" applyNumberFormat="1">
      <alignment horizontal="center" vertical="center" wrapText="1"/>
    </xf>
    <xf numFmtId="0" fontId="23" fillId="0" borderId="19" xfId="0" applyFont="1" applyBorder="1" applyNumberFormat="1">
      <alignment horizontal="center" vertical="center" wrapText="1"/>
    </xf>
    <xf numFmtId="0" fontId="23" fillId="0" borderId="16" xfId="0" applyFont="1" applyBorder="1" applyNumberFormat="1">
      <alignment horizontal="center" vertical="center" wrapText="1"/>
    </xf>
    <xf numFmtId="0" fontId="88" fillId="0" borderId="0" xfId="0" applyFont="1" applyNumberFormat="1">
      <alignment vertical="center" wrapText="1"/>
    </xf>
    <xf numFmtId="0" fontId="23" fillId="0" borderId="14" xfId="0" applyFont="1" applyBorder="1" applyNumberFormat="1">
      <alignment horizontal="left" vertical="center" wrapText="1" indent="2"/>
    </xf>
    <xf numFmtId="3" fontId="53" fillId="39" borderId="14" xfId="0" applyFont="1" applyFill="1" applyBorder="1" applyNumberFormat="1">
      <alignment horizontal="right" vertical="center"/>
      <protection locked="0"/>
    </xf>
    <xf numFmtId="49" fontId="23" fillId="39" borderId="16" xfId="0" applyFont="1" applyFill="1" applyBorder="1" applyNumberFormat="1">
      <alignment horizontal="left" vertical="center" wrapText="1"/>
      <protection locked="0"/>
    </xf>
    <xf numFmtId="0" fontId="53" fillId="0" borderId="0" xfId="0" applyFont="1" applyNumberFormat="1">
      <alignment vertical="center" wrapText="1"/>
    </xf>
    <xf numFmtId="0" fontId="23" fillId="0" borderId="0" xfId="0" applyFont="1" applyNumberFormat="1">
      <alignment vertical="top" wrapText="1"/>
    </xf>
    <xf numFmtId="0" fontId="23" fillId="0" borderId="0" xfId="0" applyFont="1" applyNumberFormat="1">
      <alignment vertical="top"/>
    </xf>
    <xf numFmtId="49" fontId="54" fillId="0" borderId="0" xfId="0" applyFont="1" applyNumberFormat="1">
      <alignment horizontal="center" vertical="center" wrapText="1"/>
    </xf>
    <xf numFmtId="0" fontId="23" fillId="0" borderId="0" xfId="0" applyFont="1" applyNumberFormat="1">
      <alignment vertical="top" wrapText="1"/>
    </xf>
    <xf numFmtId="0" fontId="23" fillId="0" borderId="0" xfId="0" applyFont="1" applyNumberFormat="1">
      <alignment vertical="top"/>
    </xf>
    <xf numFmtId="49" fontId="34" fillId="0" borderId="14" xfId="0" applyFont="1" applyBorder="1" applyNumberFormat="1">
      <alignment horizontal="left" vertical="center" wrapText="1"/>
    </xf>
    <xf numFmtId="49" fontId="23" fillId="0" borderId="34" xfId="0" applyFont="1" applyBorder="1" applyNumberFormat="1">
      <alignment horizontal="center" vertical="center" wrapText="1"/>
    </xf>
    <xf numFmtId="0" fontId="23" fillId="0" borderId="34" xfId="0" applyFont="1" applyBorder="1" applyNumberFormat="1">
      <alignment horizontal="left" vertical="center" wrapText="1"/>
    </xf>
    <xf numFmtId="4" fontId="23" fillId="0" borderId="42" xfId="0" applyFont="1" applyBorder="1" applyNumberFormat="1">
      <alignment horizontal="center" vertical="center" wrapText="1"/>
    </xf>
    <xf numFmtId="49" fontId="34" fillId="0" borderId="32" xfId="0" applyFont="1" applyBorder="1" applyNumberFormat="1">
      <alignment horizontal="left" vertical="center" wrapText="1"/>
    </xf>
    <xf numFmtId="49" fontId="23" fillId="0" borderId="33" xfId="0" applyFont="1" applyBorder="1" applyNumberFormat="1">
      <alignment horizontal="center" vertical="center" wrapText="1"/>
    </xf>
    <xf numFmtId="0" fontId="23" fillId="0" borderId="35" xfId="0" applyFont="1" applyBorder="1" applyNumberFormat="1">
      <alignment horizontal="left" vertical="center" wrapText="1" indent="1"/>
    </xf>
    <xf numFmtId="4" fontId="23" fillId="42" borderId="33" xfId="0" applyFont="1" applyFill="1" applyBorder="1" applyNumberFormat="1">
      <alignment horizontal="right" vertical="center" wrapText="1"/>
      <protection locked="0"/>
    </xf>
    <xf numFmtId="49" fontId="34" fillId="0" borderId="16" xfId="0" applyFont="1" applyBorder="1" applyNumberFormat="1">
      <alignment horizontal="left" vertical="center" wrapText="1"/>
    </xf>
    <xf numFmtId="4" fontId="23" fillId="0" borderId="19" xfId="0" applyFont="1" applyBorder="1" applyNumberFormat="1">
      <alignment horizontal="center" vertical="center" wrapText="1"/>
    </xf>
    <xf numFmtId="4" fontId="23" fillId="42" borderId="37" xfId="0" applyFont="1" applyFill="1" applyBorder="1" applyNumberFormat="1">
      <alignment horizontal="right" vertical="center" wrapText="1"/>
      <protection locked="0"/>
    </xf>
    <xf numFmtId="0" fontId="23" fillId="0" borderId="35" xfId="0" applyFont="1" applyBorder="1" applyNumberFormat="1">
      <alignment horizontal="left" vertical="center" wrapText="1"/>
    </xf>
    <xf numFmtId="49" fontId="34" fillId="0" borderId="17" xfId="0" applyFont="1" applyBorder="1" applyNumberFormat="1">
      <alignment horizontal="left" vertical="center" wrapText="1"/>
    </xf>
    <xf numFmtId="0" fontId="23" fillId="0" borderId="33" xfId="0" applyFont="1" applyBorder="1" applyNumberFormat="1">
      <alignment horizontal="left" vertical="center" wrapText="1" indent="1"/>
    </xf>
    <xf numFmtId="4" fontId="23" fillId="0" borderId="34" xfId="0" applyFont="1" applyBorder="1" applyNumberFormat="1">
      <alignment horizontal="center" vertical="center" wrapText="1"/>
    </xf>
    <xf numFmtId="0" fontId="23" fillId="0" borderId="33" xfId="0" applyFont="1" applyBorder="1" applyNumberFormat="1">
      <alignment horizontal="left" vertical="center" wrapText="1"/>
    </xf>
    <xf numFmtId="0" fontId="23" fillId="0" borderId="33" xfId="0" applyFont="1" applyBorder="1" applyNumberFormat="1">
      <alignment horizontal="left" vertical="center" wrapText="1" indent="2"/>
    </xf>
    <xf numFmtId="4" fontId="23" fillId="0" borderId="33" xfId="0" applyFont="1" applyBorder="1" applyNumberFormat="1">
      <alignment horizontal="center" vertical="center" wrapText="1"/>
    </xf>
    <xf numFmtId="49" fontId="23" fillId="0" borderId="36" xfId="0" applyFont="1" applyBorder="1" applyNumberFormat="1">
      <alignment horizontal="center" vertical="center" wrapText="1"/>
    </xf>
    <xf numFmtId="49" fontId="34" fillId="42" borderId="14" xfId="0" applyFont="1" applyFill="1" applyBorder="1" applyNumberFormat="1">
      <alignment horizontal="left" vertical="center" wrapText="1"/>
      <protection locked="0"/>
    </xf>
    <xf numFmtId="0" fontId="23" fillId="0" borderId="37" xfId="0" applyFont="1" applyBorder="1" applyNumberFormat="1">
      <alignment horizontal="left" vertical="center" wrapText="1"/>
    </xf>
    <xf numFmtId="4" fontId="23" fillId="0" borderId="37" xfId="0" applyFont="1" applyBorder="1" applyNumberFormat="1">
      <alignment horizontal="center" vertical="center" wrapText="1"/>
    </xf>
    <xf numFmtId="49" fontId="34" fillId="0" borderId="39" xfId="0" applyFont="1" applyBorder="1" applyNumberFormat="1">
      <alignment horizontal="left" vertical="center" wrapText="1"/>
    </xf>
    <xf numFmtId="49" fontId="23" fillId="0" borderId="35" xfId="0" applyFont="1" applyBorder="1" applyNumberFormat="1">
      <alignment horizontal="center" vertical="center" wrapText="1"/>
    </xf>
    <xf numFmtId="4" fontId="23" fillId="42" borderId="16" xfId="0" applyFont="1" applyFill="1" applyBorder="1" applyNumberFormat="1">
      <alignment horizontal="right" vertical="center" wrapText="1"/>
      <protection locked="0"/>
    </xf>
    <xf numFmtId="4" fontId="23" fillId="42" borderId="35" xfId="0" applyFont="1" applyFill="1" applyBorder="1" applyNumberFormat="1">
      <alignment horizontal="right" vertical="center" wrapText="1"/>
      <protection locked="0"/>
    </xf>
    <xf numFmtId="4" fontId="23" fillId="0" borderId="35" xfId="0" applyFont="1" applyBorder="1" applyNumberFormat="1">
      <alignment horizontal="center" vertical="center" wrapText="1"/>
    </xf>
    <xf numFmtId="4" fontId="23" fillId="42" borderId="36" xfId="0" applyFont="1" applyFill="1" applyBorder="1" applyNumberFormat="1">
      <alignment horizontal="right" vertical="center" wrapText="1"/>
      <protection locked="0"/>
    </xf>
    <xf numFmtId="49" fontId="34" fillId="42" borderId="16" xfId="0" applyFont="1" applyFill="1" applyBorder="1" applyNumberFormat="1">
      <alignment horizontal="left" vertical="center" wrapText="1"/>
      <protection locked="0"/>
    </xf>
    <xf numFmtId="49" fontId="54" fillId="0" borderId="0" xfId="0" applyFont="1" applyNumberFormat="1">
      <alignment horizontal="center" vertical="center" wrapText="1"/>
    </xf>
    <xf numFmtId="0" fontId="54" fillId="0" borderId="0" xfId="0" applyFont="1" applyNumberFormat="1">
      <alignment horizontal="center" vertical="center" wrapText="1"/>
    </xf>
    <xf numFmtId="49" fontId="23" fillId="0" borderId="0" xfId="0" applyFont="1" applyNumberFormat="1">
      <alignment vertical="center" wrapText="1"/>
    </xf>
    <xf numFmtId="0" fontId="44" fillId="0" borderId="26" xfId="0" applyFont="1" applyBorder="1" applyNumberFormat="1">
      <alignment horizontal="center" vertical="center" wrapText="1"/>
    </xf>
    <xf numFmtId="0" fontId="0" fillId="0" borderId="16" xfId="0" applyFont="1" applyBorder="1" applyNumberFormat="1">
      <alignment horizontal="center" vertical="center"/>
    </xf>
    <xf numFmtId="0" fontId="23" fillId="0" borderId="15" xfId="0" applyFont="1" applyBorder="1" applyNumberFormat="1">
      <alignment horizontal="center" vertical="center" wrapText="1"/>
    </xf>
    <xf numFmtId="167" fontId="0" fillId="39" borderId="14" xfId="0" applyFont="1" applyFill="1" applyBorder="1" applyNumberFormat="1">
      <alignment horizontal="left" vertical="center" wrapText="1" indent="1"/>
      <protection locked="0"/>
    </xf>
    <xf numFmtId="49" fontId="23" fillId="42" borderId="16" xfId="0" applyFont="1" applyFill="1" applyBorder="1" applyNumberFormat="1">
      <alignment horizontal="left" vertical="center" wrapText="1"/>
      <protection locked="0"/>
    </xf>
    <xf numFmtId="0" fontId="23" fillId="0" borderId="0" xfId="0" applyFont="1" applyNumberFormat="1">
      <alignment horizontal="left" vertical="center" wrapText="1"/>
    </xf>
    <xf numFmtId="0" fontId="23" fillId="38" borderId="16" xfId="0" applyFont="1" applyFill="1" applyBorder="1" applyNumberFormat="1">
      <alignment horizontal="left" vertical="top" wrapText="1" indent="1"/>
    </xf>
    <xf numFmtId="0" fontId="23" fillId="38" borderId="15" xfId="0" applyFont="1" applyFill="1" applyBorder="1" applyNumberFormat="1">
      <alignment horizontal="left" vertical="top" wrapText="1" indent="1"/>
    </xf>
    <xf numFmtId="0" fontId="23" fillId="0" borderId="17" xfId="0" applyFont="1" applyBorder="1" applyNumberFormat="1">
      <alignment horizontal="right" vertical="center" wrapText="1" indent="1"/>
    </xf>
    <xf numFmtId="0" fontId="23" fillId="0" borderId="15" xfId="0" applyFont="1" applyBorder="1" applyNumberFormat="1">
      <alignment horizontal="right" vertical="center" wrapText="1" indent="1"/>
    </xf>
    <xf numFmtId="0" fontId="23" fillId="0" borderId="14" xfId="0" applyFont="1" applyBorder="1" applyNumberFormat="1">
      <alignment horizontal="center" vertical="center" wrapText="1"/>
    </xf>
    <xf numFmtId="0" fontId="23" fillId="0" borderId="14" xfId="0" applyFont="1" applyBorder="1" applyNumberFormat="1">
      <alignment horizontal="center" vertical="center" wrapText="1"/>
    </xf>
    <xf numFmtId="0" fontId="23" fillId="0" borderId="16" xfId="0" applyFont="1" applyBorder="1" applyNumberFormat="1">
      <alignment horizontal="center" vertical="center" wrapText="1"/>
    </xf>
    <xf numFmtId="0" fontId="44" fillId="0" borderId="0" xfId="0" applyFont="1" applyNumberFormat="1">
      <alignment horizontal="center" vertical="center" wrapText="1"/>
    </xf>
    <xf numFmtId="49" fontId="0" fillId="0" borderId="16" xfId="0" applyFont="1" applyBorder="1" applyNumberFormat="1">
      <alignment horizontal="center" vertical="center"/>
    </xf>
    <xf numFmtId="49" fontId="0" fillId="0" borderId="14" xfId="0" applyFont="1" applyBorder="1" applyNumberFormat="1">
      <alignment vertical="center" wrapText="1"/>
    </xf>
    <xf numFmtId="0" fontId="23" fillId="0" borderId="15" xfId="0" applyFont="1" applyBorder="1" applyNumberFormat="1">
      <alignment horizontal="center" vertical="center" wrapText="1"/>
    </xf>
    <xf numFmtId="0" fontId="23" fillId="40" borderId="16" xfId="0" applyFont="1" applyFill="1" applyBorder="1" applyNumberFormat="1">
      <alignment vertical="center" wrapText="1"/>
    </xf>
    <xf numFmtId="0" fontId="23" fillId="0" borderId="15" xfId="0" applyFont="1" applyBorder="1" applyNumberFormat="1">
      <alignment horizontal="center" vertical="center" wrapText="1"/>
    </xf>
    <xf numFmtId="0" fontId="23" fillId="40" borderId="21" xfId="0" applyFont="1" applyFill="1" applyBorder="1" applyNumberFormat="1">
      <alignment vertical="center" wrapText="1"/>
    </xf>
    <xf numFmtId="0" fontId="23" fillId="0" borderId="17" xfId="0" applyFont="1" applyBorder="1" applyNumberFormat="1">
      <alignment horizontal="center" vertical="center" wrapText="1"/>
    </xf>
    <xf numFmtId="49" fontId="23" fillId="43" borderId="14" xfId="0" applyFont="1" applyFill="1" applyBorder="1" applyNumberFormat="1">
      <alignment horizontal="center" vertical="center" wrapText="1"/>
    </xf>
    <xf numFmtId="49" fontId="23" fillId="43" borderId="14" xfId="0" applyFont="1" applyFill="1" applyBorder="1" applyNumberFormat="1">
      <alignment horizontal="center" vertical="center" wrapText="1"/>
    </xf>
    <xf numFmtId="0" fontId="23" fillId="0" borderId="14" xfId="0" applyFont="1" applyBorder="1" applyNumberFormat="1">
      <alignment horizontal="center" vertical="center" wrapText="1"/>
    </xf>
    <xf numFmtId="0" fontId="23" fillId="0" borderId="15" xfId="0" applyFont="1" applyBorder="1" applyNumberFormat="1">
      <alignment vertical="center" wrapText="1"/>
    </xf>
    <xf numFmtId="0" fontId="23" fillId="40" borderId="29" xfId="0" applyFont="1" applyFill="1" applyBorder="1" applyNumberFormat="1">
      <alignment vertical="center" wrapText="1"/>
    </xf>
    <xf numFmtId="0" fontId="44" fillId="0" borderId="0" xfId="0" applyFont="1" applyNumberFormat="1">
      <alignment horizontal="center" vertical="center" wrapText="1"/>
    </xf>
    <xf numFmtId="0" fontId="88" fillId="0" borderId="0" xfId="0" applyFont="1" applyNumberFormat="1">
      <alignment vertical="center" wrapText="1"/>
    </xf>
    <xf numFmtId="49" fontId="54" fillId="0" borderId="0" xfId="0" applyFont="1" applyNumberFormat="1">
      <alignment horizontal="center" vertical="center" wrapText="1"/>
    </xf>
    <xf numFmtId="0" fontId="40" fillId="0" borderId="0" xfId="0" applyFont="1" applyNumberFormat="1">
      <alignment vertical="center" wrapText="1"/>
    </xf>
    <xf numFmtId="0" fontId="23" fillId="0" borderId="0" xfId="0" applyFont="1" applyNumberFormat="1">
      <alignment vertical="center"/>
    </xf>
    <xf numFmtId="0" fontId="23" fillId="0" borderId="0" xfId="0" applyFont="1" applyNumberFormat="1">
      <alignment vertical="center" wrapText="1"/>
    </xf>
    <xf numFmtId="49" fontId="54" fillId="0" borderId="0" xfId="0" applyFont="1" applyNumberFormat="1">
      <alignment horizontal="center" vertical="center" wrapText="1"/>
    </xf>
    <xf numFmtId="0" fontId="23" fillId="0" borderId="0" xfId="0" applyFont="1" applyNumberFormat="1">
      <alignment vertical="center" wrapText="1"/>
    </xf>
    <xf numFmtId="49" fontId="54" fillId="0" borderId="0" xfId="0" applyFont="1" applyNumberFormat="1">
      <alignment horizontal="center" vertical="center" wrapText="1"/>
    </xf>
    <xf numFmtId="49" fontId="103" fillId="0" borderId="0" xfId="0" applyFont="1" applyNumberFormat="1">
      <alignment horizontal="center" vertical="center" wrapText="1"/>
    </xf>
    <xf numFmtId="0" fontId="0" fillId="37" borderId="16" xfId="0" applyFont="1" applyFill="1" applyBorder="1" applyNumberFormat="1">
      <alignment horizontal="center" vertical="center" wrapText="1"/>
    </xf>
    <xf numFmtId="0" fontId="0" fillId="37" borderId="17" xfId="0" applyFont="1" applyFill="1" applyBorder="1" applyNumberFormat="1">
      <alignment horizontal="center" vertical="center" wrapText="1"/>
    </xf>
    <xf numFmtId="0" fontId="0" fillId="37" borderId="15" xfId="0" applyFont="1" applyFill="1" applyBorder="1" applyNumberFormat="1">
      <alignment horizontal="center" vertical="center" wrapText="1"/>
    </xf>
    <xf numFmtId="0" fontId="0" fillId="37" borderId="19" xfId="0" applyFont="1" applyFill="1" applyBorder="1" applyNumberFormat="1">
      <alignment horizontal="center" vertical="center" wrapText="1"/>
    </xf>
    <xf numFmtId="0" fontId="23" fillId="37" borderId="19" xfId="0" applyFont="1" applyFill="1" applyBorder="1" applyNumberFormat="1">
      <alignment horizontal="center" vertical="center" wrapText="1"/>
    </xf>
    <xf numFmtId="0" fontId="0" fillId="37" borderId="19" xfId="0" applyFont="1" applyFill="1" applyBorder="1" applyNumberFormat="1">
      <alignment horizontal="center" vertical="center" wrapText="1"/>
    </xf>
    <xf numFmtId="0" fontId="0" fillId="37" borderId="39" xfId="0" applyFont="1" applyFill="1" applyBorder="1" applyNumberFormat="1">
      <alignment horizontal="center" vertical="center" wrapText="1"/>
    </xf>
    <xf numFmtId="0" fontId="23" fillId="0" borderId="14" xfId="0" applyFont="1" applyBorder="1" applyNumberFormat="1">
      <alignment horizontal="center" vertical="center" wrapText="1"/>
    </xf>
    <xf numFmtId="0" fontId="55" fillId="0" borderId="0" xfId="0" applyFont="1" applyNumberFormat="1">
      <alignment horizontal="center" vertical="center" wrapText="1"/>
    </xf>
    <xf numFmtId="49" fontId="55" fillId="0" borderId="14" xfId="0" applyFont="1" applyBorder="1" applyNumberFormat="1">
      <alignment horizontal="center" vertical="center" wrapText="1"/>
    </xf>
    <xf numFmtId="0" fontId="0" fillId="0" borderId="14" xfId="0" applyFont="1" applyBorder="1" applyNumberFormat="1">
      <alignment horizontal="left" vertical="center" wrapText="1" indent="1"/>
    </xf>
    <xf numFmtId="49" fontId="0" fillId="0" borderId="14" xfId="0" applyFont="1" applyBorder="1" applyNumberFormat="1">
      <alignment horizontal="center" vertical="center" wrapText="1"/>
    </xf>
    <xf numFmtId="49" fontId="23" fillId="0" borderId="14" xfId="0" applyFont="1" applyBorder="1" applyNumberFormat="1">
      <alignment horizontal="left" vertical="center" wrapText="1"/>
    </xf>
    <xf numFmtId="49" fontId="55" fillId="0" borderId="0" xfId="0" applyFont="1" applyNumberFormat="1">
      <alignment horizontal="center" vertical="center" wrapText="1"/>
    </xf>
    <xf numFmtId="49" fontId="23" fillId="0" borderId="16" xfId="0" applyFont="1" applyBorder="1" applyNumberFormat="1">
      <alignment horizontal="center" vertical="center" wrapText="1"/>
    </xf>
    <xf numFmtId="49" fontId="48" fillId="40" borderId="16" xfId="0" applyFont="1" applyFill="1" applyBorder="1" applyNumberFormat="1">
      <alignment horizontal="left" vertical="center" indent="1"/>
    </xf>
    <xf numFmtId="0" fontId="23" fillId="40" borderId="31" xfId="0" applyFont="1" applyFill="1" applyBorder="1" applyNumberFormat="1">
      <alignment vertical="center" wrapText="1"/>
    </xf>
    <xf numFmtId="49" fontId="54" fillId="0" borderId="0" xfId="0" applyFont="1" applyNumberFormat="1">
      <alignment horizontal="center" vertical="center" wrapText="1"/>
    </xf>
    <xf numFmtId="0" fontId="54" fillId="0" borderId="0" xfId="0" applyFont="1" applyNumberFormat="1">
      <alignment vertical="center" wrapText="1"/>
    </xf>
    <xf numFmtId="0" fontId="54" fillId="0" borderId="0" xfId="0" applyFont="1" applyNumberFormat="1">
      <alignment vertical="center" wrapText="1"/>
    </xf>
    <xf numFmtId="0" fontId="54" fillId="0" borderId="0" xfId="0" applyFont="1" applyNumberFormat="1">
      <alignment vertical="center" wrapText="1"/>
    </xf>
    <xf numFmtId="0" fontId="40" fillId="0" borderId="0" xfId="0" applyFont="1" applyNumberFormat="1">
      <alignment vertical="center" wrapText="1"/>
    </xf>
    <xf numFmtId="0" fontId="40" fillId="0" borderId="0" xfId="0" applyFont="1" applyNumberFormat="1">
      <alignment vertical="center" wrapText="1"/>
    </xf>
    <xf numFmtId="0" fontId="40" fillId="0" borderId="0" xfId="0" applyFont="1" applyNumberFormat="1">
      <alignment vertical="center" wrapText="1"/>
    </xf>
    <xf numFmtId="0" fontId="23" fillId="0" borderId="0" xfId="0" applyFont="1" applyNumberFormat="1">
      <alignment horizontal="left" vertical="center" wrapText="1" indent="3"/>
    </xf>
    <xf numFmtId="0" fontId="23" fillId="37" borderId="0" xfId="0" applyFont="1" applyFill="1" applyNumberFormat="1">
      <alignment vertical="center" wrapText="1"/>
    </xf>
    <xf numFmtId="0" fontId="23" fillId="37" borderId="41" xfId="0" applyFont="1" applyFill="1" applyBorder="1" applyNumberFormat="1">
      <alignment vertical="center" wrapText="1"/>
    </xf>
    <xf numFmtId="0" fontId="23" fillId="37" borderId="41" xfId="0" applyFont="1" applyFill="1" applyBorder="1" applyNumberFormat="1">
      <alignment vertical="center" wrapText="1"/>
    </xf>
    <xf numFmtId="49" fontId="78" fillId="0" borderId="41" xfId="0" applyFont="1" applyBorder="1" applyNumberFormat="1">
      <alignment vertical="top"/>
    </xf>
    <xf numFmtId="49" fontId="78" fillId="0" borderId="41" xfId="0" applyFont="1" applyBorder="1" applyNumberFormat="1">
      <alignment vertical="top"/>
    </xf>
    <xf numFmtId="0" fontId="36" fillId="37" borderId="41" xfId="0" applyFont="1" applyFill="1" applyBorder="1" applyNumberFormat="1">
      <alignment horizontal="center" wrapText="1"/>
    </xf>
    <xf numFmtId="0" fontId="36" fillId="37" borderId="41" xfId="0" applyFont="1" applyFill="1" applyBorder="1" applyNumberFormat="1">
      <alignment horizontal="center" wrapText="1"/>
    </xf>
    <xf numFmtId="0" fontId="23" fillId="37" borderId="41" xfId="0" applyFont="1" applyFill="1" applyBorder="1" applyNumberFormat="1">
      <alignment vertical="center" wrapText="1"/>
    </xf>
    <xf numFmtId="0" fontId="23" fillId="37" borderId="41" xfId="0" applyFont="1" applyFill="1" applyBorder="1" applyNumberFormat="1">
      <alignment vertical="center" wrapText="1"/>
    </xf>
    <xf numFmtId="49" fontId="23" fillId="0" borderId="0" xfId="0" applyFont="1" applyNumberFormat="1">
      <alignment vertical="top"/>
    </xf>
    <xf numFmtId="0" fontId="23" fillId="0" borderId="63" xfId="0" applyFont="1" applyBorder="1" applyNumberFormat="1">
      <alignment horizontal="center" vertical="center"/>
    </xf>
    <xf numFmtId="0" fontId="23" fillId="0" borderId="64" xfId="0" applyFont="1" applyBorder="1" applyNumberFormat="1">
      <alignment horizontal="center" vertical="center"/>
    </xf>
    <xf numFmtId="0" fontId="23" fillId="0" borderId="66" xfId="0" applyFont="1" applyBorder="1" applyNumberFormat="1">
      <alignment horizontal="center" vertical="center"/>
    </xf>
    <xf numFmtId="0" fontId="23" fillId="0" borderId="40" xfId="0" applyFont="1" applyBorder="1" applyNumberFormat="1">
      <alignment vertical="center" wrapText="1"/>
    </xf>
    <xf numFmtId="0" fontId="23" fillId="37" borderId="14" xfId="0" applyFont="1" applyFill="1" applyBorder="1" applyNumberFormat="1">
      <alignment horizontal="center" vertical="center" wrapText="1"/>
    </xf>
    <xf numFmtId="0" fontId="23" fillId="37" borderId="39" xfId="0" applyFont="1" applyFill="1" applyBorder="1" applyNumberFormat="1">
      <alignment horizontal="center" vertical="center" wrapText="1"/>
    </xf>
    <xf numFmtId="0" fontId="23" fillId="37" borderId="22" xfId="0" applyFont="1" applyFill="1" applyBorder="1" applyNumberFormat="1">
      <alignment horizontal="center" vertical="center" wrapText="1"/>
    </xf>
    <xf numFmtId="0" fontId="23" fillId="0" borderId="0" xfId="0" applyFont="1" applyNumberFormat="1">
      <alignment vertical="center" wrapText="1"/>
    </xf>
    <xf numFmtId="0" fontId="23" fillId="37" borderId="0" xfId="0" applyFont="1" applyFill="1" applyNumberFormat="1">
      <alignment vertical="center" wrapText="1"/>
    </xf>
    <xf numFmtId="0" fontId="23" fillId="37" borderId="24" xfId="0" applyFont="1" applyFill="1" applyBorder="1" applyNumberFormat="1">
      <alignment horizontal="center" vertical="center" wrapText="1"/>
    </xf>
    <xf numFmtId="0" fontId="23" fillId="37" borderId="26" xfId="0" applyFont="1" applyFill="1" applyBorder="1" applyNumberFormat="1">
      <alignment horizontal="center" vertical="center" wrapText="1"/>
    </xf>
    <xf numFmtId="49" fontId="23" fillId="0" borderId="0" xfId="0" applyFont="1" applyNumberFormat="1">
      <alignment vertical="top"/>
    </xf>
    <xf numFmtId="0" fontId="23" fillId="0" borderId="0" xfId="0" applyFont="1" applyNumberFormat="1">
      <alignment vertical="center" wrapText="1"/>
    </xf>
    <xf numFmtId="49" fontId="103" fillId="0" borderId="0" xfId="0" applyFont="1" applyNumberFormat="1">
      <alignment horizontal="center" vertical="center" wrapText="1"/>
    </xf>
    <xf numFmtId="0" fontId="23" fillId="37" borderId="0" xfId="0" applyFont="1" applyFill="1" applyNumberFormat="1">
      <alignment vertical="center" wrapText="1"/>
    </xf>
    <xf numFmtId="0" fontId="0" fillId="0" borderId="14" xfId="0" applyFont="1" applyBorder="1" applyNumberFormat="1">
      <alignment horizontal="center" vertical="center" wrapText="1"/>
    </xf>
    <xf numFmtId="49" fontId="23" fillId="0" borderId="0" xfId="0" applyFont="1" applyNumberFormat="1">
      <alignment vertical="top"/>
    </xf>
    <xf numFmtId="0" fontId="23" fillId="37" borderId="32" xfId="0" applyFont="1" applyFill="1" applyBorder="1" applyNumberFormat="1">
      <alignment horizontal="center" vertical="center" wrapText="1"/>
    </xf>
    <xf numFmtId="0" fontId="23" fillId="37" borderId="31" xfId="0" applyFont="1" applyFill="1" applyBorder="1" applyNumberFormat="1">
      <alignment horizontal="center" vertical="center" wrapText="1"/>
    </xf>
    <xf numFmtId="0" fontId="23" fillId="0" borderId="14" xfId="0" applyFont="1" applyBorder="1" applyNumberFormat="1">
      <alignment horizontal="center" vertical="center" wrapText="1"/>
    </xf>
    <xf numFmtId="0" fontId="0" fillId="0" borderId="14" xfId="0" applyFont="1" applyBorder="1" applyNumberFormat="1">
      <alignment horizontal="center" vertical="center" wrapText="1"/>
    </xf>
    <xf numFmtId="0" fontId="23" fillId="0" borderId="14" xfId="0" applyFont="1" applyBorder="1" applyNumberFormat="1">
      <alignment horizontal="center" vertical="center" wrapText="1"/>
    </xf>
    <xf numFmtId="0" fontId="23" fillId="0" borderId="14" xfId="0" applyFont="1" applyBorder="1" applyNumberFormat="1">
      <alignment horizontal="center" vertical="center" wrapText="1"/>
    </xf>
    <xf numFmtId="0" fontId="23" fillId="37" borderId="0" xfId="0" applyFont="1" applyFill="1" applyNumberFormat="1">
      <alignment vertical="center" wrapText="1"/>
    </xf>
    <xf numFmtId="0" fontId="23" fillId="0" borderId="0" xfId="0" applyFont="1" applyNumberFormat="1">
      <alignment vertical="center" wrapText="1"/>
    </xf>
    <xf numFmtId="0" fontId="23" fillId="0" borderId="0" xfId="0" applyFont="1" applyNumberFormat="1">
      <alignment vertical="center" wrapText="1"/>
    </xf>
    <xf numFmtId="0" fontId="23" fillId="0" borderId="0" xfId="0" applyFont="1" applyNumberFormat="1">
      <alignment vertical="center" wrapText="1"/>
    </xf>
    <xf numFmtId="0" fontId="23" fillId="0" borderId="0" xfId="0" applyFont="1" applyNumberFormat="1">
      <alignment vertical="center" wrapText="1"/>
    </xf>
    <xf numFmtId="0" fontId="23" fillId="0" borderId="0" xfId="0" applyFont="1" applyNumberFormat="1">
      <alignment vertical="center"/>
    </xf>
    <xf numFmtId="0" fontId="23" fillId="0" borderId="0" xfId="0" applyFont="1" applyNumberFormat="1">
      <alignment vertical="center"/>
    </xf>
    <xf numFmtId="49" fontId="23" fillId="0" borderId="0" xfId="0" applyFont="1" applyNumberFormat="1">
      <alignment vertical="top"/>
    </xf>
    <xf numFmtId="49" fontId="23" fillId="0" borderId="0" xfId="0" applyFont="1" applyNumberFormat="1">
      <alignment vertical="top"/>
    </xf>
    <xf numFmtId="49" fontId="23" fillId="0" borderId="0" xfId="0" applyFont="1" applyNumberFormat="1">
      <alignment vertical="top"/>
    </xf>
    <xf numFmtId="0" fontId="23" fillId="0" borderId="0" xfId="0" applyFont="1" applyNumberFormat="1">
      <alignment horizontal="left" vertical="center" wrapText="1"/>
    </xf>
    <xf numFmtId="0" fontId="23" fillId="0" borderId="0" xfId="0" applyFont="1" applyNumberFormat="1">
      <alignment vertical="center" wrapText="1"/>
    </xf>
    <xf numFmtId="0" fontId="23" fillId="0" borderId="0" xfId="0" applyFont="1" applyNumberFormat="1">
      <alignment vertical="center" wrapText="1"/>
    </xf>
    <xf numFmtId="0" fontId="40" fillId="0" borderId="0" xfId="0" applyFont="1" applyNumberFormat="1">
      <alignment vertical="center" wrapText="1"/>
    </xf>
    <xf numFmtId="0" fontId="23" fillId="37" borderId="0" xfId="0" applyFont="1" applyFill="1" applyNumberFormat="1">
      <alignment vertical="center" wrapText="1"/>
    </xf>
    <xf numFmtId="0" fontId="23" fillId="37" borderId="21" xfId="0" applyFont="1" applyFill="1" applyBorder="1" applyNumberFormat="1">
      <alignment vertical="center" wrapText="1"/>
    </xf>
    <xf numFmtId="49" fontId="23" fillId="0" borderId="0" xfId="0" applyFont="1" applyNumberFormat="1">
      <alignment vertical="top"/>
    </xf>
    <xf numFmtId="49" fontId="55" fillId="0" borderId="0" xfId="0" applyFont="1" applyNumberFormat="1">
      <alignment vertical="top"/>
    </xf>
    <xf numFmtId="0" fontId="55" fillId="0" borderId="41" xfId="0" applyFont="1" applyBorder="1" applyNumberFormat="1">
      <alignment vertical="center" wrapText="1"/>
    </xf>
    <xf numFmtId="0" fontId="23" fillId="0" borderId="76" xfId="0" applyFont="1" applyBorder="1" applyNumberFormat="1">
      <alignment horizontal="center" vertical="center"/>
    </xf>
    <xf numFmtId="0" fontId="23" fillId="0" borderId="45" xfId="0" applyFont="1" applyBorder="1" applyNumberFormat="1">
      <alignment horizontal="center" vertical="center"/>
    </xf>
    <xf numFmtId="0" fontId="23" fillId="0" borderId="40" xfId="0" applyFont="1" applyBorder="1" applyNumberFormat="1">
      <alignment vertical="center"/>
    </xf>
    <xf numFmtId="49" fontId="0" fillId="0" borderId="19" xfId="0" applyFont="1" applyBorder="1" applyNumberFormat="1">
      <alignment horizontal="center" vertical="center" wrapText="1"/>
    </xf>
    <xf numFmtId="49" fontId="0" fillId="0" borderId="14" xfId="0" applyFont="1" applyBorder="1" applyNumberFormat="1">
      <alignment horizontal="center" vertical="center"/>
    </xf>
    <xf numFmtId="49" fontId="0" fillId="0" borderId="14" xfId="0" applyFont="1" applyBorder="1" applyNumberFormat="1">
      <alignment horizontal="center" vertical="center" wrapText="1"/>
    </xf>
    <xf numFmtId="49" fontId="23" fillId="0" borderId="24" xfId="0" applyFont="1" applyBorder="1" applyNumberFormat="1">
      <alignment vertical="top"/>
    </xf>
    <xf numFmtId="49" fontId="0" fillId="0" borderId="38" xfId="0" applyFont="1" applyBorder="1" applyNumberFormat="1">
      <alignment horizontal="center" vertical="center" wrapText="1"/>
    </xf>
    <xf numFmtId="0" fontId="0" fillId="38" borderId="14" xfId="0" applyFont="1" applyFill="1" applyBorder="1" applyNumberFormat="1">
      <alignment horizontal="center" vertical="center" wrapText="1"/>
    </xf>
    <xf numFmtId="49" fontId="0" fillId="0" borderId="25" xfId="0" applyFont="1" applyBorder="1" applyNumberFormat="1">
      <alignment horizontal="center" vertical="center" wrapText="1"/>
    </xf>
    <xf numFmtId="49" fontId="0" fillId="0" borderId="14" xfId="0" applyFont="1" applyBorder="1" applyNumberFormat="1">
      <alignment horizontal="center" vertical="center"/>
    </xf>
    <xf numFmtId="49" fontId="0" fillId="38" borderId="14" xfId="0" applyFont="1" applyFill="1" applyBorder="1" applyNumberFormat="1">
      <alignment horizontal="center" vertical="center"/>
    </xf>
    <xf numFmtId="0" fontId="23" fillId="0" borderId="24" xfId="0" applyFont="1" applyBorder="1" applyNumberFormat="1">
      <alignment vertical="center" wrapText="1"/>
    </xf>
    <xf numFmtId="49" fontId="0" fillId="0" borderId="14" xfId="0" applyFont="1" applyBorder="1" applyNumberFormat="1">
      <alignment horizontal="center" vertical="center" wrapText="1"/>
    </xf>
    <xf numFmtId="49" fontId="0" fillId="0" borderId="14" xfId="0" applyFont="1" applyBorder="1" applyNumberFormat="1">
      <alignment vertical="center" wrapText="1"/>
    </xf>
    <xf numFmtId="49" fontId="0" fillId="0" borderId="14" xfId="0" applyFont="1" applyBorder="1" applyNumberFormat="1">
      <alignment horizontal="center" vertical="center"/>
    </xf>
    <xf numFmtId="4" fontId="0" fillId="38" borderId="14" xfId="0" applyFont="1" applyFill="1" applyBorder="1" applyNumberFormat="1">
      <alignment horizontal="right" vertical="center" wrapText="1"/>
    </xf>
    <xf numFmtId="49" fontId="0" fillId="0" borderId="14" xfId="0" applyFont="1" applyBorder="1" applyNumberFormat="1">
      <alignment horizontal="left" vertical="center" wrapText="1" indent="2"/>
    </xf>
    <xf numFmtId="4" fontId="0" fillId="39" borderId="14" xfId="0" applyFont="1" applyFill="1" applyBorder="1" applyNumberFormat="1">
      <alignment horizontal="right" vertical="center" wrapText="1"/>
      <protection locked="0"/>
    </xf>
    <xf numFmtId="49" fontId="0" fillId="0" borderId="14" xfId="0" applyFont="1" applyBorder="1" applyNumberFormat="1">
      <alignment horizontal="center" vertical="center" wrapText="1"/>
    </xf>
    <xf numFmtId="49" fontId="0" fillId="0" borderId="14" xfId="0" applyFont="1" applyBorder="1" applyNumberFormat="1">
      <alignment horizontal="left" vertical="center" wrapText="1"/>
    </xf>
    <xf numFmtId="49" fontId="0" fillId="0" borderId="14" xfId="0" applyFont="1" applyBorder="1" applyNumberFormat="1">
      <alignment horizontal="left" vertical="center" wrapText="1" indent="3"/>
    </xf>
    <xf numFmtId="49" fontId="0" fillId="0" borderId="14" xfId="0" applyFont="1" applyBorder="1" applyNumberFormat="1">
      <alignment horizontal="left" vertical="center" wrapText="1"/>
    </xf>
    <xf numFmtId="49" fontId="54" fillId="0" borderId="0" xfId="0" applyFont="1" applyNumberFormat="1">
      <alignment horizontal="center" vertical="center" wrapText="1"/>
    </xf>
    <xf numFmtId="49" fontId="53" fillId="0" borderId="0" xfId="0" applyFont="1" applyNumberFormat="1">
      <alignment vertical="center"/>
    </xf>
    <xf numFmtId="49" fontId="104" fillId="0" borderId="0" xfId="0" applyFont="1" applyNumberFormat="1">
      <alignment vertical="center"/>
    </xf>
    <xf numFmtId="49" fontId="53" fillId="0" borderId="0" xfId="0" applyFont="1" applyNumberFormat="1">
      <alignment vertical="center"/>
    </xf>
    <xf numFmtId="49" fontId="53" fillId="0" borderId="0" xfId="0" applyFont="1" applyNumberFormat="1">
      <alignment vertical="center"/>
    </xf>
    <xf numFmtId="49" fontId="104" fillId="0" borderId="0" xfId="0" applyFont="1" applyNumberFormat="1">
      <alignment vertical="center" wrapText="1"/>
    </xf>
    <xf numFmtId="49" fontId="53" fillId="0" borderId="0" xfId="0" applyFont="1" applyNumberFormat="1">
      <alignment vertical="center" wrapText="1"/>
    </xf>
    <xf numFmtId="49" fontId="53" fillId="0" borderId="0" xfId="0" applyFont="1" applyNumberFormat="1">
      <alignment vertical="top"/>
    </xf>
    <xf numFmtId="49" fontId="53" fillId="0" borderId="0" xfId="0" applyFont="1" applyNumberFormat="1">
      <alignment vertical="center" wrapText="1"/>
    </xf>
    <xf numFmtId="49" fontId="23" fillId="0" borderId="0" xfId="0" applyFont="1" applyNumberFormat="1">
      <alignment horizontal="center" vertical="top" wrapText="1"/>
    </xf>
    <xf numFmtId="49" fontId="40" fillId="0" borderId="0" xfId="0" applyFont="1" applyNumberFormat="1">
      <alignment horizontal="center" vertical="top" wrapText="1"/>
    </xf>
    <xf numFmtId="49" fontId="23" fillId="37" borderId="0" xfId="0" applyFont="1" applyFill="1" applyNumberFormat="1">
      <alignment horizontal="center" vertical="top" wrapText="1"/>
    </xf>
    <xf numFmtId="0" fontId="23" fillId="0" borderId="22" xfId="0" applyFont="1" applyBorder="1" applyNumberFormat="1">
      <alignment horizontal="left" vertical="top" wrapText="1"/>
    </xf>
    <xf numFmtId="49" fontId="23" fillId="0" borderId="0" xfId="0" applyFont="1" applyNumberFormat="1">
      <alignment horizontal="center" vertical="center" wrapText="1"/>
    </xf>
    <xf numFmtId="49" fontId="40" fillId="0" borderId="0" xfId="0" applyFont="1" applyNumberFormat="1">
      <alignment horizontal="center" vertical="center" wrapText="1"/>
    </xf>
    <xf numFmtId="49" fontId="23" fillId="37" borderId="0" xfId="0" applyFont="1" applyFill="1" applyNumberFormat="1">
      <alignment horizontal="center" vertical="center" wrapText="1"/>
    </xf>
    <xf numFmtId="49" fontId="53" fillId="0" borderId="0" xfId="0" applyFont="1" applyNumberFormat="1">
      <alignment horizontal="center" vertical="center" wrapText="1"/>
    </xf>
    <xf numFmtId="49" fontId="104" fillId="0" borderId="0" xfId="0" applyFont="1" applyNumberFormat="1">
      <alignment horizontal="center" vertical="center" wrapText="1"/>
    </xf>
    <xf numFmtId="49" fontId="53" fillId="0" borderId="0" xfId="0" applyFont="1" applyNumberFormat="1">
      <alignment horizontal="center" vertical="center" wrapText="1"/>
    </xf>
    <xf numFmtId="0" fontId="53" fillId="0" borderId="0" xfId="0" applyFont="1" applyNumberFormat="1">
      <alignment horizontal="center" vertical="center" wrapText="1"/>
    </xf>
    <xf numFmtId="49" fontId="53" fillId="0" borderId="0" xfId="0" applyFont="1" applyNumberFormat="1">
      <alignment horizontal="center" vertical="center" wrapText="1"/>
    </xf>
    <xf numFmtId="49" fontId="104" fillId="0" borderId="0" xfId="0" applyFont="1" applyNumberFormat="1">
      <alignment horizontal="center" vertical="center" wrapText="1"/>
    </xf>
    <xf numFmtId="49" fontId="23" fillId="0" borderId="0" xfId="0" applyFont="1" applyNumberFormat="1">
      <alignment horizontal="center" vertical="center" wrapText="1"/>
    </xf>
    <xf numFmtId="0" fontId="23" fillId="0" borderId="0" xfId="0" applyFont="1" applyNumberFormat="1">
      <alignment horizontal="center" vertical="center" wrapText="1"/>
    </xf>
    <xf numFmtId="0" fontId="23" fillId="51" borderId="16" xfId="0" applyFont="1" applyFill="1" applyBorder="1" applyNumberFormat="1">
      <alignment horizontal="center" vertical="center" wrapText="1"/>
    </xf>
    <xf numFmtId="0" fontId="23" fillId="51" borderId="17" xfId="0" applyFont="1" applyFill="1" applyBorder="1" applyNumberFormat="1">
      <alignment horizontal="center" vertical="center" wrapText="1"/>
    </xf>
    <xf numFmtId="0" fontId="23" fillId="51" borderId="15" xfId="0" applyFont="1" applyFill="1" applyBorder="1" applyNumberFormat="1">
      <alignment horizontal="center" vertical="center" wrapText="1"/>
    </xf>
    <xf numFmtId="49" fontId="54" fillId="49" borderId="16" xfId="0" applyFont="1" applyFill="1" applyBorder="1" applyNumberFormat="1">
      <alignment horizontal="center" vertical="center" wrapText="1"/>
    </xf>
    <xf numFmtId="49" fontId="54" fillId="49" borderId="17" xfId="0" applyFont="1" applyFill="1" applyBorder="1" applyNumberFormat="1">
      <alignment horizontal="center" vertical="center" wrapText="1"/>
    </xf>
    <xf numFmtId="49" fontId="54" fillId="49" borderId="15" xfId="0" applyFont="1" applyFill="1" applyBorder="1" applyNumberFormat="1">
      <alignment horizontal="center" vertical="center" wrapText="1"/>
    </xf>
    <xf numFmtId="49" fontId="54" fillId="52" borderId="16" xfId="0" applyFont="1" applyFill="1" applyBorder="1" applyNumberFormat="1">
      <alignment horizontal="center" vertical="center" wrapText="1"/>
    </xf>
    <xf numFmtId="49" fontId="54" fillId="52" borderId="17" xfId="0" applyFont="1" applyFill="1" applyBorder="1" applyNumberFormat="1">
      <alignment horizontal="center" vertical="center" wrapText="1"/>
    </xf>
    <xf numFmtId="49" fontId="54" fillId="52" borderId="15" xfId="0" applyFont="1" applyFill="1" applyBorder="1" applyNumberFormat="1">
      <alignment horizontal="center" vertical="center" wrapText="1"/>
    </xf>
    <xf numFmtId="49" fontId="23" fillId="53" borderId="16" xfId="0" applyFont="1" applyFill="1" applyBorder="1" applyNumberFormat="1">
      <alignment horizontal="center" vertical="center" wrapText="1"/>
    </xf>
    <xf numFmtId="49" fontId="23" fillId="53" borderId="17" xfId="0" applyFont="1" applyFill="1" applyBorder="1" applyNumberFormat="1">
      <alignment horizontal="center" vertical="center" wrapText="1"/>
    </xf>
    <xf numFmtId="49" fontId="23" fillId="34" borderId="21" xfId="0" applyFont="1" applyFill="1" applyBorder="1" applyNumberFormat="1">
      <alignment horizontal="center" vertical="center" wrapText="1"/>
    </xf>
    <xf numFmtId="49" fontId="23" fillId="34" borderId="0" xfId="0" applyFont="1" applyFill="1" applyNumberFormat="1">
      <alignment horizontal="center" vertical="center" wrapText="1"/>
    </xf>
    <xf numFmtId="49" fontId="23" fillId="0" borderId="16" xfId="0" applyFont="1" applyBorder="1" applyNumberFormat="1">
      <alignment horizontal="center" vertical="center" wrapText="1"/>
    </xf>
    <xf numFmtId="49" fontId="23" fillId="0" borderId="17" xfId="0" applyFont="1" applyBorder="1" applyNumberFormat="1">
      <alignment horizontal="center" vertical="center" wrapText="1"/>
    </xf>
    <xf numFmtId="49" fontId="23" fillId="0" borderId="15" xfId="0" applyFont="1" applyBorder="1" applyNumberFormat="1">
      <alignment horizontal="center" vertical="center" wrapText="1"/>
    </xf>
    <xf numFmtId="49" fontId="53" fillId="37" borderId="0" xfId="0" applyFont="1" applyFill="1" applyNumberFormat="1">
      <alignment vertical="center" wrapText="1"/>
    </xf>
    <xf numFmtId="49" fontId="23" fillId="37" borderId="14" xfId="0" applyFont="1" applyFill="1" applyBorder="1" applyNumberFormat="1">
      <alignment horizontal="center" vertical="center" wrapText="1"/>
    </xf>
    <xf numFmtId="49" fontId="23" fillId="34" borderId="14" xfId="0" applyFont="1" applyFill="1" applyBorder="1" applyNumberFormat="1">
      <alignment horizontal="center" vertical="center" wrapText="1"/>
    </xf>
    <xf numFmtId="0" fontId="23" fillId="34" borderId="14" xfId="0" applyFont="1" applyFill="1" applyBorder="1" applyNumberFormat="1">
      <alignment horizontal="center" vertical="center" wrapText="1"/>
    </xf>
    <xf numFmtId="0" fontId="23" fillId="34" borderId="16" xfId="0" applyFont="1" applyFill="1" applyBorder="1" applyNumberFormat="1">
      <alignment horizontal="center" vertical="center" wrapText="1"/>
    </xf>
    <xf numFmtId="0" fontId="23" fillId="37" borderId="16" xfId="0" applyFont="1" applyFill="1" applyBorder="1" applyNumberFormat="1">
      <alignment horizontal="center" vertical="center" wrapText="1"/>
    </xf>
    <xf numFmtId="0" fontId="23" fillId="37" borderId="17" xfId="0" applyFont="1" applyFill="1" applyBorder="1" applyNumberFormat="1">
      <alignment horizontal="center" vertical="center" wrapText="1"/>
    </xf>
    <xf numFmtId="0" fontId="23" fillId="37" borderId="15" xfId="0" applyFont="1" applyFill="1" applyBorder="1" applyNumberFormat="1">
      <alignment horizontal="center" vertical="center" wrapText="1"/>
    </xf>
    <xf numFmtId="0" fontId="23" fillId="34" borderId="15" xfId="0" applyFont="1" applyFill="1" applyBorder="1" applyNumberFormat="1">
      <alignment horizontal="center" vertical="center" wrapText="1"/>
    </xf>
    <xf numFmtId="49" fontId="23" fillId="0" borderId="0" xfId="0" applyFont="1" applyNumberFormat="1">
      <alignment vertical="center" wrapText="1"/>
    </xf>
    <xf numFmtId="49" fontId="53" fillId="0" borderId="0" xfId="0" applyFont="1" applyNumberFormat="1">
      <alignment vertical="top"/>
    </xf>
    <xf numFmtId="0" fontId="23" fillId="37" borderId="22" xfId="0" applyFont="1" applyFill="1" applyBorder="1" applyNumberFormat="1">
      <alignment horizontal="center" vertical="center" wrapText="1"/>
    </xf>
    <xf numFmtId="0" fontId="23" fillId="37" borderId="31" xfId="0" applyFont="1" applyFill="1" applyBorder="1" applyNumberFormat="1">
      <alignment horizontal="center" vertical="center" wrapText="1"/>
    </xf>
    <xf numFmtId="0" fontId="23" fillId="37" borderId="14" xfId="0" applyFont="1" applyFill="1" applyBorder="1" applyNumberFormat="1">
      <alignment horizontal="center" vertical="center" wrapText="1"/>
    </xf>
    <xf numFmtId="49" fontId="23" fillId="34" borderId="29" xfId="0" applyFont="1" applyFill="1" applyBorder="1" applyNumberFormat="1">
      <alignment horizontal="center" vertical="center" wrapText="1"/>
    </xf>
    <xf numFmtId="49" fontId="53" fillId="0" borderId="0" xfId="0" applyFont="1" applyNumberFormat="1">
      <alignment vertical="center"/>
    </xf>
    <xf numFmtId="49" fontId="53" fillId="37" borderId="0" xfId="0" applyFont="1" applyFill="1" applyNumberFormat="1">
      <alignment vertical="center"/>
    </xf>
    <xf numFmtId="49" fontId="44" fillId="0" borderId="14" xfId="0" applyFont="1" applyBorder="1" applyNumberFormat="1">
      <alignment horizontal="center" vertical="center"/>
    </xf>
    <xf numFmtId="49" fontId="44" fillId="34" borderId="14" xfId="0" applyFont="1" applyFill="1" applyBorder="1" applyNumberFormat="1">
      <alignment horizontal="center" vertical="center"/>
    </xf>
    <xf numFmtId="0" fontId="44" fillId="0" borderId="14" xfId="0" applyFont="1" applyBorder="1" applyNumberFormat="1">
      <alignment horizontal="center" vertical="center"/>
    </xf>
    <xf numFmtId="49" fontId="44" fillId="0" borderId="25" xfId="0" applyFont="1" applyBorder="1" applyNumberFormat="1">
      <alignment horizontal="center" vertical="center"/>
    </xf>
    <xf numFmtId="49" fontId="23" fillId="0" borderId="0" xfId="0" applyFont="1" applyNumberFormat="1">
      <alignment vertical="center"/>
    </xf>
    <xf numFmtId="49" fontId="104" fillId="0" borderId="0" xfId="0" applyFont="1" applyNumberFormat="1">
      <alignment vertical="center"/>
    </xf>
    <xf numFmtId="49" fontId="54" fillId="0" borderId="19" xfId="0" applyFont="1" applyBorder="1" applyNumberFormat="1">
      <alignment horizontal="center" vertical="center"/>
    </xf>
    <xf numFmtId="49" fontId="23" fillId="0" borderId="19" xfId="0" applyFont="1" applyBorder="1" applyNumberFormat="1">
      <alignment horizontal="center" vertical="center"/>
    </xf>
    <xf numFmtId="0" fontId="23" fillId="0" borderId="19" xfId="0" applyFont="1" applyBorder="1" applyNumberFormat="1">
      <alignment horizontal="right" vertical="center"/>
    </xf>
    <xf numFmtId="0" fontId="23" fillId="0" borderId="19" xfId="0" applyFont="1" applyBorder="1" applyNumberFormat="1">
      <alignment horizontal="center" vertical="center"/>
    </xf>
    <xf numFmtId="0" fontId="23" fillId="0" borderId="14" xfId="0" applyFont="1" applyBorder="1" applyNumberFormat="1">
      <alignment horizontal="right" vertical="center"/>
    </xf>
    <xf numFmtId="49" fontId="23" fillId="0" borderId="0" xfId="0" applyFont="1" applyNumberFormat="1">
      <alignment vertical="center"/>
    </xf>
    <xf numFmtId="49" fontId="53" fillId="0" borderId="0" xfId="0" applyFont="1" applyNumberFormat="1">
      <alignment vertical="top"/>
    </xf>
    <xf numFmtId="4" fontId="53" fillId="37" borderId="0" xfId="0" applyFont="1" applyFill="1" applyNumberFormat="1">
      <alignment vertical="center"/>
    </xf>
    <xf numFmtId="49" fontId="53" fillId="0" borderId="0" xfId="0" applyFont="1" applyNumberFormat="1">
      <alignment vertical="center" wrapText="1"/>
    </xf>
    <xf numFmtId="49" fontId="53" fillId="0" borderId="0" xfId="0" applyFont="1" applyNumberFormat="1">
      <alignment vertical="top"/>
    </xf>
    <xf numFmtId="0" fontId="53" fillId="0" borderId="0" xfId="0" applyFont="1" applyNumberFormat="1">
      <alignment vertical="center" wrapText="1"/>
    </xf>
    <xf numFmtId="49" fontId="99" fillId="0" borderId="0" xfId="0" applyFont="1" applyNumberFormat="1">
      <alignment vertical="center" wrapText="1"/>
    </xf>
    <xf numFmtId="49" fontId="53" fillId="0" borderId="0" xfId="0" applyFont="1" applyNumberFormat="1">
      <alignment vertical="center" wrapText="1"/>
    </xf>
    <xf numFmtId="49" fontId="104" fillId="0" borderId="0" xfId="0" applyFont="1" applyNumberFormat="1">
      <alignment vertical="center" wrapText="1"/>
    </xf>
    <xf numFmtId="0" fontId="44" fillId="0" borderId="0" xfId="0" applyFont="1" applyNumberFormat="1">
      <alignment horizontal="center" vertical="center" wrapText="1"/>
    </xf>
    <xf numFmtId="0" fontId="23" fillId="0" borderId="14" xfId="0" applyFont="1" applyBorder="1" applyNumberFormat="1">
      <alignment horizontal="center" vertical="center" wrapText="1"/>
    </xf>
    <xf numFmtId="0" fontId="23" fillId="38" borderId="16" xfId="0" applyFont="1" applyFill="1" applyBorder="1" applyNumberFormat="1">
      <alignment horizontal="left" vertical="top" wrapText="1" indent="1"/>
    </xf>
    <xf numFmtId="0" fontId="23" fillId="0" borderId="16" xfId="0" applyFont="1" applyBorder="1" applyNumberFormat="1">
      <alignment horizontal="center" vertical="center" wrapText="1"/>
    </xf>
    <xf numFmtId="0" fontId="23" fillId="0" borderId="14" xfId="0" applyFont="1" applyBorder="1" applyNumberFormat="1">
      <alignment horizontal="left" vertical="top" wrapText="1"/>
    </xf>
    <xf numFmtId="3" fontId="23" fillId="42" borderId="16" xfId="0" applyFont="1" applyFill="1" applyBorder="1" applyNumberFormat="1">
      <alignment vertical="center" wrapText="1"/>
      <protection locked="0"/>
    </xf>
    <xf numFmtId="0" fontId="23" fillId="0" borderId="14" xfId="0" applyFont="1" applyBorder="1" applyNumberFormat="1">
      <alignment vertical="top" wrapText="1"/>
    </xf>
    <xf numFmtId="0" fontId="23" fillId="0" borderId="14" xfId="0" applyFont="1" applyBorder="1" applyNumberFormat="1">
      <alignment horizontal="left" vertical="top" wrapText="1"/>
    </xf>
    <xf numFmtId="4" fontId="23" fillId="38" borderId="16" xfId="0" applyFont="1" applyFill="1" applyBorder="1" applyNumberFormat="1">
      <alignment horizontal="right" vertical="center" wrapText="1"/>
    </xf>
    <xf numFmtId="0" fontId="54" fillId="0" borderId="14" xfId="0" applyFont="1" applyBorder="1" applyNumberFormat="1">
      <alignment vertical="top" wrapText="1"/>
    </xf>
    <xf numFmtId="0" fontId="45" fillId="0" borderId="0" xfId="0" applyFont="1" applyNumberFormat="1">
      <alignment horizontal="center" vertical="center" wrapText="1"/>
    </xf>
    <xf numFmtId="49" fontId="23" fillId="42" borderId="14" xfId="0" applyFont="1" applyFill="1" applyBorder="1" applyNumberFormat="1">
      <alignment horizontal="left" vertical="center" wrapText="1" indent="1"/>
      <protection locked="0"/>
    </xf>
    <xf numFmtId="0" fontId="23" fillId="0" borderId="0" xfId="0" applyFont="1" applyNumberFormat="1">
      <alignment horizontal="left" vertical="center" wrapText="1" indent="2"/>
    </xf>
    <xf numFmtId="0" fontId="47" fillId="37" borderId="0" xfId="0" applyFont="1" applyFill="1" applyNumberFormat="1">
      <alignment vertical="center" wrapText="1"/>
    </xf>
    <xf numFmtId="0" fontId="23" fillId="37" borderId="0" xfId="0" applyFont="1" applyFill="1" applyNumberFormat="1">
      <alignment vertical="center" wrapText="1"/>
    </xf>
    <xf numFmtId="0" fontId="23" fillId="37" borderId="0" xfId="0" applyFont="1" applyFill="1" applyNumberFormat="1">
      <alignment horizontal="right" vertical="center" wrapText="1"/>
    </xf>
    <xf numFmtId="0" fontId="23" fillId="0" borderId="22" xfId="0" applyFont="1" applyBorder="1" applyNumberFormat="1">
      <alignment horizontal="left" vertical="top" wrapText="1" indent="1"/>
    </xf>
    <xf numFmtId="0" fontId="23" fillId="0" borderId="19" xfId="0" applyFont="1" applyBorder="1" applyNumberFormat="1">
      <alignment horizontal="left" vertical="top" wrapText="1" indent="1"/>
    </xf>
    <xf numFmtId="0" fontId="23" fillId="0" borderId="39" xfId="0" applyFont="1" applyBorder="1" applyNumberFormat="1">
      <alignment horizontal="left" vertical="top" wrapText="1" indent="1"/>
    </xf>
    <xf numFmtId="49" fontId="23" fillId="0" borderId="0" xfId="0" applyFont="1" applyNumberFormat="1">
      <alignment vertical="center" wrapText="1"/>
    </xf>
    <xf numFmtId="0" fontId="23" fillId="0" borderId="31" xfId="0" applyFont="1" applyBorder="1" applyNumberFormat="1">
      <alignment horizontal="left" vertical="center" wrapText="1" indent="1"/>
    </xf>
    <xf numFmtId="0" fontId="23" fillId="0" borderId="25" xfId="0" applyFont="1" applyBorder="1" applyNumberFormat="1">
      <alignment horizontal="left" vertical="center" wrapText="1" indent="1"/>
    </xf>
    <xf numFmtId="0" fontId="23" fillId="0" borderId="32" xfId="0" applyFont="1" applyBorder="1" applyNumberFormat="1">
      <alignment horizontal="left" vertical="center" wrapText="1" indent="1"/>
    </xf>
    <xf numFmtId="0" fontId="23" fillId="37" borderId="0" xfId="0" applyFont="1" applyFill="1" applyNumberFormat="1">
      <alignment horizontal="center" vertical="center" wrapText="1"/>
    </xf>
    <xf numFmtId="0" fontId="23" fillId="37" borderId="0" xfId="0" applyFont="1" applyFill="1" applyNumberFormat="1">
      <alignment horizontal="right" vertical="center"/>
    </xf>
    <xf numFmtId="49" fontId="23" fillId="0" borderId="0" xfId="0" applyFont="1" applyNumberFormat="1">
      <alignment vertical="center" wrapText="1"/>
    </xf>
    <xf numFmtId="0" fontId="23" fillId="37" borderId="0" xfId="0" applyFont="1" applyFill="1" applyNumberFormat="1">
      <alignment horizontal="center" vertical="center" wrapText="1"/>
    </xf>
    <xf numFmtId="0" fontId="23" fillId="37" borderId="14" xfId="0" applyFont="1" applyFill="1" applyBorder="1" applyNumberFormat="1">
      <alignment horizontal="center" vertical="center"/>
    </xf>
    <xf numFmtId="0" fontId="23" fillId="37" borderId="14" xfId="0" applyFont="1" applyFill="1" applyBorder="1" applyNumberFormat="1">
      <alignment horizontal="center" vertical="center" wrapText="1"/>
    </xf>
    <xf numFmtId="0" fontId="0" fillId="0" borderId="14" xfId="0" applyFont="1" applyBorder="1" applyNumberFormat="1">
      <alignment horizontal="center" vertical="center" wrapText="1"/>
    </xf>
    <xf numFmtId="49" fontId="44" fillId="37" borderId="0" xfId="0" applyFont="1" applyFill="1" applyNumberFormat="1">
      <alignment horizontal="center" vertical="center" wrapText="1"/>
    </xf>
    <xf numFmtId="49" fontId="23" fillId="0" borderId="0" xfId="0" applyFont="1" applyNumberFormat="1">
      <alignment vertical="top"/>
    </xf>
    <xf numFmtId="49" fontId="0" fillId="37" borderId="14" xfId="0" applyFont="1" applyFill="1" applyBorder="1" applyNumberFormat="1">
      <alignment horizontal="center" vertical="center" wrapText="1"/>
    </xf>
    <xf numFmtId="0" fontId="0" fillId="0" borderId="14" xfId="0" applyFont="1" applyBorder="1" applyNumberFormat="1">
      <alignment vertical="center" wrapText="1"/>
    </xf>
    <xf numFmtId="0" fontId="0" fillId="0" borderId="14" xfId="0" applyFont="1" applyBorder="1" applyNumberFormat="1">
      <alignment horizontal="center" vertical="center" wrapText="1"/>
    </xf>
    <xf numFmtId="0" fontId="23" fillId="0" borderId="14" xfId="0" applyFont="1" applyBorder="1" applyNumberFormat="1">
      <alignment vertical="center" wrapText="1"/>
    </xf>
    <xf numFmtId="0" fontId="0" fillId="0" borderId="14" xfId="0" applyFont="1" applyBorder="1" applyNumberFormat="1">
      <alignment horizontal="left" vertical="center" wrapText="1" indent="1"/>
    </xf>
    <xf numFmtId="0" fontId="0" fillId="42" borderId="14" xfId="0" applyFont="1" applyFill="1" applyBorder="1" applyNumberFormat="1">
      <alignment horizontal="left" vertical="center" wrapText="1" indent="2"/>
      <protection locked="0"/>
    </xf>
    <xf numFmtId="49" fontId="34" fillId="42" borderId="14" xfId="0" applyFont="1" applyFill="1" applyBorder="1" applyNumberFormat="1">
      <alignment horizontal="left" vertical="center" wrapText="1"/>
      <protection locked="0"/>
    </xf>
    <xf numFmtId="0" fontId="23" fillId="40" borderId="16" xfId="0" applyFont="1" applyFill="1" applyBorder="1" applyNumberFormat="1">
      <alignment vertical="center" wrapText="1"/>
    </xf>
    <xf numFmtId="49" fontId="48" fillId="40" borderId="17" xfId="0" applyFont="1" applyFill="1" applyBorder="1" applyNumberFormat="1">
      <alignment horizontal="left" vertical="center" indent="2"/>
    </xf>
    <xf numFmtId="49" fontId="52" fillId="40" borderId="15" xfId="0" applyFont="1" applyFill="1" applyBorder="1" applyNumberFormat="1">
      <alignment horizontal="center" vertical="top"/>
    </xf>
    <xf numFmtId="0" fontId="23" fillId="0" borderId="0" xfId="0" applyFont="1" applyNumberFormat="1">
      <alignment vertical="center" wrapText="1"/>
    </xf>
    <xf numFmtId="49" fontId="23" fillId="0" borderId="0" xfId="0" applyFont="1" applyNumberFormat="1">
      <alignment vertical="top"/>
    </xf>
    <xf numFmtId="0" fontId="54" fillId="0" borderId="0" xfId="0" applyFont="1" applyNumberFormat="1">
      <alignment vertical="center" wrapText="1"/>
    </xf>
    <xf numFmtId="0" fontId="47" fillId="37" borderId="0" xfId="0" applyFont="1" applyFill="1" applyNumberFormat="1">
      <alignment vertical="center" wrapText="1"/>
    </xf>
    <xf numFmtId="49" fontId="52" fillId="40" borderId="17" xfId="0" applyFont="1" applyFill="1" applyBorder="1" applyNumberFormat="1">
      <alignment horizontal="center" vertical="top"/>
    </xf>
    <xf numFmtId="0" fontId="55" fillId="0" borderId="0" xfId="0" applyFont="1" applyNumberFormat="1">
      <alignment vertical="center"/>
    </xf>
    <xf numFmtId="49" fontId="0" fillId="37" borderId="14" xfId="0" applyFont="1" applyFill="1" applyBorder="1" applyNumberFormat="1">
      <alignment horizontal="center" vertical="center" wrapText="1"/>
    </xf>
    <xf numFmtId="0" fontId="0" fillId="0" borderId="14" xfId="0" applyFont="1" applyBorder="1" applyNumberFormat="1">
      <alignment horizontal="left" vertical="center" wrapText="1" indent="1"/>
    </xf>
    <xf numFmtId="0" fontId="0" fillId="37" borderId="14" xfId="0" applyFont="1" applyFill="1" applyBorder="1" applyNumberFormat="1">
      <alignment horizontal="center" vertical="center" wrapText="1"/>
    </xf>
    <xf numFmtId="0" fontId="0" fillId="0" borderId="14" xfId="0" applyFont="1" applyBorder="1" applyNumberFormat="1">
      <alignment horizontal="left" vertical="center" wrapText="1" indent="1"/>
    </xf>
    <xf numFmtId="49" fontId="72" fillId="0" borderId="14" xfId="0" applyFont="1" applyBorder="1" applyNumberFormat="1">
      <alignment horizontal="center" vertical="center" wrapText="1"/>
    </xf>
    <xf numFmtId="0" fontId="72" fillId="0" borderId="14" xfId="0" applyFont="1" applyBorder="1" applyNumberFormat="1">
      <alignment horizontal="left" vertical="center" wrapText="1" indent="2"/>
    </xf>
    <xf numFmtId="49" fontId="75" fillId="0" borderId="16" xfId="0" applyFont="1" applyBorder="1" applyNumberFormat="1">
      <alignment horizontal="left" vertical="center" wrapText="1"/>
    </xf>
    <xf numFmtId="0" fontId="23" fillId="0" borderId="19" xfId="0" applyFont="1" applyBorder="1" applyNumberFormat="1">
      <alignment vertical="top" wrapText="1"/>
    </xf>
    <xf numFmtId="49" fontId="48" fillId="40" borderId="17" xfId="0" applyFont="1" applyFill="1" applyBorder="1" applyNumberFormat="1">
      <alignment horizontal="left" vertical="center" indent="1"/>
    </xf>
    <xf numFmtId="0" fontId="23" fillId="0" borderId="25" xfId="0" applyFont="1" applyBorder="1" applyNumberFormat="1">
      <alignment vertical="top" wrapText="1"/>
    </xf>
    <xf numFmtId="49" fontId="0" fillId="37" borderId="14" xfId="0" applyFont="1" applyFill="1" applyBorder="1" applyNumberFormat="1">
      <alignment horizontal="center" vertical="center" wrapText="1"/>
    </xf>
    <xf numFmtId="0" fontId="0" fillId="0" borderId="14" xfId="0" applyFont="1" applyBorder="1" applyNumberFormat="1">
      <alignment horizontal="center" vertical="center" wrapText="1"/>
    </xf>
    <xf numFmtId="0" fontId="23" fillId="0" borderId="14" xfId="0" applyFont="1" applyBorder="1" applyNumberFormat="1">
      <alignment vertical="center" wrapText="1"/>
    </xf>
    <xf numFmtId="0" fontId="0" fillId="0" borderId="14" xfId="0" applyFont="1" applyBorder="1" applyNumberFormat="1">
      <alignment horizontal="left" vertical="center" wrapText="1" indent="1"/>
    </xf>
    <xf numFmtId="0" fontId="23" fillId="0" borderId="0" xfId="0" applyFont="1" applyNumberFormat="1">
      <alignment vertical="top" wrapText="1"/>
    </xf>
    <xf numFmtId="49" fontId="23" fillId="0" borderId="0" xfId="0" applyFont="1" applyNumberFormat="1">
      <alignment vertical="center" wrapText="1"/>
    </xf>
    <xf numFmtId="0" fontId="54" fillId="0" borderId="0" xfId="0" applyFont="1" applyNumberFormat="1">
      <alignment vertical="center" wrapText="1"/>
    </xf>
    <xf numFmtId="0" fontId="47" fillId="0" borderId="0" xfId="0" applyFont="1" applyNumberFormat="1">
      <alignment vertical="center" wrapText="1"/>
    </xf>
    <xf numFmtId="49" fontId="54" fillId="0" borderId="0" xfId="0" applyFont="1" applyNumberFormat="1">
      <alignment vertical="top"/>
    </xf>
    <xf numFmtId="49" fontId="126" fillId="0" borderId="0" xfId="0" applyFont="1" applyNumberFormat="1">
      <alignment horizontal="center" vertical="center" wrapText="1"/>
    </xf>
    <xf numFmtId="0" fontId="0" fillId="42" borderId="14" xfId="0" applyFont="1" applyFill="1" applyBorder="1" applyNumberFormat="1">
      <alignment horizontal="left" vertical="center" wrapText="1" indent="1"/>
      <protection locked="0"/>
    </xf>
    <xf numFmtId="49" fontId="34" fillId="42" borderId="14" xfId="0" applyFont="1" applyFill="1" applyBorder="1" applyNumberFormat="1">
      <alignment horizontal="left" vertical="center" wrapText="1"/>
      <protection locked="0"/>
    </xf>
    <xf numFmtId="0" fontId="47" fillId="0" borderId="0" xfId="0" applyFont="1" applyNumberFormat="1">
      <alignment vertical="center" wrapText="1"/>
    </xf>
    <xf numFmtId="0" fontId="0" fillId="0" borderId="14" xfId="0" applyFont="1" applyBorder="1" applyNumberFormat="1">
      <alignment horizontal="left" vertical="center" wrapText="1" indent="1"/>
    </xf>
    <xf numFmtId="0" fontId="0" fillId="42" borderId="14" xfId="0" applyFont="1" applyFill="1" applyBorder="1" applyNumberFormat="1">
      <alignment horizontal="left" vertical="center" wrapText="1"/>
      <protection locked="0"/>
    </xf>
    <xf numFmtId="0" fontId="0" fillId="0" borderId="14" xfId="0" applyFont="1" applyBorder="1" applyNumberFormat="1">
      <alignment horizontal="left" vertical="center" wrapText="1" indent="2"/>
    </xf>
    <xf numFmtId="49" fontId="23" fillId="43" borderId="14" xfId="0" applyFont="1" applyFill="1" applyBorder="1" applyNumberFormat="1">
      <alignment horizontal="left" vertical="center" wrapText="1"/>
    </xf>
    <xf numFmtId="0" fontId="0" fillId="0" borderId="14" xfId="0" applyFont="1" applyBorder="1" applyNumberFormat="1">
      <alignment horizontal="left" vertical="center" wrapText="1"/>
    </xf>
    <xf numFmtId="167" fontId="0" fillId="42" borderId="14" xfId="0" applyFont="1" applyFill="1" applyBorder="1" applyNumberFormat="1">
      <alignment horizontal="left" vertical="center" wrapText="1"/>
      <protection locked="0"/>
    </xf>
    <xf numFmtId="0" fontId="23" fillId="0" borderId="14" xfId="0" applyFont="1" applyBorder="1" applyNumberFormat="1">
      <alignment horizontal="left" vertical="top" wrapText="1"/>
    </xf>
    <xf numFmtId="0" fontId="0" fillId="0" borderId="14" xfId="0" applyFont="1" applyBorder="1" applyNumberFormat="1">
      <alignment horizontal="left" vertical="center" wrapText="1"/>
    </xf>
    <xf numFmtId="0" fontId="23" fillId="0" borderId="14" xfId="0" applyFont="1" applyBorder="1" applyNumberFormat="1">
      <alignment horizontal="left" vertical="center" wrapText="1"/>
    </xf>
    <xf numFmtId="0" fontId="0" fillId="0" borderId="14" xfId="0" applyFont="1" applyBorder="1" applyNumberFormat="1">
      <alignment horizontal="left" vertical="center" wrapText="1"/>
    </xf>
    <xf numFmtId="0" fontId="23" fillId="0" borderId="14" xfId="0" applyFont="1" applyBorder="1" applyNumberFormat="1">
      <alignment vertical="top" wrapText="1"/>
    </xf>
    <xf numFmtId="49" fontId="48" fillId="40" borderId="17" xfId="0" applyFont="1" applyFill="1" applyBorder="1" applyNumberFormat="1">
      <alignment horizontal="left" vertical="center" indent="2"/>
    </xf>
    <xf numFmtId="49" fontId="48" fillId="40" borderId="17" xfId="0" applyFont="1" applyFill="1" applyBorder="1" applyNumberFormat="1">
      <alignment horizontal="left" vertical="center" indent="3"/>
    </xf>
    <xf numFmtId="49" fontId="23" fillId="43" borderId="14" xfId="0" applyFont="1" applyFill="1" applyBorder="1" applyNumberFormat="1">
      <alignment horizontal="left" vertical="center" wrapText="1"/>
    </xf>
    <xf numFmtId="49" fontId="23" fillId="0" borderId="0" xfId="0" applyFont="1" applyNumberFormat="1">
      <alignment vertical="top"/>
    </xf>
    <xf numFmtId="49" fontId="55" fillId="0" borderId="0" xfId="0" applyFont="1" applyNumberFormat="1">
      <alignment vertical="top"/>
    </xf>
    <xf numFmtId="0" fontId="23" fillId="0" borderId="0" xfId="0" applyFont="1" applyNumberFormat="1">
      <alignment horizontal="right" vertical="top" wrapText="1"/>
    </xf>
    <xf numFmtId="49" fontId="23" fillId="0" borderId="0" xfId="0" applyFont="1" applyNumberFormat="1">
      <alignment vertical="top" wrapText="1"/>
    </xf>
    <xf numFmtId="49" fontId="23" fillId="0" borderId="0" xfId="0" applyFont="1" applyNumberFormat="1">
      <alignment vertical="top"/>
    </xf>
    <xf numFmtId="0" fontId="0" fillId="0" borderId="15" xfId="0" applyFont="1" applyBorder="1" applyNumberFormat="1">
      <alignment horizontal="center" vertical="center" wrapText="1"/>
    </xf>
    <xf numFmtId="167" fontId="0" fillId="42" borderId="15" xfId="0" applyFont="1" applyFill="1" applyBorder="1" applyNumberFormat="1">
      <alignment horizontal="left" vertical="center" wrapText="1"/>
      <protection locked="0"/>
    </xf>
    <xf numFmtId="167" fontId="0" fillId="42" borderId="16" xfId="0" applyFont="1" applyFill="1" applyBorder="1" applyNumberFormat="1">
      <alignment horizontal="left" vertical="center" wrapText="1"/>
      <protection locked="0"/>
    </xf>
    <xf numFmtId="0" fontId="23" fillId="43" borderId="14" xfId="0" applyFont="1" applyFill="1" applyBorder="1" applyNumberFormat="1">
      <alignment horizontal="left" vertical="center" wrapText="1"/>
    </xf>
    <xf numFmtId="0" fontId="0" fillId="0" borderId="38" xfId="0" applyFont="1" applyBorder="1" applyNumberFormat="1">
      <alignment horizontal="center" vertical="center" wrapText="1"/>
    </xf>
    <xf numFmtId="49" fontId="52" fillId="40" borderId="15" xfId="0" applyFont="1" applyFill="1" applyBorder="1" applyNumberFormat="1">
      <alignment horizontal="center" vertical="top"/>
    </xf>
    <xf numFmtId="0" fontId="0" fillId="0" borderId="15" xfId="0" applyFont="1" applyBorder="1" applyNumberFormat="1">
      <alignment horizontal="center" vertical="center" wrapText="1"/>
    </xf>
    <xf numFmtId="0" fontId="23" fillId="0" borderId="0" xfId="0" applyFont="1" applyNumberFormat="1">
      <alignment horizontal="left" vertical="center" wrapText="1" indent="1"/>
    </xf>
    <xf numFmtId="0" fontId="0" fillId="0" borderId="14" xfId="0" applyFont="1" applyBorder="1" applyNumberFormat="1">
      <alignment horizontal="center" vertical="center" wrapText="1"/>
    </xf>
    <xf numFmtId="0" fontId="23" fillId="0" borderId="17" xfId="0" applyFont="1" applyBorder="1" applyNumberFormat="1">
      <alignment horizontal="left" vertical="top" wrapText="1" indent="1"/>
    </xf>
    <xf numFmtId="0" fontId="22" fillId="0" borderId="0" xfId="0" applyFont="1" applyNumberFormat="1">
      <alignment vertical="center" wrapText="1"/>
    </xf>
    <xf numFmtId="0" fontId="0" fillId="37" borderId="16" xfId="0" applyFont="1" applyFill="1" applyBorder="1" applyNumberFormat="1">
      <alignment horizontal="right" vertical="center" wrapText="1" indent="1"/>
    </xf>
    <xf numFmtId="0" fontId="76" fillId="0" borderId="0" xfId="0" applyFont="1" applyNumberFormat="1">
      <alignment vertical="center" wrapText="1"/>
    </xf>
    <xf numFmtId="49" fontId="44" fillId="37" borderId="0" xfId="0" applyFont="1" applyFill="1" applyNumberFormat="1">
      <alignment horizontal="center" vertical="center" wrapText="1"/>
    </xf>
    <xf numFmtId="49" fontId="44" fillId="37" borderId="21" xfId="0" applyFont="1" applyFill="1" applyBorder="1" applyNumberFormat="1">
      <alignment horizontal="center" vertical="center" wrapText="1"/>
    </xf>
    <xf numFmtId="49" fontId="0" fillId="37" borderId="19" xfId="0" applyFont="1" applyFill="1" applyBorder="1" applyNumberFormat="1">
      <alignment horizontal="center" vertical="center" wrapText="1"/>
    </xf>
    <xf numFmtId="0" fontId="0" fillId="0" borderId="19" xfId="0" applyFont="1" applyBorder="1" applyNumberFormat="1">
      <alignment horizontal="left" vertical="center" wrapText="1"/>
    </xf>
    <xf numFmtId="0" fontId="0" fillId="0" borderId="19" xfId="0" applyFont="1" applyBorder="1" applyNumberFormat="1">
      <alignment horizontal="left" vertical="center" wrapText="1"/>
    </xf>
    <xf numFmtId="0" fontId="23" fillId="0" borderId="14" xfId="0" applyFont="1" applyBorder="1" applyNumberFormat="1">
      <alignment horizontal="left" vertical="center" wrapText="1"/>
    </xf>
    <xf numFmtId="0" fontId="47" fillId="37" borderId="0" xfId="0" applyFont="1" applyFill="1" applyNumberFormat="1">
      <alignment horizontal="center" vertical="top" wrapText="1"/>
    </xf>
    <xf numFmtId="0" fontId="0" fillId="38" borderId="16" xfId="0" applyFont="1" applyFill="1" applyBorder="1" applyNumberFormat="1">
      <alignment horizontal="left" vertical="center" wrapText="1" indent="1"/>
    </xf>
    <xf numFmtId="0" fontId="0" fillId="0" borderId="15" xfId="0" applyFont="1" applyBorder="1" applyNumberFormat="1">
      <alignment horizontal="center" vertical="center" wrapText="1"/>
    </xf>
    <xf numFmtId="0" fontId="0" fillId="0" borderId="15" xfId="0" applyFont="1" applyBorder="1" applyNumberFormat="1">
      <alignment horizontal="center" vertical="center" wrapText="1"/>
    </xf>
    <xf numFmtId="49" fontId="48" fillId="40" borderId="29" xfId="0" applyFont="1" applyFill="1" applyBorder="1" applyNumberFormat="1">
      <alignment horizontal="left" vertical="center" indent="2"/>
    </xf>
    <xf numFmtId="49" fontId="48" fillId="40" borderId="17" xfId="0" applyFont="1" applyFill="1" applyBorder="1" applyNumberFormat="1">
      <alignment horizontal="left" vertical="center"/>
    </xf>
    <xf numFmtId="0" fontId="47" fillId="37" borderId="26" xfId="0" applyFont="1" applyFill="1" applyBorder="1" applyNumberFormat="1">
      <alignment horizontal="center" vertical="top" wrapText="1"/>
    </xf>
    <xf numFmtId="49" fontId="0" fillId="37" borderId="25" xfId="0" applyFont="1" applyFill="1" applyBorder="1" applyNumberFormat="1">
      <alignment horizontal="center" vertical="center" wrapText="1"/>
    </xf>
    <xf numFmtId="0" fontId="0" fillId="38" borderId="25" xfId="0" applyFont="1" applyFill="1" applyBorder="1" applyNumberFormat="1">
      <alignment horizontal="left" vertical="center" wrapText="1" indent="1"/>
    </xf>
    <xf numFmtId="0" fontId="23" fillId="0" borderId="14" xfId="0" applyFont="1" applyBorder="1" applyNumberFormat="1">
      <alignment vertical="top" wrapText="1"/>
    </xf>
    <xf numFmtId="49" fontId="0" fillId="37" borderId="16" xfId="0" applyFont="1" applyFill="1" applyBorder="1" applyNumberFormat="1">
      <alignment horizontal="center" vertical="center" wrapText="1"/>
    </xf>
    <xf numFmtId="0" fontId="23" fillId="0" borderId="38" xfId="0" applyFont="1" applyBorder="1" applyNumberFormat="1">
      <alignment horizontal="left" vertical="top" wrapText="1"/>
    </xf>
    <xf numFmtId="49" fontId="23" fillId="0" borderId="0" xfId="0" applyFont="1" applyNumberFormat="1">
      <alignment vertical="top"/>
    </xf>
    <xf numFmtId="49" fontId="23" fillId="0" borderId="21" xfId="0" applyFont="1" applyBorder="1" applyNumberFormat="1">
      <alignment vertical="top"/>
    </xf>
    <xf numFmtId="0" fontId="22" fillId="0" borderId="0" xfId="0" applyFont="1" applyNumberFormat="1">
      <alignment horizontal="right" vertical="top" wrapText="1"/>
    </xf>
    <xf numFmtId="49" fontId="23" fillId="0" borderId="0" xfId="0" applyFont="1" applyNumberFormat="1">
      <alignment vertical="top" wrapText="1"/>
    </xf>
    <xf numFmtId="0" fontId="23" fillId="0" borderId="0" xfId="0" applyFont="1" applyNumberFormat="1">
      <alignment vertical="top" wrapText="1"/>
    </xf>
    <xf numFmtId="0" fontId="23" fillId="0" borderId="0" xfId="0" applyFont="1" applyNumberFormat="1">
      <alignment vertical="center" wrapText="1"/>
    </xf>
    <xf numFmtId="0" fontId="55" fillId="0" borderId="0" xfId="0" applyFont="1" applyNumberFormat="1">
      <alignment vertical="center"/>
    </xf>
    <xf numFmtId="49" fontId="23" fillId="0" borderId="0" xfId="0" applyFont="1" applyNumberFormat="1">
      <alignment vertical="top"/>
    </xf>
    <xf numFmtId="49" fontId="0" fillId="42" borderId="14" xfId="0" applyFont="1" applyFill="1" applyBorder="1" applyNumberFormat="1">
      <alignment horizontal="left" vertical="center" wrapText="1" indent="1"/>
      <protection locked="0"/>
    </xf>
    <xf numFmtId="0" fontId="23" fillId="0" borderId="0" xfId="0" applyFont="1" applyNumberFormat="1">
      <alignment vertical="center" wrapText="1"/>
    </xf>
    <xf numFmtId="0" fontId="69" fillId="0" borderId="0" xfId="0" applyFont="1" applyNumberFormat="1">
      <alignment vertical="center" wrapText="1"/>
    </xf>
    <xf numFmtId="0" fontId="23" fillId="37" borderId="14" xfId="0" applyFont="1" applyFill="1" applyBorder="1" applyNumberFormat="1">
      <alignment horizontal="center" vertical="center" wrapText="1"/>
    </xf>
    <xf numFmtId="0" fontId="0" fillId="0" borderId="14" xfId="0" applyFont="1" applyBorder="1" applyNumberFormat="1">
      <alignment horizontal="left" vertical="top" wrapText="1"/>
    </xf>
    <xf numFmtId="0" fontId="45" fillId="37" borderId="0" xfId="0" applyFont="1" applyFill="1" applyNumberFormat="1">
      <alignment horizontal="center" vertical="center" wrapText="1"/>
    </xf>
    <xf numFmtId="0" fontId="0" fillId="0" borderId="14" xfId="0" applyFont="1" applyBorder="1" applyNumberFormat="1">
      <alignment horizontal="left" vertical="center" wrapText="1"/>
    </xf>
    <xf numFmtId="0" fontId="23" fillId="0" borderId="21" xfId="0" applyFont="1" applyBorder="1" applyNumberFormat="1">
      <alignment vertical="center" wrapText="1"/>
    </xf>
    <xf numFmtId="49" fontId="48" fillId="0" borderId="21" xfId="0" applyFont="1" applyBorder="1" applyNumberFormat="1">
      <alignment horizontal="left" vertical="center"/>
    </xf>
    <xf numFmtId="49" fontId="48" fillId="0" borderId="21" xfId="0" applyFont="1" applyBorder="1" applyNumberFormat="1">
      <alignment horizontal="left" vertical="center" indent="2"/>
    </xf>
    <xf numFmtId="49" fontId="52" fillId="0" borderId="21" xfId="0" applyFont="1" applyBorder="1" applyNumberFormat="1">
      <alignment horizontal="center" vertical="top"/>
    </xf>
    <xf numFmtId="0" fontId="23" fillId="0" borderId="21" xfId="0" applyFont="1" applyBorder="1" applyNumberFormat="1">
      <alignment horizontal="left" vertical="top" wrapText="1"/>
    </xf>
    <xf numFmtId="49" fontId="23" fillId="0" borderId="0" xfId="0" applyFont="1" applyNumberFormat="1">
      <alignment vertical="center" wrapText="1"/>
    </xf>
    <xf numFmtId="0" fontId="88" fillId="0" borderId="0" xfId="0" applyFont="1" applyNumberFormat="1">
      <alignment vertical="center" wrapText="1"/>
    </xf>
    <xf numFmtId="0" fontId="23" fillId="0" borderId="14" xfId="0" applyFont="1" applyBorder="1" applyNumberFormat="1">
      <alignment horizontal="center" vertical="center" wrapText="1"/>
    </xf>
    <xf numFmtId="0" fontId="23" fillId="0" borderId="14" xfId="0" applyFont="1" applyBorder="1" applyNumberFormat="1">
      <alignment horizontal="left" vertical="center" wrapText="1"/>
    </xf>
    <xf numFmtId="3" fontId="23" fillId="0" borderId="16" xfId="0" applyFont="1" applyBorder="1" applyNumberFormat="1">
      <alignment vertical="center" wrapText="1"/>
    </xf>
    <xf numFmtId="0" fontId="23" fillId="0" borderId="14" xfId="0" applyFont="1" applyBorder="1" applyNumberFormat="1">
      <alignment horizontal="center" vertical="center" wrapText="1"/>
    </xf>
    <xf numFmtId="0" fontId="23" fillId="0" borderId="19" xfId="0" applyFont="1" applyBorder="1" applyNumberFormat="1">
      <alignment horizontal="center" vertical="center" wrapText="1"/>
    </xf>
    <xf numFmtId="0" fontId="23" fillId="0" borderId="19" xfId="0" applyFont="1" applyBorder="1" applyNumberFormat="1">
      <alignment horizontal="center" vertical="center" wrapText="1"/>
    </xf>
    <xf numFmtId="0" fontId="23" fillId="0" borderId="14" xfId="0" applyFont="1" applyBorder="1" applyNumberFormat="1">
      <alignment horizontal="left" vertical="center" wrapText="1" indent="1"/>
    </xf>
    <xf numFmtId="49" fontId="23" fillId="0" borderId="14" xfId="0" applyFont="1" applyBorder="1" applyNumberFormat="1">
      <alignment horizontal="center" vertical="center" wrapText="1"/>
    </xf>
    <xf numFmtId="4" fontId="23" fillId="0" borderId="16" xfId="0" applyFont="1" applyBorder="1" applyNumberFormat="1">
      <alignment horizontal="right" vertical="center" wrapText="1"/>
    </xf>
    <xf numFmtId="4" fontId="23" fillId="0" borderId="32" xfId="0" applyFont="1" applyBorder="1" applyNumberFormat="1">
      <alignment horizontal="right" vertical="center" wrapText="1"/>
    </xf>
    <xf numFmtId="0" fontId="34" fillId="0" borderId="0" xfId="0" applyFont="1" applyNumberFormat="1">
      <alignment vertical="center" wrapText="1"/>
    </xf>
    <xf numFmtId="49" fontId="23" fillId="0" borderId="0" xfId="0" applyFont="1" applyNumberFormat="1">
      <alignment horizontal="center" vertical="top"/>
    </xf>
    <xf numFmtId="49" fontId="40" fillId="49" borderId="0" xfId="0" applyFont="1" applyFill="1" applyNumberFormat="1">
      <alignment horizontal="center" vertical="center"/>
    </xf>
    <xf numFmtId="49" fontId="23" fillId="0" borderId="14" xfId="0" applyFont="1" applyBorder="1" applyNumberFormat="1">
      <alignment horizontal="center" vertical="top"/>
    </xf>
    <xf numFmtId="49" fontId="54" fillId="49" borderId="0" xfId="0" applyFont="1" applyFill="1" applyNumberFormat="1">
      <alignment horizontal="center" vertical="center" wrapText="1"/>
    </xf>
    <xf numFmtId="0" fontId="0" fillId="51" borderId="14" xfId="0" applyFont="1" applyFill="1" applyBorder="1" applyNumberFormat="1">
      <alignment horizontal="center" vertical="center"/>
    </xf>
    <xf numFmtId="49" fontId="0" fillId="0" borderId="0" xfId="0" applyFont="1" applyNumberFormat="1">
      <alignment vertical="center"/>
    </xf>
    <xf numFmtId="49" fontId="54" fillId="49" borderId="14" xfId="0" applyFont="1" applyFill="1" applyBorder="1" applyNumberFormat="1">
      <alignment horizontal="center" vertical="center"/>
    </xf>
    <xf numFmtId="49" fontId="54" fillId="52" borderId="14" xfId="0" applyFont="1" applyFill="1" applyBorder="1" applyNumberFormat="1">
      <alignment horizontal="center" vertical="center"/>
    </xf>
    <xf numFmtId="49" fontId="0" fillId="53" borderId="14" xfId="0" applyFont="1" applyFill="1" applyBorder="1" applyNumberFormat="1">
      <alignment horizontal="center" vertical="center"/>
    </xf>
    <xf numFmtId="49" fontId="23" fillId="0" borderId="0" xfId="0" applyFont="1" applyNumberFormat="1">
      <alignment horizontal="center" vertical="top"/>
    </xf>
    <xf numFmtId="49" fontId="23" fillId="0" borderId="0" xfId="0" applyFont="1" applyNumberFormat="1">
      <alignment vertical="top"/>
    </xf>
    <xf numFmtId="0" fontId="23" fillId="0" borderId="14" xfId="0" applyFont="1" applyBorder="1" applyNumberFormat="1">
      <alignment vertical="center"/>
    </xf>
    <xf numFmtId="0" fontId="0" fillId="0" borderId="14" xfId="0" applyFont="1" applyBorder="1" applyNumberFormat="1">
      <alignment vertical="center"/>
    </xf>
    <xf numFmtId="0" fontId="0" fillId="0" borderId="14" xfId="0" applyFont="1" applyBorder="1" applyNumberFormat="1">
      <alignment vertical="center"/>
    </xf>
    <xf numFmtId="0" fontId="0" fillId="0" borderId="16" xfId="0" applyFont="1" applyBorder="1" applyNumberFormat="1">
      <alignment vertical="center"/>
    </xf>
    <xf numFmtId="0" fontId="0" fillId="0" borderId="16" xfId="0" applyFont="1" applyBorder="1" applyNumberFormat="1">
      <alignment vertical="center"/>
    </xf>
    <xf numFmtId="0" fontId="23" fillId="0" borderId="16" xfId="0" applyFont="1" applyBorder="1" applyNumberFormat="1">
      <alignment horizontal="left" vertical="center"/>
    </xf>
    <xf numFmtId="49" fontId="23" fillId="0" borderId="46" xfId="0" applyFont="1" applyBorder="1" applyNumberFormat="1">
      <alignment vertical="center"/>
    </xf>
    <xf numFmtId="49" fontId="23" fillId="0" borderId="47" xfId="0" applyFont="1" applyBorder="1" applyNumberFormat="1">
      <alignment vertical="top"/>
    </xf>
    <xf numFmtId="49" fontId="23" fillId="0" borderId="18" xfId="0" applyFont="1" applyBorder="1" applyNumberFormat="1">
      <alignment vertical="top"/>
    </xf>
    <xf numFmtId="0" fontId="0" fillId="0" borderId="15" xfId="0" applyFont="1" applyBorder="1" applyNumberFormat="1">
      <alignment vertical="center"/>
    </xf>
    <xf numFmtId="0" fontId="0" fillId="0" borderId="14" xfId="0" applyFont="1" applyBorder="1" applyNumberFormat="1">
      <alignment horizontal="right" vertical="top"/>
    </xf>
    <xf numFmtId="0" fontId="0" fillId="0" borderId="14" xfId="0" applyFont="1" applyBorder="1" applyNumberFormat="1">
      <alignment vertical="top"/>
    </xf>
    <xf numFmtId="0" fontId="23" fillId="0" borderId="15" xfId="0" applyFont="1" applyBorder="1" applyNumberFormat="1">
      <alignment vertical="center"/>
    </xf>
    <xf numFmtId="49" fontId="23" fillId="0" borderId="14" xfId="0" applyFont="1" applyBorder="1" applyNumberFormat="1">
      <alignment vertical="center"/>
    </xf>
    <xf numFmtId="0" fontId="0" fillId="0" borderId="0" xfId="0" applyFont="1" applyNumberFormat="1">
      <alignment vertical="top"/>
    </xf>
    <xf numFmtId="0" fontId="23" fillId="0" borderId="14" xfId="0" applyFont="1" applyBorder="1" applyNumberFormat="1">
      <alignment vertical="top"/>
    </xf>
    <xf numFmtId="0" fontId="0" fillId="50" borderId="0" xfId="0" applyFont="1" applyFill="1" applyNumberFormat="1">
      <alignment horizontal="right" vertical="center"/>
    </xf>
    <xf numFmtId="49" fontId="40" fillId="0" borderId="0" xfId="0" applyFont="1" applyNumberFormat="1">
      <alignment horizontal="center" vertical="center"/>
    </xf>
    <xf numFmtId="49" fontId="0" fillId="0" borderId="0" xfId="0" applyFont="1" applyNumberFormat="1">
      <alignment vertical="top"/>
    </xf>
    <xf numFmtId="49" fontId="40" fillId="49" borderId="0" xfId="0" applyFont="1" applyFill="1" applyNumberFormat="1">
      <alignment horizontal="center" vertical="center"/>
    </xf>
    <xf numFmtId="0" fontId="23" fillId="0" borderId="0" xfId="0" applyFont="1" applyNumberFormat="1">
      <alignment vertical="center"/>
    </xf>
    <xf numFmtId="0" fontId="0" fillId="50" borderId="0" xfId="0" applyFont="1" applyFill="1" applyNumberFormat="1">
      <alignment horizontal="left" vertical="center"/>
    </xf>
    <xf numFmtId="0" fontId="0" fillId="0" borderId="0" xfId="0" applyFont="1" applyNumberFormat="1">
      <alignment horizontal="right" vertical="top"/>
    </xf>
    <xf numFmtId="0" fontId="0" fillId="0" borderId="0" xfId="0" applyFont="1" applyNumberFormat="1">
      <alignment vertical="top"/>
    </xf>
    <xf numFmtId="0" fontId="0" fillId="0" borderId="0" xfId="0" applyFont="1" applyNumberFormat="1">
      <alignment vertical="top"/>
    </xf>
    <xf numFmtId="0" fontId="0" fillId="0" borderId="0" xfId="0" applyFont="1" applyNumberFormat="1">
      <alignment horizontal="right" vertical="top"/>
    </xf>
    <xf numFmtId="0" fontId="0" fillId="0" borderId="0" xfId="0" applyFont="1" applyNumberFormat="1">
      <alignment vertical="top"/>
    </xf>
    <xf numFmtId="49" fontId="23" fillId="0" borderId="16" xfId="0" applyFont="1" applyBorder="1" applyNumberFormat="1">
      <alignment vertical="top"/>
    </xf>
    <xf numFmtId="0" fontId="0" fillId="50" borderId="0" xfId="0" applyFont="1" applyFill="1" applyNumberFormat="1">
      <alignment horizontal="right" vertical="center"/>
    </xf>
    <xf numFmtId="0" fontId="0" fillId="0" borderId="0" xfId="0" applyFont="1" applyNumberFormat="1">
      <alignment horizontal="left" vertical="center"/>
    </xf>
    <xf numFmtId="0" fontId="0" fillId="50" borderId="0" xfId="0" applyFont="1" applyFill="1" applyNumberFormat="1">
      <alignment horizontal="right" vertical="center"/>
    </xf>
    <xf numFmtId="0" fontId="0" fillId="50" borderId="0" xfId="0" applyFont="1" applyFill="1" applyNumberFormat="1">
      <alignment horizontal="left" vertical="center"/>
    </xf>
    <xf numFmtId="0" fontId="59" fillId="50" borderId="0" xfId="0" applyFont="1" applyFill="1" applyNumberFormat="1">
      <alignment horizontal="left" vertical="center"/>
    </xf>
    <xf numFmtId="0" fontId="0" fillId="0" borderId="0" xfId="0" applyFont="1" applyNumberFormat="1">
      <alignment vertical="center"/>
    </xf>
    <xf numFmtId="0" fontId="23" fillId="0" borderId="0" xfId="0" applyFont="1" applyNumberFormat="1">
      <alignment vertical="top"/>
    </xf>
    <xf numFmtId="0" fontId="59" fillId="0" borderId="0" xfId="0" applyFont="1" applyNumberFormat="1">
      <alignment horizontal="left" vertical="center"/>
    </xf>
    <xf numFmtId="49" fontId="0" fillId="0" borderId="16" xfId="0" applyFont="1" applyBorder="1" applyNumberFormat="1">
      <alignment vertical="top"/>
    </xf>
    <xf numFmtId="49" fontId="23" fillId="0" borderId="14" xfId="0" applyFont="1" applyBorder="1" applyNumberFormat="1">
      <alignment horizontal="right" vertical="top"/>
    </xf>
    <xf numFmtId="0" fontId="0" fillId="0" borderId="16" xfId="0" applyFont="1" applyBorder="1" applyNumberFormat="1">
      <alignment horizontal="left" vertical="center"/>
    </xf>
    <xf numFmtId="0" fontId="59" fillId="50" borderId="0" xfId="0" applyFont="1" applyFill="1" applyNumberFormat="1">
      <alignment horizontal="left" vertical="center"/>
    </xf>
    <xf numFmtId="49" fontId="23" fillId="0" borderId="19" xfId="0" applyFont="1" applyBorder="1" applyNumberFormat="1">
      <alignment horizontal="right" vertical="top"/>
    </xf>
    <xf numFmtId="0" fontId="0" fillId="0" borderId="19" xfId="0" applyFont="1" applyBorder="1" applyNumberFormat="1">
      <alignment vertical="top"/>
    </xf>
    <xf numFmtId="0" fontId="23" fillId="0" borderId="19" xfId="0" applyFont="1" applyBorder="1" applyNumberFormat="1">
      <alignment vertical="center"/>
    </xf>
    <xf numFmtId="49" fontId="23" fillId="0" borderId="33" xfId="0" applyFont="1" applyBorder="1" applyNumberFormat="1">
      <alignment horizontal="center" vertical="center"/>
    </xf>
    <xf numFmtId="49" fontId="23" fillId="0" borderId="14" xfId="0" applyFont="1" applyBorder="1" applyNumberFormat="1">
      <alignment horizontal="right" vertical="center"/>
    </xf>
    <xf numFmtId="49" fontId="23" fillId="0" borderId="14" xfId="0" applyFont="1" applyBorder="1" applyNumberFormat="1">
      <alignment vertical="top"/>
    </xf>
    <xf numFmtId="49" fontId="0" fillId="0" borderId="0" xfId="0" applyFont="1" applyNumberFormat="1">
      <alignment vertical="center"/>
    </xf>
    <xf numFmtId="0" fontId="23" fillId="50" borderId="0" xfId="0" applyFont="1" applyFill="1" applyNumberFormat="1">
      <alignment horizontal="left" vertical="center"/>
    </xf>
    <xf numFmtId="0" fontId="0" fillId="50" borderId="12" xfId="0" applyFont="1" applyFill="1" applyBorder="1" applyNumberFormat="1">
      <alignment horizontal="center"/>
    </xf>
    <xf numFmtId="49" fontId="109" fillId="0" borderId="18" xfId="0" applyFont="1" applyBorder="1" applyNumberFormat="1">
      <alignment vertical="top"/>
    </xf>
    <xf numFmtId="49" fontId="0" fillId="0" borderId="0" xfId="0" applyFont="1" applyNumberFormat="1">
      <alignment vertical="center"/>
    </xf>
    <xf numFmtId="49" fontId="53" fillId="56" borderId="0" xfId="0" applyFont="1" applyFill="1" applyNumberFormat="1">
      <alignment vertical="center" wrapText="1"/>
    </xf>
    <xf numFmtId="0" fontId="0" fillId="0" borderId="12" xfId="0" applyFont="1" applyBorder="1" applyNumberFormat="1">
      <alignment horizontal="center"/>
    </xf>
    <xf numFmtId="49" fontId="23" fillId="50" borderId="0" xfId="0" applyFont="1" applyFill="1" applyNumberFormat="1">
      <alignment horizontal="center" vertical="center"/>
    </xf>
    <xf numFmtId="49" fontId="23" fillId="0" borderId="0" xfId="0" applyFont="1" applyNumberFormat="1">
      <alignment vertical="top"/>
    </xf>
    <xf numFmtId="49" fontId="0" fillId="39" borderId="33" xfId="0" applyFont="1" applyFill="1" applyBorder="1" applyNumberFormat="1">
      <alignment horizontal="left" vertical="center"/>
      <protection locked="0"/>
    </xf>
    <xf numFmtId="49" fontId="0" fillId="0" borderId="14" xfId="0" applyFont="1" applyBorder="1" applyNumberFormat="1">
      <alignment horizontal="center" vertical="center"/>
    </xf>
    <xf numFmtId="49" fontId="0" fillId="0" borderId="33" xfId="0" applyFont="1" applyBorder="1" applyNumberFormat="1">
      <alignment horizontal="right" vertical="center"/>
    </xf>
    <xf numFmtId="0" fontId="0" fillId="38" borderId="33" xfId="0" applyFont="1" applyFill="1" applyBorder="1" applyNumberFormat="1">
      <alignment horizontal="center" vertical="center"/>
    </xf>
    <xf numFmtId="49" fontId="0" fillId="0" borderId="33" xfId="0" applyFont="1" applyBorder="1" applyNumberFormat="1">
      <alignment horizontal="center" vertical="center"/>
    </xf>
    <xf numFmtId="49" fontId="0" fillId="0" borderId="0" xfId="0" applyFont="1" applyNumberFormat="1">
      <alignment horizontal="left" vertical="center"/>
    </xf>
    <xf numFmtId="0" fontId="0" fillId="0" borderId="0" xfId="0" applyFont="1" applyNumberFormat="1">
      <alignment horizontal="center" vertical="center"/>
    </xf>
    <xf numFmtId="0" fontId="107" fillId="0" borderId="48" xfId="0" applyFont="1" applyBorder="1" applyNumberFormat="1">
      <alignment horizontal="center" vertical="center"/>
    </xf>
    <xf numFmtId="0" fontId="0" fillId="0" borderId="48" xfId="0" applyFont="1" applyBorder="1" applyNumberFormat="1">
      <alignment horizontal="center" vertical="center"/>
    </xf>
    <xf numFmtId="49" fontId="40" fillId="49" borderId="14" xfId="0" applyFont="1" applyFill="1" applyBorder="1" applyNumberFormat="1">
      <alignment horizontal="right" vertical="center"/>
    </xf>
    <xf numFmtId="49" fontId="23" fillId="39" borderId="39" xfId="0" applyFont="1" applyFill="1" applyBorder="1" applyNumberFormat="1">
      <alignment vertical="top"/>
      <protection locked="0"/>
    </xf>
    <xf numFmtId="0" fontId="23" fillId="0" borderId="14" xfId="0" applyFont="1" applyBorder="1" applyNumberFormat="1">
      <alignment vertical="top"/>
    </xf>
    <xf numFmtId="0" fontId="0" fillId="34" borderId="14" xfId="0" applyFont="1" applyFill="1" applyBorder="1" applyNumberFormat="1">
      <alignment horizontal="right" vertical="center"/>
    </xf>
    <xf numFmtId="49" fontId="23" fillId="34" borderId="25" xfId="0" applyFont="1" applyFill="1" applyBorder="1" applyNumberFormat="1">
      <alignment vertical="top"/>
    </xf>
    <xf numFmtId="49" fontId="23" fillId="34" borderId="14" xfId="0" applyFont="1" applyFill="1" applyBorder="1" applyNumberFormat="1">
      <alignment vertical="top"/>
    </xf>
    <xf numFmtId="49" fontId="23" fillId="0" borderId="16" xfId="0" applyFont="1" applyBorder="1" applyNumberFormat="1">
      <alignment horizontal="center" vertical="top"/>
    </xf>
    <xf numFmtId="49" fontId="23" fillId="0" borderId="15" xfId="0" applyFont="1" applyBorder="1" applyNumberFormat="1">
      <alignment horizontal="center" vertical="top"/>
    </xf>
    <xf numFmtId="0" fontId="23" fillId="38" borderId="32" xfId="0" applyFont="1" applyFill="1" applyBorder="1" applyNumberFormat="1">
      <alignment horizontal="center" vertical="top"/>
    </xf>
    <xf numFmtId="0" fontId="23" fillId="38" borderId="32" xfId="0" applyFont="1" applyFill="1" applyBorder="1" applyNumberFormat="1">
      <alignment horizontal="left" vertical="top"/>
    </xf>
    <xf numFmtId="0" fontId="0" fillId="0" borderId="34" xfId="0" applyFont="1" applyBorder="1" applyNumberFormat="1">
      <alignment horizontal="center" vertical="center"/>
    </xf>
    <xf numFmtId="0" fontId="0" fillId="0" borderId="36" xfId="0" applyFont="1" applyBorder="1" applyNumberFormat="1">
      <alignment horizontal="center" vertical="center"/>
    </xf>
    <xf numFmtId="0" fontId="23" fillId="0" borderId="14" xfId="0" applyFont="1" applyBorder="1" applyNumberFormat="1">
      <alignment horizontal="left" vertical="top"/>
    </xf>
    <xf numFmtId="49" fontId="23" fillId="0" borderId="0" xfId="0" applyFont="1" applyNumberFormat="1">
      <alignment horizontal="left" vertical="top"/>
    </xf>
    <xf numFmtId="0" fontId="0" fillId="0" borderId="33" xfId="0" applyFont="1" applyBorder="1" applyNumberFormat="1">
      <alignment horizontal="center" vertical="center"/>
    </xf>
    <xf numFmtId="0" fontId="0" fillId="0" borderId="35" xfId="0" applyFont="1" applyBorder="1" applyNumberFormat="1">
      <alignment horizontal="center" vertical="center"/>
    </xf>
    <xf numFmtId="49" fontId="40" fillId="49" borderId="16" xfId="0" applyFont="1" applyFill="1" applyBorder="1" applyNumberFormat="1">
      <alignment horizontal="right" vertical="center"/>
    </xf>
    <xf numFmtId="49" fontId="23" fillId="0" borderId="14" xfId="0" applyFont="1" applyBorder="1" applyNumberFormat="1">
      <alignment vertical="top"/>
    </xf>
    <xf numFmtId="49" fontId="0" fillId="0" borderId="0" xfId="0" applyFont="1" applyNumberFormat="1">
      <alignment vertical="center"/>
    </xf>
    <xf numFmtId="49" fontId="0" fillId="0" borderId="0" xfId="0" applyFont="1" applyNumberFormat="1">
      <alignment vertical="top"/>
    </xf>
    <xf numFmtId="0" fontId="0" fillId="50" borderId="0" xfId="0" applyFont="1" applyFill="1" applyNumberFormat="1">
      <alignment horizontal="right" vertical="top" wrapText="1"/>
    </xf>
    <xf numFmtId="0" fontId="23" fillId="0" borderId="0" xfId="0" applyFont="1" applyNumberFormat="1">
      <alignment horizontal="left" vertical="top" wrapText="1"/>
    </xf>
    <xf numFmtId="49" fontId="23" fillId="0" borderId="0" xfId="0" applyFont="1" applyNumberFormat="1">
      <alignment vertical="center"/>
    </xf>
    <xf numFmtId="49" fontId="0" fillId="0" borderId="0" xfId="0" applyFont="1" applyNumberFormat="1">
      <alignment vertical="top"/>
    </xf>
    <xf numFmtId="49" fontId="23" fillId="0" borderId="0" xfId="0" applyFont="1" applyNumberFormat="1">
      <alignment vertical="top"/>
    </xf>
    <xf numFmtId="49" fontId="23" fillId="0" borderId="0" xfId="0" applyFont="1" applyNumberFormat="1">
      <alignment vertical="top"/>
    </xf>
    <xf numFmtId="49" fontId="0" fillId="0" borderId="0" xfId="0" applyFont="1" applyNumberFormat="1">
      <alignment vertical="center" wrapText="1"/>
    </xf>
    <xf numFmtId="49" fontId="0" fillId="0" borderId="0" xfId="0" applyFont="1" applyNumberFormat="1">
      <alignment vertical="center"/>
    </xf>
    <xf numFmtId="49" fontId="23" fillId="0" borderId="0" xfId="0" applyFont="1" applyNumberFormat="1">
      <alignment vertical="top"/>
    </xf>
    <xf numFmtId="49" fontId="23" fillId="37" borderId="14" xfId="0" applyFont="1" applyFill="1" applyBorder="1" applyNumberFormat="1">
      <alignment horizontal="center" vertical="center"/>
    </xf>
    <xf numFmtId="49" fontId="23" fillId="42" borderId="14" xfId="0" applyFont="1" applyFill="1" applyBorder="1" applyNumberFormat="1">
      <alignment horizontal="left" vertical="center" wrapText="1"/>
      <protection locked="0"/>
    </xf>
    <xf numFmtId="0" fontId="23" fillId="42" borderId="14" xfId="0" applyFont="1" applyFill="1" applyBorder="1" applyNumberFormat="1">
      <alignment horizontal="center" vertical="center" wrapText="1"/>
      <protection locked="0"/>
    </xf>
    <xf numFmtId="0" fontId="54" fillId="37" borderId="0" xfId="0" applyFont="1" applyFill="1" applyNumberFormat="1"/>
    <xf numFmtId="49" fontId="23" fillId="37" borderId="14" xfId="0" applyFont="1" applyFill="1" applyBorder="1" applyNumberFormat="1">
      <alignment horizontal="center" vertical="center" wrapText="1"/>
    </xf>
    <xf numFmtId="0" fontId="0" fillId="37" borderId="14" xfId="0" applyFont="1" applyFill="1" applyBorder="1" applyNumberFormat="1">
      <alignment horizontal="center" vertical="center" wrapText="1"/>
    </xf>
    <xf numFmtId="0" fontId="23" fillId="38" borderId="14" xfId="0" applyFont="1" applyFill="1" applyBorder="1" applyNumberFormat="1">
      <alignment horizontal="left" vertical="center" wrapText="1"/>
    </xf>
    <xf numFmtId="0" fontId="73" fillId="37" borderId="0" xfId="0" applyFont="1" applyFill="1" applyNumberFormat="1"/>
    <xf numFmtId="0" fontId="23" fillId="37" borderId="14" xfId="0" applyFont="1" applyFill="1" applyBorder="1" applyNumberFormat="1">
      <alignment horizontal="left" vertical="center" wrapText="1"/>
    </xf>
    <xf numFmtId="0" fontId="23" fillId="0" borderId="14" xfId="0" applyFont="1" applyBorder="1" applyNumberFormat="1">
      <alignment horizontal="center" vertical="center" wrapText="1"/>
    </xf>
    <xf numFmtId="49" fontId="23" fillId="0" borderId="14" xfId="0" applyFont="1" applyBorder="1" applyNumberFormat="1">
      <alignment horizontal="center" vertical="center"/>
    </xf>
    <xf numFmtId="49" fontId="23" fillId="39" borderId="14" xfId="0" applyFont="1" applyFill="1" applyBorder="1" applyNumberFormat="1">
      <alignment horizontal="left" vertical="center" wrapText="1"/>
      <protection locked="0"/>
    </xf>
    <xf numFmtId="0" fontId="55" fillId="37" borderId="0" xfId="0" applyFont="1" applyFill="1" applyNumberFormat="1">
      <alignment horizontal="center" vertical="center" wrapText="1"/>
    </xf>
    <xf numFmtId="0" fontId="23" fillId="37" borderId="26" xfId="0" applyFont="1" applyFill="1" applyBorder="1" applyNumberFormat="1">
      <alignment horizontal="center" vertical="center" wrapText="1"/>
    </xf>
    <xf numFmtId="0" fontId="0" fillId="37" borderId="19" xfId="0" applyFont="1" applyFill="1" applyBorder="1" applyNumberFormat="1">
      <alignment horizontal="left" vertical="top" wrapText="1"/>
    </xf>
    <xf numFmtId="0" fontId="72" fillId="37" borderId="0" xfId="0" applyFont="1" applyFill="1" applyNumberFormat="1"/>
    <xf numFmtId="0" fontId="77" fillId="37" borderId="0" xfId="0" applyFont="1" applyFill="1" applyNumberFormat="1">
      <alignment vertical="center" wrapText="1"/>
    </xf>
    <xf numFmtId="0" fontId="55" fillId="37" borderId="14" xfId="0" applyFont="1" applyFill="1" applyBorder="1" applyNumberFormat="1">
      <alignment horizontal="center" vertical="center"/>
    </xf>
    <xf numFmtId="0" fontId="0" fillId="37" borderId="38" xfId="0" applyFont="1" applyFill="1" applyBorder="1" applyNumberFormat="1">
      <alignment horizontal="left" vertical="top" wrapText="1"/>
    </xf>
    <xf numFmtId="0" fontId="0" fillId="37" borderId="25" xfId="0" applyFont="1" applyFill="1" applyBorder="1" applyNumberFormat="1">
      <alignment horizontal="left" vertical="top" wrapText="1"/>
    </xf>
    <xf numFmtId="0" fontId="89" fillId="37" borderId="0" xfId="0" applyFont="1" applyFill="1" applyNumberFormat="1"/>
    <xf numFmtId="0" fontId="23" fillId="37" borderId="14" xfId="0" applyFont="1" applyFill="1" applyBorder="1" applyNumberFormat="1">
      <alignment horizontal="left" vertical="top" wrapText="1"/>
    </xf>
    <xf numFmtId="49" fontId="34" fillId="39" borderId="25" xfId="0" applyFont="1" applyFill="1" applyBorder="1" applyNumberFormat="1">
      <alignment horizontal="left" vertical="center" wrapText="1"/>
      <protection locked="0"/>
    </xf>
    <xf numFmtId="0" fontId="23" fillId="37" borderId="14" xfId="0" applyFont="1" applyFill="1" applyBorder="1" applyNumberFormat="1">
      <alignment vertical="top" wrapText="1"/>
    </xf>
    <xf numFmtId="0" fontId="44" fillId="0" borderId="0" xfId="0" applyFont="1" applyNumberFormat="1">
      <alignment horizontal="center" vertical="center" wrapText="1"/>
    </xf>
    <xf numFmtId="0" fontId="23" fillId="0" borderId="14" xfId="0" applyFont="1" applyBorder="1" applyNumberFormat="1">
      <alignment horizontal="center" vertical="center" wrapText="1"/>
    </xf>
    <xf numFmtId="49" fontId="23" fillId="43" borderId="14" xfId="0" applyFont="1" applyFill="1" applyBorder="1" applyNumberFormat="1">
      <alignment horizontal="left" vertical="center" wrapText="1"/>
    </xf>
    <xf numFmtId="14" fontId="23" fillId="42" borderId="14" xfId="0" applyFont="1" applyFill="1" applyBorder="1" applyNumberFormat="1">
      <alignment horizontal="left" vertical="center" wrapText="1" indent="1"/>
      <protection locked="0"/>
    </xf>
    <xf numFmtId="0" fontId="117" fillId="0" borderId="0" xfId="0" applyFont="1" applyNumberFormat="1">
      <alignment vertical="center"/>
    </xf>
    <xf numFmtId="0" fontId="45" fillId="0" borderId="0" xfId="0" applyFont="1" applyNumberFormat="1">
      <alignment horizontal="center" vertical="center" wrapText="1"/>
    </xf>
    <xf numFmtId="4" fontId="23" fillId="0" borderId="19" xfId="0" applyFont="1" applyBorder="1" applyNumberFormat="1">
      <alignment horizontal="center" vertical="center" wrapText="1"/>
    </xf>
    <xf numFmtId="165" fontId="23" fillId="0" borderId="39" xfId="0" applyFont="1" applyBorder="1" applyNumberFormat="1">
      <alignment horizontal="center" vertical="center" wrapText="1"/>
    </xf>
    <xf numFmtId="165" fontId="23" fillId="0" borderId="19" xfId="0" applyFont="1" applyBorder="1" applyNumberFormat="1">
      <alignment horizontal="center" vertical="center" wrapText="1"/>
    </xf>
    <xf numFmtId="4" fontId="23" fillId="0" borderId="25" xfId="0" applyFont="1" applyBorder="1" applyNumberFormat="1">
      <alignment horizontal="center" vertical="center" wrapText="1"/>
    </xf>
    <xf numFmtId="14" fontId="23" fillId="43" borderId="14" xfId="0" applyFont="1" applyFill="1" applyBorder="1" applyNumberFormat="1">
      <alignment horizontal="left" vertical="center" wrapText="1"/>
    </xf>
    <xf numFmtId="49" fontId="36" fillId="40" borderId="32" xfId="0" applyFont="1" applyFill="1" applyBorder="1" applyNumberFormat="1">
      <alignment horizontal="right" vertical="center" wrapText="1"/>
    </xf>
    <xf numFmtId="49" fontId="0" fillId="40" borderId="29" xfId="0" applyFont="1" applyFill="1" applyBorder="1" applyNumberFormat="1">
      <alignment horizontal="right" vertical="center" wrapText="1"/>
    </xf>
    <xf numFmtId="49" fontId="0" fillId="40" borderId="31" xfId="0" applyFont="1" applyFill="1" applyBorder="1" applyNumberFormat="1">
      <alignment horizontal="right" vertical="center" wrapText="1"/>
    </xf>
    <xf numFmtId="0" fontId="117" fillId="0" borderId="0" xfId="0" applyFont="1" applyNumberFormat="1">
      <alignment vertical="center" wrapText="1"/>
    </xf>
    <xf numFmtId="49" fontId="0" fillId="0" borderId="0" xfId="0" applyFont="1" applyNumberFormat="1">
      <alignment vertical="top"/>
    </xf>
    <xf numFmtId="0" fontId="55" fillId="0" borderId="0" xfId="0" applyFont="1" applyNumberFormat="1">
      <alignment vertical="center"/>
    </xf>
    <xf numFmtId="0" fontId="44" fillId="0" borderId="0" xfId="0" applyFont="1" applyNumberFormat="1">
      <alignment horizontal="center" vertical="center" wrapText="1"/>
    </xf>
    <xf numFmtId="0" fontId="23" fillId="0" borderId="16" xfId="0" applyFont="1" applyBorder="1" applyNumberFormat="1">
      <alignment horizontal="center" vertical="center" wrapText="1"/>
    </xf>
    <xf numFmtId="0" fontId="23" fillId="38" borderId="14" xfId="0" applyFont="1" applyFill="1" applyBorder="1" applyNumberFormat="1">
      <alignment horizontal="left" vertical="center" wrapText="1" indent="1"/>
    </xf>
    <xf numFmtId="167" fontId="0" fillId="42" borderId="17" xfId="0" applyFont="1" applyFill="1" applyBorder="1" applyNumberFormat="1">
      <alignment horizontal="left" vertical="center" wrapText="1" indent="1"/>
      <protection locked="0"/>
    </xf>
    <xf numFmtId="168" fontId="23" fillId="42" borderId="14" xfId="0" applyFont="1" applyFill="1" applyBorder="1" applyNumberFormat="1">
      <alignment horizontal="left" vertical="center" wrapText="1" indent="1"/>
      <protection locked="0"/>
    </xf>
    <xf numFmtId="167" fontId="55" fillId="0" borderId="0" xfId="0" applyFont="1" applyNumberFormat="1">
      <alignment horizontal="center" vertical="center" wrapText="1"/>
    </xf>
    <xf numFmtId="165" fontId="23" fillId="0" borderId="19" xfId="0" applyFont="1" applyBorder="1" applyNumberFormat="1">
      <alignment horizontal="center" vertical="center" wrapText="1"/>
    </xf>
    <xf numFmtId="165" fontId="23" fillId="0" borderId="16" xfId="0" applyFont="1" applyBorder="1" applyNumberFormat="1">
      <alignment horizontal="center" vertical="center" wrapText="1"/>
    </xf>
    <xf numFmtId="165" fontId="23" fillId="0" borderId="17" xfId="0" applyFont="1" applyBorder="1" applyNumberFormat="1">
      <alignment horizontal="center" vertical="center" wrapText="1"/>
    </xf>
    <xf numFmtId="165" fontId="23" fillId="0" borderId="15" xfId="0" applyFont="1" applyBorder="1" applyNumberFormat="1">
      <alignment horizontal="center" vertical="center" wrapText="1"/>
    </xf>
    <xf numFmtId="4" fontId="23" fillId="0" borderId="38" xfId="0" applyFont="1" applyBorder="1" applyNumberFormat="1">
      <alignment horizontal="center" vertical="center" wrapText="1"/>
    </xf>
    <xf numFmtId="165" fontId="23" fillId="0" borderId="25" xfId="0" applyFont="1" applyBorder="1" applyNumberFormat="1">
      <alignment horizontal="center" vertical="center" wrapText="1"/>
    </xf>
    <xf numFmtId="165" fontId="23" fillId="0" borderId="25" xfId="0" applyFont="1" applyBorder="1" applyNumberFormat="1">
      <alignment horizontal="center" vertical="center" wrapText="1"/>
    </xf>
    <xf numFmtId="0" fontId="23" fillId="0" borderId="25" xfId="0" applyFont="1" applyBorder="1" applyNumberFormat="1">
      <alignment horizontal="center" vertical="center" wrapText="1"/>
    </xf>
    <xf numFmtId="0" fontId="23" fillId="38" borderId="25" xfId="0" applyFont="1" applyFill="1" applyBorder="1" applyNumberFormat="1">
      <alignment horizontal="left" vertical="center" wrapText="1" indent="1"/>
    </xf>
    <xf numFmtId="14" fontId="23" fillId="42" borderId="25" xfId="0" applyFont="1" applyFill="1" applyBorder="1" applyNumberFormat="1">
      <alignment horizontal="left" vertical="center" wrapText="1" indent="1"/>
      <protection locked="0"/>
    </xf>
    <xf numFmtId="0" fontId="23" fillId="0" borderId="31" xfId="0" applyFont="1" applyBorder="1" applyNumberFormat="1">
      <alignment horizontal="left" vertical="top" wrapText="1"/>
    </xf>
    <xf numFmtId="49" fontId="0" fillId="0" borderId="0" xfId="0" applyFont="1" applyNumberFormat="1">
      <alignment vertical="top"/>
    </xf>
    <xf numFmtId="0" fontId="44" fillId="0" borderId="0" xfId="0" applyFont="1" applyNumberFormat="1">
      <alignment horizontal="center" vertical="center" wrapText="1"/>
    </xf>
    <xf numFmtId="0" fontId="23" fillId="0" borderId="14" xfId="0" applyFont="1" applyBorder="1" applyNumberFormat="1">
      <alignment horizontal="center" vertical="center" wrapText="1"/>
    </xf>
    <xf numFmtId="0" fontId="23" fillId="38" borderId="14" xfId="0" applyFont="1" applyFill="1" applyBorder="1" applyNumberFormat="1">
      <alignment horizontal="left" vertical="center" wrapText="1" indent="1"/>
    </xf>
    <xf numFmtId="0" fontId="55" fillId="0" borderId="0" xfId="0" applyFont="1" applyNumberFormat="1">
      <alignment horizontal="center" vertical="center" wrapText="1"/>
    </xf>
    <xf numFmtId="0" fontId="23" fillId="0" borderId="0" xfId="0" applyFont="1" applyNumberFormat="1">
      <alignment horizontal="right" vertical="center" wrapText="1"/>
    </xf>
    <xf numFmtId="0" fontId="23" fillId="0" borderId="0" xfId="0" applyFont="1" applyNumberFormat="1">
      <alignment horizontal="left" vertical="center" wrapText="1" indent="1"/>
    </xf>
    <xf numFmtId="165" fontId="23" fillId="0" borderId="25" xfId="0" applyFont="1" applyBorder="1" applyNumberFormat="1">
      <alignment horizontal="center" vertical="center" wrapText="1"/>
    </xf>
    <xf numFmtId="0" fontId="23" fillId="0" borderId="25" xfId="0" applyFont="1" applyBorder="1" applyNumberFormat="1">
      <alignment horizontal="left" vertical="center" wrapText="1" indent="1"/>
    </xf>
    <xf numFmtId="14" fontId="23" fillId="0" borderId="25" xfId="0" applyFont="1" applyBorder="1" applyNumberFormat="1">
      <alignment horizontal="left" vertical="center" wrapText="1" indent="1"/>
    </xf>
    <xf numFmtId="0" fontId="45" fillId="0" borderId="0" xfId="0" applyFont="1" applyNumberFormat="1">
      <alignment horizontal="center" vertical="center" wrapText="1"/>
    </xf>
    <xf numFmtId="0" fontId="55" fillId="0" borderId="0" xfId="0" applyFont="1" applyNumberFormat="1">
      <alignment vertical="center"/>
    </xf>
    <xf numFmtId="0" fontId="23" fillId="38" borderId="14" xfId="0" applyFont="1" applyFill="1" applyBorder="1" applyNumberFormat="1">
      <alignment horizontal="left" vertical="center" wrapText="1"/>
    </xf>
    <xf numFmtId="14" fontId="23" fillId="43" borderId="14" xfId="0" applyFont="1" applyFill="1" applyBorder="1" applyNumberFormat="1">
      <alignment horizontal="left" vertical="center" wrapText="1"/>
    </xf>
    <xf numFmtId="49" fontId="23" fillId="43" borderId="16" xfId="0" applyFont="1" applyFill="1" applyBorder="1" applyNumberFormat="1">
      <alignment horizontal="left" vertical="center" wrapText="1"/>
    </xf>
    <xf numFmtId="0" fontId="23" fillId="0" borderId="16" xfId="0" applyFont="1" applyBorder="1" applyNumberFormat="1">
      <alignment horizontal="center" vertical="center" wrapText="1"/>
    </xf>
    <xf numFmtId="49" fontId="23" fillId="42" borderId="14" xfId="0" applyFont="1" applyFill="1" applyBorder="1" applyNumberFormat="1">
      <alignment horizontal="left" vertical="center" wrapText="1"/>
      <protection locked="0"/>
    </xf>
    <xf numFmtId="49" fontId="23" fillId="43" borderId="14" xfId="0" applyFont="1" applyFill="1" applyBorder="1" applyNumberFormat="1">
      <alignment horizontal="left" vertical="center" wrapText="1"/>
    </xf>
    <xf numFmtId="49" fontId="34" fillId="40" borderId="29" xfId="0" applyFont="1" applyFill="1" applyBorder="1" applyNumberFormat="1">
      <alignment horizontal="left" vertical="center" wrapText="1"/>
    </xf>
    <xf numFmtId="49" fontId="34" fillId="40" borderId="31" xfId="0" applyFont="1" applyFill="1" applyBorder="1" applyNumberFormat="1">
      <alignment horizontal="left" vertical="center" wrapText="1"/>
    </xf>
    <xf numFmtId="0" fontId="23" fillId="37" borderId="38" xfId="0" applyFont="1" applyFill="1" applyBorder="1" applyNumberFormat="1">
      <alignment vertical="center" wrapText="1"/>
    </xf>
    <xf numFmtId="0" fontId="55" fillId="0" borderId="0" xfId="0" applyFont="1" applyNumberFormat="1">
      <alignment horizontal="center" vertical="center" wrapText="1"/>
    </xf>
    <xf numFmtId="0" fontId="55" fillId="0" borderId="29" xfId="0" applyFont="1" applyBorder="1" applyNumberFormat="1">
      <alignment horizontal="center" vertical="center" wrapText="1"/>
    </xf>
    <xf numFmtId="0" fontId="55" fillId="0" borderId="0" xfId="0" applyFont="1" applyNumberFormat="1">
      <alignment horizontal="center" vertical="center" wrapText="1"/>
    </xf>
    <xf numFmtId="0" fontId="55" fillId="0" borderId="0" xfId="0" applyFont="1" applyNumberFormat="1">
      <alignment horizontal="center" vertical="center" wrapText="1"/>
    </xf>
    <xf numFmtId="0" fontId="23" fillId="37" borderId="24" xfId="0" applyFont="1" applyFill="1" applyBorder="1" applyNumberFormat="1">
      <alignment vertical="center" wrapText="1"/>
    </xf>
    <xf numFmtId="0" fontId="44" fillId="0" borderId="14" xfId="0" applyFont="1" applyBorder="1" applyNumberFormat="1">
      <alignment horizontal="center" vertical="center" wrapText="1"/>
    </xf>
    <xf numFmtId="0" fontId="23" fillId="0" borderId="17" xfId="0" applyFont="1" applyBorder="1" applyNumberFormat="1">
      <alignment horizontal="center" vertical="center" wrapText="1"/>
    </xf>
    <xf numFmtId="0" fontId="23" fillId="0" borderId="17" xfId="0" applyFont="1" applyBorder="1" applyNumberFormat="1">
      <alignment horizontal="left" vertical="center" wrapText="1"/>
    </xf>
    <xf numFmtId="0" fontId="50" fillId="0" borderId="0" xfId="0" applyFont="1" applyNumberFormat="1">
      <alignment horizontal="center" vertical="center" wrapText="1"/>
    </xf>
    <xf numFmtId="0" fontId="23" fillId="0" borderId="0" xfId="0" applyFont="1" applyNumberFormat="1">
      <alignment horizontal="center" vertical="center" wrapText="1"/>
    </xf>
    <xf numFmtId="165" fontId="53" fillId="0" borderId="21" xfId="0" applyFont="1" applyBorder="1" applyNumberFormat="1">
      <alignment horizontal="center" vertical="center" wrapText="1"/>
    </xf>
    <xf numFmtId="165" fontId="53" fillId="0" borderId="21" xfId="0" applyFont="1" applyBorder="1" applyNumberFormat="1">
      <alignment horizontal="center" vertical="center" wrapText="1"/>
    </xf>
    <xf numFmtId="165" fontId="53" fillId="0" borderId="22" xfId="0" applyFont="1" applyBorder="1" applyNumberFormat="1">
      <alignment horizontal="center" vertical="center" wrapText="1"/>
    </xf>
    <xf numFmtId="0" fontId="55" fillId="0" borderId="0" xfId="0" applyFont="1" applyNumberFormat="1">
      <alignment horizontal="center" vertical="center"/>
    </xf>
    <xf numFmtId="165" fontId="23" fillId="0" borderId="14" xfId="0" applyFont="1" applyBorder="1" applyNumberFormat="1">
      <alignment horizontal="center" vertical="center" wrapText="1"/>
    </xf>
    <xf numFmtId="165" fontId="23" fillId="0" borderId="38" xfId="0" applyFont="1" applyBorder="1" applyNumberFormat="1">
      <alignment horizontal="center" vertical="center" wrapText="1"/>
    </xf>
    <xf numFmtId="165" fontId="23" fillId="0" borderId="14" xfId="0" applyFont="1" applyBorder="1" applyNumberFormat="1">
      <alignment horizontal="center" vertical="center" wrapText="1"/>
    </xf>
    <xf numFmtId="0" fontId="23" fillId="38" borderId="31" xfId="0" applyFont="1" applyFill="1" applyBorder="1" applyNumberFormat="1">
      <alignment horizontal="left" vertical="center" wrapText="1"/>
    </xf>
    <xf numFmtId="14" fontId="23" fillId="43" borderId="25" xfId="0" applyFont="1" applyFill="1" applyBorder="1" applyNumberFormat="1">
      <alignment horizontal="left" vertical="center" wrapText="1"/>
    </xf>
    <xf numFmtId="49" fontId="23" fillId="43" borderId="32" xfId="0" applyFont="1" applyFill="1" applyBorder="1" applyNumberFormat="1">
      <alignment horizontal="left" vertical="center" wrapText="1"/>
    </xf>
    <xf numFmtId="0" fontId="23" fillId="0" borderId="25" xfId="0" applyFont="1" applyBorder="1" applyNumberFormat="1">
      <alignment horizontal="center" vertical="center" wrapText="1"/>
    </xf>
    <xf numFmtId="49" fontId="23" fillId="42" borderId="29" xfId="0" applyFont="1" applyFill="1" applyBorder="1" applyNumberFormat="1">
      <alignment horizontal="left" vertical="center" wrapText="1"/>
      <protection locked="0"/>
    </xf>
    <xf numFmtId="49" fontId="23" fillId="42" borderId="32" xfId="0" applyFont="1" applyFill="1" applyBorder="1" applyNumberFormat="1">
      <alignment horizontal="left" vertical="center" wrapText="1"/>
      <protection locked="0"/>
    </xf>
    <xf numFmtId="49" fontId="23" fillId="0" borderId="14" xfId="0" applyFont="1" applyBorder="1" applyNumberFormat="1">
      <alignment horizontal="left" vertical="top" wrapText="1"/>
    </xf>
    <xf numFmtId="49" fontId="23" fillId="43" borderId="25" xfId="0" applyFont="1" applyFill="1" applyBorder="1" applyNumberFormat="1">
      <alignment horizontal="left" vertical="center" wrapText="1"/>
    </xf>
    <xf numFmtId="49" fontId="129" fillId="0" borderId="14" xfId="0" applyFont="1" applyBorder="1" applyNumberFormat="1">
      <alignment horizontal="left" vertical="top" wrapText="1"/>
    </xf>
    <xf numFmtId="0" fontId="40" fillId="0" borderId="0" xfId="0" applyFont="1" applyNumberFormat="1">
      <alignment vertical="center" wrapText="1"/>
    </xf>
    <xf numFmtId="0" fontId="45" fillId="37" borderId="0" xfId="0" applyFont="1" applyFill="1" applyNumberFormat="1">
      <alignment horizontal="center" vertical="center" wrapText="1"/>
    </xf>
    <xf numFmtId="0" fontId="23" fillId="37" borderId="0" xfId="0" applyFont="1" applyFill="1" applyNumberFormat="1"/>
    <xf numFmtId="49" fontId="40" fillId="0" borderId="0" xfId="0" applyFont="1" applyNumberFormat="1">
      <alignment vertical="top"/>
    </xf>
    <xf numFmtId="49" fontId="23" fillId="0" borderId="0" xfId="0" applyFont="1" applyNumberFormat="1">
      <alignment vertical="top"/>
    </xf>
    <xf numFmtId="49" fontId="45" fillId="0" borderId="0" xfId="0" applyFont="1" applyNumberFormat="1">
      <alignment horizontal="center" vertical="center"/>
    </xf>
    <xf numFmtId="0" fontId="51" fillId="37" borderId="0" xfId="0" applyFont="1" applyFill="1" applyNumberFormat="1">
      <alignment horizontal="center" vertical="center" wrapText="1"/>
    </xf>
    <xf numFmtId="0" fontId="40" fillId="37" borderId="0" xfId="0" applyFont="1" applyFill="1" applyNumberFormat="1"/>
    <xf numFmtId="0" fontId="23" fillId="37" borderId="14" xfId="0" applyFont="1" applyFill="1" applyBorder="1" applyNumberFormat="1">
      <alignment horizontal="center" vertical="center" wrapText="1"/>
    </xf>
    <xf numFmtId="49" fontId="23" fillId="0" borderId="0" xfId="0" applyFont="1" applyNumberFormat="1">
      <alignment vertical="top"/>
    </xf>
    <xf numFmtId="49" fontId="54" fillId="0" borderId="0" xfId="0" applyFont="1" applyNumberFormat="1">
      <alignment vertical="top"/>
    </xf>
    <xf numFmtId="49" fontId="23" fillId="0" borderId="0" xfId="0" applyFont="1" applyNumberFormat="1">
      <alignment vertical="top"/>
    </xf>
    <xf numFmtId="49" fontId="45" fillId="0" borderId="0" xfId="0" applyFont="1" applyNumberFormat="1">
      <alignment horizontal="center" vertical="center" wrapText="1"/>
    </xf>
    <xf numFmtId="49" fontId="23" fillId="0" borderId="14" xfId="0" applyFont="1" applyBorder="1" applyNumberFormat="1">
      <alignment horizontal="center" vertical="center" wrapText="1"/>
    </xf>
    <xf numFmtId="49" fontId="23" fillId="42" borderId="14" xfId="0" applyFont="1" applyFill="1" applyBorder="1" applyNumberFormat="1">
      <alignment horizontal="left" vertical="center" wrapText="1"/>
      <protection locked="0"/>
    </xf>
    <xf numFmtId="0" fontId="55" fillId="0" borderId="0" xfId="0" applyFont="1" applyNumberFormat="1">
      <alignment vertical="top"/>
    </xf>
    <xf numFmtId="49" fontId="55" fillId="0" borderId="0" xfId="0" applyFont="1" applyNumberFormat="1">
      <alignment vertical="top"/>
    </xf>
    <xf numFmtId="49" fontId="23" fillId="0" borderId="0" xfId="0" applyFont="1" applyNumberFormat="1">
      <alignment vertical="top"/>
    </xf>
    <xf numFmtId="49" fontId="48" fillId="40" borderId="17" xfId="0" applyFont="1" applyFill="1" applyBorder="1" applyNumberFormat="1">
      <alignment horizontal="left" vertical="center"/>
    </xf>
    <xf numFmtId="49" fontId="52" fillId="40" borderId="17" xfId="0" applyFont="1" applyFill="1" applyBorder="1" applyNumberFormat="1">
      <alignment horizontal="center" vertical="top"/>
    </xf>
    <xf numFmtId="49" fontId="23" fillId="0" borderId="0" xfId="0" applyFont="1" applyNumberFormat="1">
      <alignment horizontal="left" vertical="top" wrapText="1"/>
    </xf>
    <xf numFmtId="49" fontId="23" fillId="0" borderId="0" xfId="0" applyFont="1" applyNumberFormat="1">
      <alignment vertical="top"/>
    </xf>
    <xf numFmtId="49" fontId="45" fillId="0" borderId="0" xfId="0" applyFont="1" applyNumberFormat="1">
      <alignment horizontal="center" vertical="center"/>
    </xf>
    <xf numFmtId="49" fontId="23" fillId="0" borderId="0" xfId="0" applyFont="1" applyNumberFormat="1">
      <alignment vertical="top"/>
    </xf>
    <xf numFmtId="0" fontId="45" fillId="37" borderId="0" xfId="0" applyFont="1" applyFill="1" applyNumberFormat="1">
      <alignment horizontal="center" vertical="center"/>
    </xf>
    <xf numFmtId="0" fontId="23" fillId="37" borderId="0" xfId="0" applyFont="1" applyFill="1" applyNumberFormat="1"/>
    <xf numFmtId="0" fontId="23" fillId="0" borderId="15" xfId="0" applyFont="1" applyBorder="1" applyNumberFormat="1">
      <alignment horizontal="left" vertical="center" wrapText="1" indent="1"/>
    </xf>
    <xf numFmtId="0" fontId="23" fillId="0" borderId="16" xfId="0" applyFont="1" applyBorder="1" applyNumberFormat="1">
      <alignment horizontal="left" vertical="center" wrapText="1" indent="1"/>
    </xf>
    <xf numFmtId="0" fontId="69" fillId="0" borderId="0" xfId="0" applyFont="1" applyNumberFormat="1"/>
    <xf numFmtId="0" fontId="23" fillId="0" borderId="14" xfId="0" applyFont="1" applyBorder="1" applyNumberFormat="1">
      <alignment horizontal="center" vertical="center" wrapText="1"/>
    </xf>
    <xf numFmtId="0" fontId="23" fillId="37" borderId="19" xfId="0" applyFont="1" applyFill="1" applyBorder="1" applyNumberFormat="1">
      <alignment horizontal="center" vertical="center"/>
    </xf>
    <xf numFmtId="49" fontId="23" fillId="0" borderId="19" xfId="0" applyFont="1" applyBorder="1" applyNumberFormat="1">
      <alignment horizontal="left" vertical="center" wrapText="1"/>
    </xf>
    <xf numFmtId="0" fontId="45" fillId="37" borderId="0" xfId="0" applyFont="1" applyFill="1" applyNumberFormat="1">
      <alignment horizontal="center" vertical="center" wrapText="1"/>
    </xf>
    <xf numFmtId="0" fontId="23" fillId="37" borderId="14" xfId="0" applyFont="1" applyFill="1" applyBorder="1" applyNumberFormat="1">
      <alignment horizontal="center" vertical="center"/>
    </xf>
    <xf numFmtId="49" fontId="23" fillId="42" borderId="14" xfId="0" applyFont="1" applyFill="1" applyBorder="1" applyNumberFormat="1">
      <alignment horizontal="left" vertical="center" wrapText="1"/>
      <protection locked="0"/>
    </xf>
    <xf numFmtId="49" fontId="36" fillId="40" borderId="16" xfId="0" applyFont="1" applyFill="1" applyBorder="1" applyNumberFormat="1">
      <alignment horizontal="center" vertical="center"/>
    </xf>
    <xf numFmtId="49" fontId="48" fillId="40" borderId="15" xfId="0" applyFont="1" applyFill="1" applyBorder="1" applyNumberFormat="1">
      <alignment horizontal="left" vertical="center"/>
    </xf>
    <xf numFmtId="49" fontId="53" fillId="0" borderId="0" xfId="0" applyFont="1" applyNumberFormat="1">
      <alignment horizontal="right" vertical="top"/>
    </xf>
    <xf numFmtId="49" fontId="23" fillId="0" borderId="0" xfId="0" applyFont="1" applyNumberFormat="1">
      <alignment horizontal="left" vertical="top" wrapText="1"/>
    </xf>
    <xf numFmtId="49" fontId="53" fillId="0" borderId="0" xfId="0" applyFont="1" applyNumberFormat="1">
      <alignment vertical="top"/>
    </xf>
    <xf numFmtId="0" fontId="23" fillId="0" borderId="0" xfId="0" applyFont="1" applyNumberFormat="1"/>
    <xf numFmtId="0" fontId="45" fillId="0" borderId="0" xfId="0" applyFont="1" applyNumberFormat="1">
      <alignment horizontal="center" vertical="center"/>
    </xf>
    <xf numFmtId="0" fontId="23" fillId="0" borderId="0" xfId="0" applyFont="1" applyNumberFormat="1"/>
    <xf numFmtId="49" fontId="23" fillId="0" borderId="14" xfId="0" applyFont="1" applyBorder="1" applyNumberFormat="1">
      <alignment horizontal="left" vertical="center" wrapText="1"/>
    </xf>
    <xf numFmtId="0" fontId="23" fillId="0" borderId="0" xfId="0" applyFont="1" applyNumberFormat="1"/>
    <xf numFmtId="0" fontId="45" fillId="37" borderId="0" xfId="0" applyFont="1" applyFill="1" applyNumberFormat="1">
      <alignment horizontal="center"/>
    </xf>
    <xf numFmtId="49" fontId="23" fillId="39" borderId="14" xfId="0" applyFont="1" applyFill="1" applyBorder="1" applyNumberFormat="1">
      <alignment horizontal="left" vertical="center" wrapText="1"/>
      <protection locked="0"/>
    </xf>
    <xf numFmtId="49" fontId="48" fillId="40" borderId="15" xfId="0" applyFont="1" applyFill="1" applyBorder="1" applyNumberFormat="1">
      <alignment horizontal="left" vertical="center"/>
    </xf>
    <xf numFmtId="49" fontId="0" fillId="0" borderId="17" xfId="0" applyFont="1" applyBorder="1" applyNumberFormat="1">
      <alignment horizontal="left" vertical="center" indent="1"/>
    </xf>
    <xf numFmtId="49" fontId="70" fillId="0" borderId="0" xfId="0" applyFont="1" applyNumberFormat="1">
      <alignment vertical="top"/>
    </xf>
    <xf numFmtId="49" fontId="0" fillId="0" borderId="27" xfId="0" applyFont="1" applyBorder="1" applyNumberFormat="1">
      <alignment horizontal="center" vertical="center"/>
    </xf>
    <xf numFmtId="49" fontId="0" fillId="0" borderId="0" xfId="0" applyFont="1" applyNumberFormat="1">
      <alignment vertical="top"/>
    </xf>
    <xf numFmtId="49" fontId="0" fillId="41" borderId="0" xfId="0" applyFont="1" applyFill="1" applyNumberFormat="1">
      <alignment vertical="top"/>
    </xf>
    <xf numFmtId="49" fontId="0" fillId="41" borderId="0" xfId="0" applyFont="1" applyFill="1" applyNumberFormat="1">
      <alignment vertical="top"/>
    </xf>
    <xf numFmtId="0" fontId="45" fillId="37" borderId="0" xfId="0" applyFont="1" applyFill="1" applyNumberFormat="1">
      <alignment horizontal="center" vertical="center" wrapText="1"/>
    </xf>
    <xf numFmtId="0" fontId="50" fillId="0" borderId="0" xfId="0" applyFont="1" applyNumberFormat="1">
      <alignment vertical="center" wrapText="1"/>
    </xf>
    <xf numFmtId="0" fontId="45" fillId="0" borderId="0" xfId="0" applyFont="1" applyNumberFormat="1">
      <alignment horizontal="center" vertical="center" wrapText="1"/>
    </xf>
    <xf numFmtId="0" fontId="23" fillId="0" borderId="14" xfId="0" applyFont="1" applyBorder="1" applyNumberFormat="1">
      <alignment horizontal="center" vertical="center" wrapText="1"/>
    </xf>
    <xf numFmtId="0" fontId="55" fillId="0" borderId="14" xfId="0" applyFont="1" applyBorder="1" applyNumberFormat="1">
      <alignment horizontal="center" vertical="center"/>
    </xf>
    <xf numFmtId="0" fontId="23" fillId="0" borderId="25" xfId="0" applyFont="1" applyBorder="1" applyNumberFormat="1">
      <alignment horizontal="center" vertical="center" wrapText="1"/>
    </xf>
    <xf numFmtId="0" fontId="54" fillId="0" borderId="25" xfId="0" applyFont="1" applyBorder="1" applyNumberFormat="1">
      <alignment horizontal="center" vertical="center" wrapText="1"/>
    </xf>
    <xf numFmtId="0" fontId="54" fillId="0" borderId="0" xfId="0" applyFont="1" applyNumberFormat="1">
      <alignment horizontal="center" vertical="center" wrapText="1"/>
    </xf>
    <xf numFmtId="0" fontId="54" fillId="0" borderId="14" xfId="0" applyFont="1" applyBorder="1" applyNumberFormat="1">
      <alignment horizontal="center" vertical="center" wrapText="1"/>
    </xf>
    <xf numFmtId="14" fontId="23" fillId="43" borderId="14" xfId="0" applyFont="1" applyFill="1" applyBorder="1" applyNumberFormat="1">
      <alignment horizontal="left" vertical="center" wrapText="1" indent="1"/>
    </xf>
    <xf numFmtId="49" fontId="23" fillId="38" borderId="14" xfId="0" applyFont="1" applyFill="1" applyBorder="1" applyNumberFormat="1">
      <alignment horizontal="center" vertical="center" wrapText="1"/>
    </xf>
    <xf numFmtId="49" fontId="58" fillId="41" borderId="0" xfId="0" applyFont="1" applyFill="1" applyNumberFormat="1">
      <alignment vertical="top"/>
    </xf>
    <xf numFmtId="49" fontId="58" fillId="0" borderId="0" xfId="0" applyFont="1" applyNumberFormat="1">
      <alignment vertical="top"/>
    </xf>
    <xf numFmtId="0" fontId="0" fillId="0" borderId="0" xfId="0" applyFont="1" applyNumberFormat="1">
      <alignment vertical="center"/>
    </xf>
    <xf numFmtId="0" fontId="44" fillId="0" borderId="26" xfId="0" applyFont="1" applyBorder="1" applyNumberFormat="1">
      <alignment horizontal="center" vertical="center" wrapText="1"/>
    </xf>
    <xf numFmtId="14" fontId="86" fillId="0" borderId="19" xfId="0" applyFont="1" applyBorder="1" applyNumberFormat="1">
      <alignment horizontal="center" vertical="center" wrapText="1"/>
    </xf>
    <xf numFmtId="0" fontId="80" fillId="0" borderId="14" xfId="0" applyFont="1" applyBorder="1" applyNumberFormat="1">
      <alignment horizontal="left" vertical="center" wrapText="1" indent="1"/>
    </xf>
    <xf numFmtId="0" fontId="86" fillId="0" borderId="19" xfId="0" applyFont="1" applyBorder="1" applyNumberFormat="1">
      <alignment horizontal="center" vertical="center" wrapText="1"/>
    </xf>
    <xf numFmtId="49" fontId="23" fillId="0" borderId="14" xfId="0" applyFont="1" applyBorder="1" applyNumberFormat="1">
      <alignment horizontal="center" vertical="center" wrapText="1"/>
    </xf>
    <xf numFmtId="0" fontId="79" fillId="0" borderId="0" xfId="0" applyFont="1" applyNumberFormat="1">
      <alignment vertical="center"/>
    </xf>
    <xf numFmtId="14" fontId="86" fillId="0" borderId="38" xfId="0" applyFont="1" applyBorder="1" applyNumberFormat="1">
      <alignment horizontal="center" vertical="center" wrapText="1"/>
    </xf>
    <xf numFmtId="0" fontId="80" fillId="0" borderId="14" xfId="0" applyFont="1" applyBorder="1" applyNumberFormat="1">
      <alignment horizontal="left" vertical="top" indent="1"/>
    </xf>
    <xf numFmtId="49" fontId="0" fillId="0" borderId="14" xfId="0" applyFont="1" applyBorder="1" applyNumberFormat="1">
      <alignment vertical="top"/>
    </xf>
    <xf numFmtId="0" fontId="44" fillId="0" borderId="14" xfId="0" applyFont="1" applyBorder="1" applyNumberFormat="1">
      <alignment horizontal="center" vertical="center" wrapText="1"/>
    </xf>
    <xf numFmtId="0" fontId="23" fillId="43" borderId="14" xfId="0" applyFont="1" applyFill="1" applyBorder="1" applyNumberFormat="1">
      <alignment horizontal="left" vertical="center" wrapText="1" indent="1"/>
    </xf>
    <xf numFmtId="0" fontId="44" fillId="0" borderId="14" xfId="0" applyFont="1" applyBorder="1" applyNumberFormat="1">
      <alignment horizontal="center" vertical="center" wrapText="1"/>
    </xf>
    <xf numFmtId="49" fontId="23" fillId="0" borderId="15" xfId="0" applyFont="1" applyBorder="1" applyNumberFormat="1">
      <alignment horizontal="center" vertical="center" wrapText="1"/>
    </xf>
    <xf numFmtId="49" fontId="80" fillId="42" borderId="14" xfId="0" applyFont="1" applyFill="1" applyBorder="1" applyNumberFormat="1">
      <alignment horizontal="left" vertical="center" wrapText="1" indent="1"/>
      <protection locked="0"/>
    </xf>
    <xf numFmtId="49" fontId="23" fillId="37" borderId="0" xfId="0" applyFont="1" applyFill="1" applyNumberFormat="1">
      <alignment horizontal="center" vertical="center" wrapText="1"/>
    </xf>
    <xf numFmtId="0" fontId="23" fillId="37" borderId="0" xfId="0" applyFont="1" applyFill="1" applyNumberFormat="1">
      <alignment horizontal="center" vertical="top" wrapText="1"/>
    </xf>
    <xf numFmtId="49" fontId="23" fillId="43" borderId="16" xfId="0" applyFont="1" applyFill="1" applyBorder="1" applyNumberFormat="1">
      <alignment horizontal="left" vertical="center" wrapText="1"/>
    </xf>
    <xf numFmtId="49" fontId="0" fillId="0" borderId="14" xfId="0" applyFont="1" applyBorder="1" applyNumberFormat="1">
      <alignment vertical="top"/>
    </xf>
    <xf numFmtId="0" fontId="0" fillId="0" borderId="14" xfId="0" applyFont="1" applyBorder="1" applyNumberFormat="1">
      <alignment horizontal="center" vertical="center" wrapText="1"/>
    </xf>
    <xf numFmtId="49" fontId="0" fillId="42" borderId="14" xfId="0" applyFont="1" applyFill="1" applyBorder="1" applyNumberFormat="1">
      <alignment horizontal="left" vertical="center" wrapText="1"/>
      <protection locked="0"/>
    </xf>
    <xf numFmtId="49" fontId="0" fillId="0" borderId="0" xfId="0" applyFont="1" applyNumberFormat="1">
      <alignment vertical="top"/>
    </xf>
    <xf numFmtId="49" fontId="23" fillId="0" borderId="0" xfId="0" applyFont="1" applyNumberFormat="1">
      <alignment vertical="top"/>
    </xf>
    <xf numFmtId="0" fontId="45" fillId="37" borderId="0" xfId="0" applyFont="1" applyFill="1" applyNumberFormat="1">
      <alignment vertical="top" wrapText="1"/>
    </xf>
    <xf numFmtId="0" fontId="23" fillId="37" borderId="16" xfId="0" applyFont="1" applyFill="1" applyBorder="1" applyNumberFormat="1">
      <alignment horizontal="center" vertical="center" wrapText="1"/>
    </xf>
    <xf numFmtId="0" fontId="55" fillId="37" borderId="14" xfId="0" applyFont="1" applyFill="1" applyBorder="1" applyNumberFormat="1">
      <alignment horizontal="center" vertical="center" wrapText="1"/>
    </xf>
    <xf numFmtId="14" fontId="23" fillId="43" borderId="31" xfId="0" applyFont="1" applyFill="1" applyBorder="1" applyNumberFormat="1">
      <alignment horizontal="left" vertical="center" wrapText="1"/>
    </xf>
    <xf numFmtId="49" fontId="127" fillId="42" borderId="14" xfId="0" applyFont="1" applyFill="1" applyBorder="1" applyNumberFormat="1">
      <alignment horizontal="left" vertical="center" wrapText="1"/>
      <protection locked="0"/>
    </xf>
    <xf numFmtId="49" fontId="0" fillId="0" borderId="14" xfId="0" applyFont="1" applyBorder="1" applyNumberFormat="1">
      <alignment horizontal="center" vertical="center" wrapText="1"/>
    </xf>
    <xf numFmtId="0" fontId="23" fillId="43" borderId="16" xfId="0" applyFont="1" applyFill="1" applyBorder="1" applyNumberFormat="1">
      <alignment horizontal="left" vertical="center" wrapText="1"/>
    </xf>
    <xf numFmtId="0" fontId="0" fillId="0" borderId="25" xfId="0" applyFont="1" applyBorder="1" applyNumberFormat="1">
      <alignment horizontal="center" vertical="center" wrapText="1"/>
    </xf>
    <xf numFmtId="49" fontId="23" fillId="0" borderId="0" xfId="0" applyFont="1" applyNumberFormat="1">
      <alignment vertical="top"/>
    </xf>
    <xf numFmtId="49" fontId="45" fillId="0" borderId="0" xfId="0" applyFont="1" applyNumberFormat="1">
      <alignment horizontal="center" vertical="center" wrapText="1"/>
    </xf>
    <xf numFmtId="167" fontId="0" fillId="42" borderId="14" xfId="0" applyFont="1" applyFill="1" applyBorder="1" applyNumberFormat="1">
      <alignment horizontal="center" vertical="center" wrapText="1"/>
      <protection locked="0"/>
    </xf>
    <xf numFmtId="49" fontId="0" fillId="42" borderId="14" xfId="0" applyFont="1" applyFill="1" applyBorder="1" applyNumberFormat="1">
      <alignment horizontal="center" vertical="center" wrapText="1"/>
      <protection locked="0"/>
    </xf>
    <xf numFmtId="49" fontId="0" fillId="37" borderId="14" xfId="0" applyFont="1" applyFill="1" applyBorder="1" applyNumberFormat="1">
      <alignment horizontal="center" vertical="center" wrapText="1"/>
    </xf>
    <xf numFmtId="0" fontId="0" fillId="42" borderId="16" xfId="0" applyFont="1" applyFill="1" applyBorder="1" applyNumberFormat="1">
      <alignment horizontal="left" vertical="center" wrapText="1" indent="2"/>
      <protection locked="0"/>
    </xf>
    <xf numFmtId="0" fontId="45" fillId="0" borderId="26" xfId="0" applyFont="1" applyBorder="1" applyNumberFormat="1">
      <alignment horizontal="center" vertical="center" wrapText="1"/>
    </xf>
    <xf numFmtId="49" fontId="23" fillId="0" borderId="14" xfId="0" applyFont="1" applyBorder="1" applyNumberFormat="1">
      <alignment horizontal="center" vertical="top" wrapText="1"/>
    </xf>
    <xf numFmtId="0" fontId="0" fillId="38" borderId="14" xfId="0" applyFont="1" applyFill="1" applyBorder="1" applyNumberFormat="1">
      <alignment horizontal="left" vertical="top" wrapText="1" indent="1"/>
    </xf>
    <xf numFmtId="49" fontId="23" fillId="43" borderId="19" xfId="0" applyFont="1" applyFill="1" applyBorder="1" applyNumberFormat="1">
      <alignment horizontal="center" vertical="top" wrapText="1"/>
    </xf>
    <xf numFmtId="167" fontId="0" fillId="42" borderId="14" xfId="0" applyFont="1" applyFill="1" applyBorder="1" applyNumberFormat="1">
      <alignment horizontal="center" vertical="top" wrapText="1"/>
      <protection locked="0"/>
    </xf>
    <xf numFmtId="167" fontId="0" fillId="39" borderId="14" xfId="0" applyFont="1" applyFill="1" applyBorder="1" applyNumberFormat="1">
      <alignment horizontal="center" vertical="top" wrapText="1"/>
      <protection locked="0"/>
    </xf>
    <xf numFmtId="49" fontId="23" fillId="43" borderId="14" xfId="0" applyFont="1" applyFill="1" applyBorder="1" applyNumberFormat="1">
      <alignment horizontal="left" vertical="top" wrapText="1"/>
    </xf>
    <xf numFmtId="49" fontId="23" fillId="42" borderId="14" xfId="0" applyFont="1" applyFill="1" applyBorder="1" applyNumberFormat="1">
      <alignment horizontal="left" vertical="top" wrapText="1"/>
      <protection locked="0"/>
    </xf>
    <xf numFmtId="49" fontId="0" fillId="38" borderId="14" xfId="0" applyFont="1" applyFill="1" applyBorder="1" applyNumberFormat="1">
      <alignment horizontal="center" vertical="top" wrapText="1"/>
    </xf>
    <xf numFmtId="0" fontId="23" fillId="38" borderId="14" xfId="0" applyFont="1" applyFill="1" applyBorder="1" applyNumberFormat="1">
      <alignment horizontal="center" vertical="top" wrapText="1"/>
    </xf>
    <xf numFmtId="0" fontId="23" fillId="39" borderId="14" xfId="0" applyFont="1" applyFill="1" applyBorder="1" applyNumberFormat="1">
      <alignment horizontal="left" vertical="top" wrapText="1"/>
      <protection locked="0"/>
    </xf>
    <xf numFmtId="49" fontId="23" fillId="43" borderId="14" xfId="0" applyFont="1" applyFill="1" applyBorder="1" applyNumberFormat="1">
      <alignment horizontal="center" vertical="top" wrapText="1"/>
    </xf>
    <xf numFmtId="0" fontId="23" fillId="0" borderId="38" xfId="0" applyFont="1" applyBorder="1" applyNumberFormat="1">
      <alignment horizontal="center" vertical="center" wrapText="1"/>
    </xf>
    <xf numFmtId="0" fontId="23" fillId="0" borderId="14" xfId="0" applyFont="1" applyBorder="1" applyNumberFormat="1">
      <alignment horizontal="center" vertical="center" wrapText="1"/>
    </xf>
    <xf numFmtId="49" fontId="23" fillId="42" borderId="19" xfId="0" applyFont="1" applyFill="1" applyBorder="1" applyNumberFormat="1">
      <alignment horizontal="left" vertical="center" wrapText="1" indent="1"/>
      <protection locked="0"/>
    </xf>
    <xf numFmtId="0" fontId="23" fillId="0" borderId="26" xfId="0" applyFont="1" applyBorder="1" applyNumberFormat="1">
      <alignment vertical="top" wrapText="1"/>
    </xf>
    <xf numFmtId="49" fontId="23" fillId="43" borderId="25" xfId="0" applyFont="1" applyFill="1" applyBorder="1" applyNumberFormat="1">
      <alignment horizontal="center" vertical="top" wrapText="1"/>
    </xf>
    <xf numFmtId="49" fontId="0" fillId="42" borderId="14" xfId="0" applyFont="1" applyFill="1" applyBorder="1" applyNumberFormat="1">
      <alignment horizontal="center" vertical="top" wrapText="1"/>
      <protection locked="0"/>
    </xf>
    <xf numFmtId="49" fontId="0" fillId="39" borderId="14" xfId="0" applyFont="1" applyFill="1" applyBorder="1" applyNumberFormat="1">
      <alignment horizontal="center" vertical="top" wrapText="1"/>
      <protection locked="0"/>
    </xf>
    <xf numFmtId="49" fontId="23" fillId="43" borderId="16" xfId="0" applyFont="1" applyFill="1" applyBorder="1" applyNumberFormat="1">
      <alignment horizontal="center" vertical="top" wrapText="1"/>
    </xf>
    <xf numFmtId="49" fontId="23" fillId="0" borderId="38" xfId="0" applyFont="1" applyBorder="1" applyNumberFormat="1">
      <alignment horizontal="center" vertical="top" wrapText="1"/>
    </xf>
    <xf numFmtId="0" fontId="0" fillId="38" borderId="38" xfId="0" applyFont="1" applyFill="1" applyBorder="1" applyNumberFormat="1">
      <alignment horizontal="left" vertical="top" wrapText="1" indent="1"/>
    </xf>
    <xf numFmtId="49" fontId="23" fillId="43" borderId="38" xfId="0" applyFont="1" applyFill="1" applyBorder="1" applyNumberFormat="1">
      <alignment horizontal="center" vertical="top" wrapText="1"/>
    </xf>
    <xf numFmtId="49" fontId="0" fillId="42" borderId="38" xfId="0" applyFont="1" applyFill="1" applyBorder="1" applyNumberFormat="1">
      <alignment horizontal="center" vertical="top" wrapText="1"/>
      <protection locked="0"/>
    </xf>
    <xf numFmtId="49" fontId="0" fillId="39" borderId="38" xfId="0" applyFont="1" applyFill="1" applyBorder="1" applyNumberFormat="1">
      <alignment horizontal="center" vertical="top" wrapText="1"/>
      <protection locked="0"/>
    </xf>
    <xf numFmtId="49" fontId="23" fillId="43" borderId="38" xfId="0" applyFont="1" applyFill="1" applyBorder="1" applyNumberFormat="1">
      <alignment horizontal="left" vertical="top" wrapText="1"/>
    </xf>
    <xf numFmtId="49" fontId="23" fillId="42" borderId="38" xfId="0" applyFont="1" applyFill="1" applyBorder="1" applyNumberFormat="1">
      <alignment horizontal="left" vertical="top" wrapText="1"/>
      <protection locked="0"/>
    </xf>
    <xf numFmtId="49" fontId="0" fillId="38" borderId="38" xfId="0" applyFont="1" applyFill="1" applyBorder="1" applyNumberFormat="1">
      <alignment horizontal="center" vertical="top" wrapText="1"/>
    </xf>
    <xf numFmtId="0" fontId="23" fillId="38" borderId="38" xfId="0" applyFont="1" applyFill="1" applyBorder="1" applyNumberFormat="1">
      <alignment horizontal="center" vertical="top" wrapText="1"/>
    </xf>
    <xf numFmtId="0" fontId="23" fillId="39" borderId="38" xfId="0" applyFont="1" applyFill="1" applyBorder="1" applyNumberFormat="1">
      <alignment horizontal="left" vertical="top" wrapText="1"/>
      <protection locked="0"/>
    </xf>
    <xf numFmtId="0" fontId="108" fillId="0" borderId="50" xfId="0" applyFont="1" applyBorder="1" applyNumberFormat="1">
      <alignment horizontal="left" vertical="center" indent="1"/>
    </xf>
    <xf numFmtId="0" fontId="108" fillId="0" borderId="51" xfId="0" applyFont="1" applyBorder="1" applyNumberFormat="1">
      <alignment horizontal="left" vertical="center" indent="1"/>
    </xf>
    <xf numFmtId="0" fontId="0" fillId="0" borderId="51" xfId="0" applyFont="1" applyBorder="1" applyNumberFormat="1">
      <alignment horizontal="left" vertical="center" wrapText="1"/>
    </xf>
    <xf numFmtId="0" fontId="23" fillId="0" borderId="51" xfId="0" applyFont="1" applyBorder="1" applyNumberFormat="1">
      <alignment vertical="center" wrapText="1"/>
    </xf>
    <xf numFmtId="0" fontId="23" fillId="0" borderId="56" xfId="0" applyFont="1" applyBorder="1" applyNumberFormat="1">
      <alignment vertical="center" wrapText="1"/>
    </xf>
    <xf numFmtId="0" fontId="23" fillId="0" borderId="57" xfId="0" applyFont="1" applyBorder="1" applyNumberFormat="1">
      <alignment vertical="center" wrapText="1"/>
    </xf>
    <xf numFmtId="0" fontId="23" fillId="0" borderId="40" xfId="0" applyFont="1" applyBorder="1" applyNumberFormat="1">
      <alignment vertical="center" wrapText="1"/>
    </xf>
    <xf numFmtId="49" fontId="23" fillId="38" borderId="14" xfId="0" applyFont="1" applyFill="1" applyBorder="1" applyNumberFormat="1">
      <alignment horizontal="center" vertical="center" wrapText="1"/>
    </xf>
    <xf numFmtId="49" fontId="23" fillId="0" borderId="15" xfId="0" applyFont="1" applyBorder="1" applyNumberFormat="1">
      <alignment horizontal="center" vertical="center" wrapText="1"/>
    </xf>
    <xf numFmtId="49" fontId="23" fillId="43" borderId="15" xfId="0" applyFont="1" applyFill="1" applyBorder="1" applyNumberFormat="1">
      <alignment horizontal="left" vertical="center" wrapText="1"/>
    </xf>
    <xf numFmtId="49" fontId="23" fillId="42" borderId="14" xfId="0" applyFont="1" applyFill="1" applyBorder="1" applyNumberFormat="1">
      <alignment horizontal="left" vertical="center" wrapText="1"/>
      <protection locked="0"/>
    </xf>
    <xf numFmtId="49" fontId="23" fillId="43" borderId="16" xfId="0" applyFont="1" applyFill="1" applyBorder="1" applyNumberFormat="1">
      <alignment horizontal="center" vertical="center" wrapText="1"/>
    </xf>
    <xf numFmtId="49" fontId="110" fillId="40" borderId="45" xfId="0" applyFont="1" applyFill="1" applyBorder="1" applyNumberFormat="1">
      <alignment horizontal="left" vertical="center" indent="1"/>
    </xf>
    <xf numFmtId="49" fontId="99" fillId="40" borderId="45" xfId="0" applyFont="1" applyFill="1" applyBorder="1" applyNumberFormat="1">
      <alignment horizontal="center" vertical="center"/>
    </xf>
    <xf numFmtId="3" fontId="23" fillId="42" borderId="14" xfId="0" applyFont="1" applyFill="1" applyBorder="1" applyNumberFormat="1">
      <alignment horizontal="center" vertical="center" wrapText="1"/>
      <protection locked="0"/>
    </xf>
    <xf numFmtId="49" fontId="128" fillId="0" borderId="15" xfId="0" applyFont="1" applyBorder="1" applyNumberFormat="1">
      <alignment horizontal="center" vertical="center" wrapText="1"/>
    </xf>
    <xf numFmtId="0" fontId="53" fillId="0" borderId="14" xfId="0" applyFont="1" applyBorder="1" applyNumberFormat="1">
      <alignment horizontal="center" vertical="center"/>
    </xf>
    <xf numFmtId="49" fontId="23" fillId="43" borderId="19" xfId="0" applyFont="1" applyFill="1" applyBorder="1" applyNumberFormat="1">
      <alignment horizontal="left" vertical="center" wrapText="1" indent="1"/>
    </xf>
    <xf numFmtId="49" fontId="23" fillId="0" borderId="14" xfId="0" applyFont="1" applyBorder="1" applyNumberFormat="1">
      <alignment horizontal="left" vertical="center" wrapText="1"/>
    </xf>
    <xf numFmtId="49" fontId="110" fillId="40" borderId="16" xfId="0" applyFont="1" applyFill="1" applyBorder="1" applyNumberFormat="1">
      <alignment horizontal="left" vertical="center" indent="1"/>
    </xf>
    <xf numFmtId="49" fontId="110" fillId="40" borderId="17" xfId="0" applyFont="1" applyFill="1" applyBorder="1" applyNumberFormat="1">
      <alignment horizontal="left" vertical="center" indent="1"/>
    </xf>
    <xf numFmtId="49" fontId="53" fillId="40" borderId="17" xfId="0" applyFont="1" applyFill="1" applyBorder="1" applyNumberFormat="1">
      <alignment vertical="top" wrapText="1"/>
    </xf>
    <xf numFmtId="49" fontId="53" fillId="40" borderId="15" xfId="0" applyFont="1" applyFill="1" applyBorder="1" applyNumberFormat="1">
      <alignment vertical="top" wrapText="1"/>
    </xf>
    <xf numFmtId="49" fontId="23" fillId="43" borderId="38" xfId="0" applyFont="1" applyFill="1" applyBorder="1" applyNumberFormat="1">
      <alignment horizontal="left" vertical="center" wrapText="1" indent="1"/>
    </xf>
    <xf numFmtId="49" fontId="23" fillId="38" borderId="14" xfId="0" applyFont="1" applyFill="1" applyBorder="1" applyNumberFormat="1">
      <alignment horizontal="left" vertical="center" wrapText="1"/>
    </xf>
    <xf numFmtId="49" fontId="128" fillId="0" borderId="0" xfId="0" applyFont="1" applyNumberFormat="1">
      <alignment horizontal="center" vertical="top" wrapText="1"/>
    </xf>
    <xf numFmtId="0" fontId="53" fillId="0" borderId="14" xfId="0" applyFont="1" applyBorder="1" applyNumberFormat="1">
      <alignment horizontal="center" vertical="center"/>
    </xf>
    <xf numFmtId="0" fontId="53" fillId="43" borderId="14" xfId="0" applyFont="1" applyFill="1" applyBorder="1" applyNumberFormat="1">
      <alignment horizontal="left" vertical="center" wrapText="1" indent="1"/>
    </xf>
    <xf numFmtId="4" fontId="23" fillId="42" borderId="33" xfId="0" applyFont="1" applyFill="1" applyBorder="1" applyNumberFormat="1">
      <alignment horizontal="right" vertical="center" wrapText="1"/>
      <protection locked="0"/>
    </xf>
    <xf numFmtId="49" fontId="23" fillId="43" borderId="25" xfId="0" applyFont="1" applyFill="1" applyBorder="1" applyNumberFormat="1">
      <alignment horizontal="left" vertical="center" wrapText="1" indent="1"/>
    </xf>
    <xf numFmtId="49" fontId="48" fillId="40" borderId="17" xfId="0" applyFont="1" applyFill="1" applyBorder="1" applyNumberFormat="1">
      <alignment horizontal="left" vertical="center" indent="1"/>
    </xf>
    <xf numFmtId="49" fontId="53" fillId="40" borderId="54" xfId="0" applyFont="1" applyFill="1" applyBorder="1" applyNumberFormat="1">
      <alignment vertical="top" wrapText="1"/>
    </xf>
    <xf numFmtId="49" fontId="110" fillId="40" borderId="54" xfId="0" applyFont="1" applyFill="1" applyBorder="1" applyNumberFormat="1">
      <alignment horizontal="left" vertical="center" indent="1"/>
    </xf>
    <xf numFmtId="49" fontId="23" fillId="38" borderId="77" xfId="0" applyFont="1" applyFill="1" applyBorder="1" applyNumberFormat="1">
      <alignment horizontal="center" vertical="center" wrapText="1"/>
    </xf>
    <xf numFmtId="0" fontId="0" fillId="40" borderId="52" xfId="0" applyFont="1" applyFill="1" applyBorder="1" applyNumberFormat="1">
      <alignment horizontal="left" vertical="center"/>
    </xf>
    <xf numFmtId="49" fontId="48" fillId="40" borderId="53" xfId="0" applyFont="1" applyFill="1" applyBorder="1" applyNumberFormat="1">
      <alignment horizontal="left" vertical="center" indent="1"/>
    </xf>
    <xf numFmtId="0" fontId="23" fillId="40" borderId="52" xfId="0" applyFont="1" applyFill="1" applyBorder="1" applyNumberFormat="1">
      <alignment vertical="center" wrapText="1"/>
    </xf>
    <xf numFmtId="0" fontId="23" fillId="40" borderId="53" xfId="0" applyFont="1" applyFill="1" applyBorder="1" applyNumberFormat="1">
      <alignment vertical="center" wrapText="1"/>
    </xf>
    <xf numFmtId="0" fontId="23" fillId="40" borderId="55" xfId="0" applyFont="1" applyFill="1" applyBorder="1" applyNumberFormat="1">
      <alignment vertical="center" wrapText="1"/>
    </xf>
    <xf numFmtId="49" fontId="0" fillId="38" borderId="38" xfId="0" applyFont="1" applyFill="1" applyBorder="1" applyNumberFormat="1">
      <alignment vertical="top"/>
    </xf>
    <xf numFmtId="49" fontId="0" fillId="0" borderId="38" xfId="0" applyFont="1" applyBorder="1" applyNumberFormat="1">
      <alignment vertical="top"/>
    </xf>
    <xf numFmtId="49" fontId="23" fillId="43" borderId="19" xfId="0" applyFont="1" applyFill="1" applyBorder="1" applyNumberFormat="1">
      <alignment vertical="center" wrapText="1"/>
    </xf>
    <xf numFmtId="49" fontId="0" fillId="42" borderId="38" xfId="0" applyFont="1" applyFill="1" applyBorder="1" applyNumberFormat="1">
      <alignment vertical="top"/>
      <protection locked="0"/>
    </xf>
    <xf numFmtId="49" fontId="128" fillId="0" borderId="14" xfId="0" applyFont="1" applyBorder="1" applyNumberFormat="1">
      <alignment horizontal="center" vertical="center" wrapText="1"/>
    </xf>
    <xf numFmtId="49" fontId="0" fillId="42" borderId="19" xfId="0" applyFont="1" applyFill="1" applyBorder="1" applyNumberFormat="1">
      <alignment vertical="top"/>
      <protection locked="0"/>
    </xf>
    <xf numFmtId="14" fontId="23" fillId="43" borderId="38" xfId="0" applyFont="1" applyFill="1" applyBorder="1" applyNumberFormat="1">
      <alignment horizontal="left" vertical="center" wrapText="1" indent="1"/>
    </xf>
    <xf numFmtId="49" fontId="23" fillId="43" borderId="38" xfId="0" applyFont="1" applyFill="1" applyBorder="1" applyNumberFormat="1">
      <alignment vertical="center" wrapText="1"/>
    </xf>
    <xf numFmtId="49" fontId="23" fillId="43" borderId="25" xfId="0" applyFont="1" applyFill="1" applyBorder="1" applyNumberFormat="1">
      <alignment vertical="center" wrapText="1"/>
    </xf>
    <xf numFmtId="49" fontId="0" fillId="42" borderId="25" xfId="0" applyFont="1" applyFill="1" applyBorder="1" applyNumberFormat="1">
      <alignment vertical="top"/>
      <protection locked="0"/>
    </xf>
    <xf numFmtId="49" fontId="128" fillId="0" borderId="38" xfId="0" applyFont="1" applyBorder="1" applyNumberFormat="1">
      <alignment horizontal="center" vertical="top" wrapText="1"/>
    </xf>
    <xf numFmtId="0" fontId="53" fillId="0" borderId="15" xfId="0" applyFont="1" applyBorder="1" applyNumberFormat="1">
      <alignment horizontal="center" vertical="center"/>
    </xf>
    <xf numFmtId="0" fontId="108" fillId="0" borderId="49" xfId="0" applyFont="1" applyBorder="1" applyNumberFormat="1">
      <alignment horizontal="left" vertical="center" indent="1"/>
    </xf>
    <xf numFmtId="49" fontId="23" fillId="0" borderId="58" xfId="0" applyFont="1" applyBorder="1" applyNumberFormat="1">
      <alignment horizontal="center" vertical="center"/>
    </xf>
    <xf numFmtId="0" fontId="23" fillId="0" borderId="58" xfId="0" applyFont="1" applyBorder="1" applyNumberFormat="1">
      <alignment horizontal="right" vertical="center"/>
    </xf>
    <xf numFmtId="0" fontId="23" fillId="0" borderId="58" xfId="0" applyFont="1" applyBorder="1" applyNumberFormat="1">
      <alignment horizontal="center" vertical="center"/>
    </xf>
    <xf numFmtId="0" fontId="23" fillId="0" borderId="17" xfId="0" applyFont="1" applyBorder="1" applyNumberFormat="1">
      <alignment horizontal="right" vertical="center"/>
    </xf>
    <xf numFmtId="0" fontId="23" fillId="0" borderId="15" xfId="0" applyFont="1" applyBorder="1" applyNumberFormat="1">
      <alignment horizontal="right" vertical="center"/>
    </xf>
    <xf numFmtId="49" fontId="0" fillId="0" borderId="0" xfId="0" applyFont="1" applyNumberFormat="1">
      <alignment vertical="top"/>
    </xf>
    <xf numFmtId="0" fontId="23" fillId="37" borderId="14" xfId="0" applyFont="1" applyFill="1" applyBorder="1" applyNumberFormat="1">
      <alignment horizontal="center" vertical="center"/>
    </xf>
    <xf numFmtId="0" fontId="23" fillId="43" borderId="14" xfId="0" applyFont="1" applyFill="1" applyBorder="1" applyNumberFormat="1">
      <alignment horizontal="left" vertical="center" wrapText="1" indent="1"/>
    </xf>
    <xf numFmtId="0" fontId="23" fillId="42" borderId="14" xfId="0" applyFont="1" applyFill="1" applyBorder="1" applyNumberFormat="1">
      <alignment horizontal="left" vertical="center" wrapText="1" indent="1"/>
      <protection locked="0"/>
    </xf>
    <xf numFmtId="49" fontId="23" fillId="39" borderId="14" xfId="0" applyFont="1" applyFill="1" applyBorder="1" applyNumberFormat="1">
      <alignment horizontal="left" vertical="center" indent="1"/>
      <protection locked="0"/>
    </xf>
    <xf numFmtId="0" fontId="23" fillId="34" borderId="14" xfId="0" applyFont="1" applyFill="1" applyBorder="1" applyNumberFormat="1">
      <alignment horizontal="right" vertical="center"/>
    </xf>
    <xf numFmtId="4" fontId="23" fillId="39" borderId="14" xfId="0" applyFont="1" applyFill="1" applyBorder="1" applyNumberFormat="1">
      <alignment horizontal="right" vertical="center"/>
      <protection locked="0"/>
    </xf>
    <xf numFmtId="49" fontId="48" fillId="40" borderId="59" xfId="0" applyFont="1" applyFill="1" applyBorder="1" applyNumberFormat="1">
      <alignment horizontal="left" vertical="center" indent="1"/>
    </xf>
    <xf numFmtId="49" fontId="48" fillId="40" borderId="53" xfId="0" applyFont="1" applyFill="1" applyBorder="1" applyNumberFormat="1">
      <alignment horizontal="left" vertical="center" indent="1"/>
    </xf>
    <xf numFmtId="49" fontId="48" fillId="40" borderId="53" xfId="0" applyFont="1" applyFill="1" applyBorder="1" applyNumberFormat="1">
      <alignment horizontal="left" vertical="center" indent="1"/>
    </xf>
    <xf numFmtId="49" fontId="48" fillId="54" borderId="15" xfId="0" applyFont="1" applyFill="1" applyBorder="1" applyNumberFormat="1">
      <alignment horizontal="left" vertical="center" indent="1"/>
    </xf>
    <xf numFmtId="49" fontId="23" fillId="0" borderId="0" xfId="0" applyFont="1" applyNumberFormat="1">
      <alignment vertical="top"/>
    </xf>
    <xf numFmtId="49" fontId="23" fillId="0" borderId="19" xfId="0" applyFont="1" applyBorder="1" applyNumberFormat="1">
      <alignment horizontal="center" vertical="center" wrapText="1"/>
    </xf>
    <xf numFmtId="49" fontId="23" fillId="0" borderId="38" xfId="0" applyFont="1" applyBorder="1" applyNumberFormat="1">
      <alignment horizontal="center" vertical="center" wrapText="1"/>
    </xf>
    <xf numFmtId="0" fontId="54" fillId="0" borderId="0" xfId="0" applyFont="1" applyNumberFormat="1">
      <alignment horizontal="center" vertical="center" wrapText="1"/>
    </xf>
    <xf numFmtId="0" fontId="23" fillId="0" borderId="14" xfId="0" applyFont="1" applyBorder="1" applyNumberFormat="1">
      <alignment horizontal="left" vertical="center" wrapText="1"/>
    </xf>
    <xf numFmtId="0" fontId="55" fillId="0" borderId="0" xfId="0" applyFont="1" applyNumberFormat="1">
      <alignment horizontal="center" vertical="center" wrapText="1"/>
    </xf>
    <xf numFmtId="0" fontId="48" fillId="0" borderId="14" xfId="0" applyFont="1" applyBorder="1" applyNumberFormat="1">
      <alignment horizontal="left" vertical="center" indent="1"/>
    </xf>
    <xf numFmtId="0" fontId="54" fillId="0" borderId="0" xfId="0" applyFont="1" applyNumberFormat="1">
      <alignment horizontal="center" vertical="top"/>
    </xf>
    <xf numFmtId="49" fontId="23" fillId="0" borderId="25" xfId="0" applyFont="1" applyBorder="1" applyNumberFormat="1">
      <alignment horizontal="center" vertical="center" wrapText="1"/>
    </xf>
    <xf numFmtId="0" fontId="55" fillId="0" borderId="25" xfId="0" applyFont="1" applyBorder="1" applyNumberFormat="1">
      <alignment vertical="center" wrapText="1"/>
    </xf>
    <xf numFmtId="4" fontId="55" fillId="0" borderId="14" xfId="0" applyFont="1" applyBorder="1" applyNumberFormat="1">
      <alignment horizontal="right" vertical="center" wrapText="1"/>
    </xf>
    <xf numFmtId="2" fontId="55" fillId="0" borderId="25" xfId="0" applyFont="1" applyBorder="1" applyNumberFormat="1">
      <alignment horizontal="center" vertical="center" wrapText="1"/>
    </xf>
    <xf numFmtId="0" fontId="55" fillId="0" borderId="0" xfId="0" applyFont="1" applyNumberFormat="1">
      <alignment horizontal="center" vertical="top"/>
    </xf>
    <xf numFmtId="49" fontId="55" fillId="0" borderId="0" xfId="0" applyFont="1" applyNumberFormat="1">
      <alignment vertical="top"/>
    </xf>
    <xf numFmtId="49" fontId="55" fillId="0" borderId="16" xfId="0" applyFont="1" applyBorder="1" applyNumberFormat="1">
      <alignment horizontal="left" vertical="center"/>
    </xf>
    <xf numFmtId="49" fontId="55" fillId="0" borderId="17" xfId="0" applyFont="1" applyBorder="1" applyNumberFormat="1">
      <alignment horizontal="left" vertical="center" indent="1"/>
    </xf>
    <xf numFmtId="49" fontId="55" fillId="0" borderId="17" xfId="0" applyFont="1" applyBorder="1" applyNumberFormat="1">
      <alignment horizontal="left" vertical="center"/>
    </xf>
    <xf numFmtId="49" fontId="55" fillId="0" borderId="15" xfId="0" applyFont="1" applyBorder="1" applyNumberFormat="1">
      <alignment horizontal="left" vertical="center" indent="1"/>
    </xf>
    <xf numFmtId="0" fontId="55" fillId="0" borderId="14" xfId="0" applyFont="1" applyBorder="1" applyNumberFormat="1">
      <alignment horizontal="left" vertical="center" indent="1"/>
    </xf>
    <xf numFmtId="49" fontId="0" fillId="0" borderId="21" xfId="0" applyFont="1" applyBorder="1" applyNumberFormat="1">
      <alignment vertical="top"/>
    </xf>
    <xf numFmtId="49" fontId="45" fillId="0" borderId="19" xfId="0" applyFont="1" applyBorder="1" applyNumberFormat="1">
      <alignment horizontal="center" vertical="top" wrapText="1"/>
    </xf>
    <xf numFmtId="49" fontId="23" fillId="42" borderId="16" xfId="0" applyFont="1" applyFill="1" applyBorder="1" applyNumberFormat="1">
      <alignment horizontal="left" vertical="center" wrapText="1" indent="1"/>
      <protection locked="0"/>
    </xf>
    <xf numFmtId="49" fontId="0" fillId="0" borderId="15" xfId="0" applyFont="1" applyBorder="1" applyNumberFormat="1">
      <alignment horizontal="center" vertical="center" wrapText="1"/>
    </xf>
    <xf numFmtId="0" fontId="0" fillId="0" borderId="14" xfId="0" applyFont="1" applyBorder="1" applyNumberFormat="1">
      <alignment horizontal="left" vertical="center" wrapText="1"/>
    </xf>
    <xf numFmtId="49" fontId="0" fillId="0" borderId="14" xfId="0" applyFont="1" applyBorder="1" applyNumberFormat="1">
      <alignment horizontal="center" vertical="center"/>
    </xf>
    <xf numFmtId="0" fontId="0" fillId="0" borderId="14" xfId="0" applyFont="1" applyBorder="1" applyNumberFormat="1">
      <alignment horizontal="center" vertical="center" wrapText="1"/>
    </xf>
    <xf numFmtId="4" fontId="0" fillId="38" borderId="14" xfId="0" applyFont="1" applyFill="1" applyBorder="1" applyNumberFormat="1">
      <alignment horizontal="right" vertical="center" wrapText="1"/>
    </xf>
    <xf numFmtId="49" fontId="23" fillId="0" borderId="38" xfId="0" applyFont="1" applyBorder="1" applyNumberFormat="1">
      <alignment horizontal="center" vertical="top" wrapText="1"/>
    </xf>
    <xf numFmtId="0" fontId="0" fillId="42" borderId="14" xfId="0" applyFont="1" applyFill="1" applyBorder="1" applyNumberFormat="1">
      <alignment horizontal="left" vertical="center" wrapText="1"/>
      <protection locked="0"/>
    </xf>
    <xf numFmtId="49" fontId="0" fillId="42" borderId="16" xfId="0" applyFont="1" applyFill="1" applyBorder="1" applyNumberFormat="1">
      <alignment horizontal="left" vertical="center" wrapText="1"/>
      <protection locked="0"/>
    </xf>
    <xf numFmtId="0" fontId="0" fillId="0" borderId="14" xfId="0" applyFont="1" applyBorder="1" applyNumberFormat="1">
      <alignment vertical="center" wrapText="1"/>
    </xf>
    <xf numFmtId="49" fontId="0" fillId="0" borderId="31" xfId="0" applyFont="1" applyBorder="1" applyNumberFormat="1">
      <alignment horizontal="center" vertical="center" wrapText="1"/>
    </xf>
    <xf numFmtId="49" fontId="0" fillId="42" borderId="14" xfId="0" applyFont="1" applyFill="1" applyBorder="1" applyNumberFormat="1">
      <alignment horizontal="left" vertical="center" wrapText="1"/>
      <protection locked="0"/>
    </xf>
    <xf numFmtId="4" fontId="0" fillId="42" borderId="14" xfId="0" applyFont="1" applyFill="1" applyBorder="1" applyNumberFormat="1">
      <alignment horizontal="right" vertical="center" wrapText="1"/>
      <protection locked="0"/>
    </xf>
    <xf numFmtId="49" fontId="0" fillId="42" borderId="14" xfId="0" applyFont="1" applyFill="1" applyBorder="1" applyNumberFormat="1">
      <alignment horizontal="center" vertical="center" wrapText="1"/>
      <protection locked="0"/>
    </xf>
    <xf numFmtId="4" fontId="54" fillId="0" borderId="14" xfId="0" applyFont="1" applyBorder="1" applyNumberFormat="1">
      <alignment horizontal="right" vertical="center" wrapText="1"/>
    </xf>
    <xf numFmtId="49" fontId="0" fillId="42" borderId="14" xfId="0" applyFont="1" applyFill="1" applyBorder="1" applyNumberFormat="1">
      <alignment horizontal="left" vertical="center" wrapText="1"/>
      <protection locked="0"/>
    </xf>
    <xf numFmtId="49" fontId="0" fillId="40" borderId="32" xfId="0" applyFont="1" applyFill="1" applyBorder="1" applyNumberFormat="1">
      <alignment horizontal="center" vertical="center"/>
    </xf>
    <xf numFmtId="49" fontId="0" fillId="40" borderId="17" xfId="0" applyFont="1" applyFill="1" applyBorder="1" applyNumberFormat="1">
      <alignment horizontal="center" vertical="center"/>
    </xf>
    <xf numFmtId="49" fontId="48" fillId="40" borderId="17" xfId="0" applyFont="1" applyFill="1" applyBorder="1" applyNumberFormat="1">
      <alignment horizontal="left" vertical="center"/>
    </xf>
    <xf numFmtId="49" fontId="48" fillId="40" borderId="15" xfId="0" applyFont="1" applyFill="1" applyBorder="1" applyNumberFormat="1">
      <alignment horizontal="left" vertical="center" indent="1"/>
    </xf>
    <xf numFmtId="49" fontId="23" fillId="0" borderId="25" xfId="0" applyFont="1" applyBorder="1" applyNumberFormat="1">
      <alignment horizontal="center" vertical="top" wrapText="1"/>
    </xf>
    <xf numFmtId="49" fontId="23" fillId="42" borderId="14" xfId="0" applyFont="1" applyFill="1" applyBorder="1" applyNumberFormat="1">
      <alignment horizontal="left" vertical="center" wrapText="1" indent="1"/>
      <protection locked="0"/>
    </xf>
    <xf numFmtId="49" fontId="0" fillId="0" borderId="24" xfId="0" applyFont="1" applyBorder="1" applyNumberFormat="1">
      <alignment vertical="top"/>
    </xf>
    <xf numFmtId="49" fontId="0" fillId="0" borderId="26" xfId="0" applyFont="1" applyBorder="1" applyNumberFormat="1">
      <alignment vertical="top"/>
    </xf>
    <xf numFmtId="49" fontId="0" fillId="0" borderId="0" xfId="0" applyFont="1" applyNumberFormat="1">
      <alignment horizontal="left" vertical="top"/>
    </xf>
    <xf numFmtId="0" fontId="0" fillId="0" borderId="0" xfId="0" applyFont="1" applyNumberFormat="1">
      <alignment vertical="center"/>
    </xf>
    <xf numFmtId="49" fontId="0" fillId="0" borderId="0" xfId="0" applyFont="1" applyNumberFormat="1">
      <alignment vertical="center"/>
    </xf>
    <xf numFmtId="0" fontId="45" fillId="0" borderId="0" xfId="0" applyFont="1" applyNumberFormat="1">
      <alignment horizontal="center" vertical="center" wrapText="1"/>
    </xf>
    <xf numFmtId="0" fontId="0" fillId="0" borderId="14" xfId="0" applyFont="1" applyBorder="1" applyNumberFormat="1">
      <alignment horizontal="center" vertical="center"/>
    </xf>
    <xf numFmtId="0" fontId="23" fillId="43" borderId="14" xfId="0" applyFont="1" applyFill="1" applyBorder="1" applyNumberFormat="1">
      <alignment horizontal="left" vertical="top" wrapText="1"/>
    </xf>
    <xf numFmtId="49" fontId="23" fillId="39" borderId="14" xfId="0" applyFont="1" applyFill="1" applyBorder="1" applyNumberFormat="1">
      <alignment horizontal="left" vertical="center" wrapText="1"/>
      <protection locked="0"/>
    </xf>
    <xf numFmtId="0" fontId="0" fillId="43" borderId="14" xfId="0" applyFont="1" applyFill="1" applyBorder="1" applyNumberFormat="1">
      <alignment horizontal="left" vertical="center" wrapText="1"/>
      <protection locked="0"/>
    </xf>
    <xf numFmtId="49" fontId="0" fillId="42" borderId="14" xfId="0" applyFont="1" applyFill="1" applyBorder="1" applyNumberFormat="1">
      <alignment horizontal="left" vertical="center" wrapText="1"/>
      <protection locked="0"/>
    </xf>
    <xf numFmtId="49" fontId="23" fillId="0" borderId="14" xfId="0" applyFont="1" applyBorder="1" applyNumberFormat="1">
      <alignment horizontal="center" vertical="center" wrapText="1"/>
    </xf>
    <xf numFmtId="49" fontId="0" fillId="42" borderId="14" xfId="0" applyFont="1" applyFill="1" applyBorder="1" applyNumberFormat="1">
      <alignment horizontal="left" vertical="center" wrapText="1"/>
      <protection locked="0"/>
    </xf>
    <xf numFmtId="49" fontId="23" fillId="39" borderId="14" xfId="0" applyFont="1" applyFill="1" applyBorder="1" applyNumberFormat="1">
      <alignment horizontal="left" vertical="center" wrapText="1"/>
      <protection locked="0"/>
    </xf>
    <xf numFmtId="0" fontId="0" fillId="0" borderId="0" xfId="0" applyFont="1" applyNumberFormat="1">
      <alignment horizontal="left" vertical="center" indent="1"/>
    </xf>
    <xf numFmtId="0" fontId="0" fillId="0" borderId="0" xfId="0" applyFont="1" applyNumberFormat="1">
      <alignment vertical="center"/>
    </xf>
    <xf numFmtId="0" fontId="48" fillId="40" borderId="16" xfId="0" applyFont="1" applyFill="1" applyBorder="1" applyNumberFormat="1">
      <alignment horizontal="left" vertical="center"/>
    </xf>
    <xf numFmtId="0" fontId="48" fillId="40" borderId="17" xfId="0" applyFont="1" applyFill="1" applyBorder="1" applyNumberFormat="1">
      <alignment horizontal="left" vertical="center"/>
    </xf>
    <xf numFmtId="0" fontId="48" fillId="40" borderId="15" xfId="0" applyFont="1" applyFill="1" applyBorder="1" applyNumberFormat="1">
      <alignment horizontal="left" vertical="center"/>
    </xf>
    <xf numFmtId="49" fontId="0" fillId="0" borderId="14" xfId="0" applyFont="1" applyBorder="1" applyNumberFormat="1">
      <alignment vertical="top"/>
    </xf>
    <xf numFmtId="49" fontId="0" fillId="0" borderId="14" xfId="0" applyFont="1" applyBorder="1" applyNumberFormat="1">
      <alignment horizontal="left" vertical="top"/>
    </xf>
    <xf numFmtId="49" fontId="0" fillId="43" borderId="14" xfId="0" applyFont="1" applyFill="1" applyBorder="1" applyNumberFormat="1">
      <alignment horizontal="left" vertical="top"/>
    </xf>
    <xf numFmtId="49" fontId="0" fillId="39" borderId="14" xfId="0" applyFont="1" applyFill="1" applyBorder="1" applyNumberFormat="1">
      <alignment horizontal="left" vertical="top"/>
      <protection locked="0"/>
    </xf>
    <xf numFmtId="49" fontId="0" fillId="43" borderId="14" xfId="0" applyFont="1" applyFill="1" applyBorder="1" applyNumberFormat="1">
      <alignment horizontal="left" vertical="center" wrapText="1"/>
      <protection locked="0"/>
    </xf>
    <xf numFmtId="0" fontId="0" fillId="40" borderId="17" xfId="0" applyFont="1" applyFill="1" applyBorder="1" applyNumberFormat="1">
      <alignment vertical="center"/>
    </xf>
    <xf numFmtId="49" fontId="0" fillId="0" borderId="38" xfId="0" applyFont="1" applyBorder="1" applyNumberFormat="1">
      <alignment horizontal="left" vertical="top"/>
    </xf>
    <xf numFmtId="0" fontId="23" fillId="43" borderId="38" xfId="0" applyFont="1" applyFill="1" applyBorder="1" applyNumberFormat="1">
      <alignment horizontal="center" vertical="top" wrapText="1"/>
    </xf>
    <xf numFmtId="49" fontId="0" fillId="43" borderId="38" xfId="0" applyFont="1" applyFill="1" applyBorder="1" applyNumberFormat="1">
      <alignment horizontal="left" vertical="top"/>
    </xf>
    <xf numFmtId="49" fontId="0" fillId="39" borderId="38" xfId="0" applyFont="1" applyFill="1" applyBorder="1" applyNumberFormat="1">
      <alignment horizontal="left" vertical="top"/>
      <protection locked="0"/>
    </xf>
    <xf numFmtId="49" fontId="23" fillId="43" borderId="0" xfId="0" applyFont="1" applyFill="1" applyNumberFormat="1">
      <alignment horizontal="center" vertical="center" wrapText="1"/>
    </xf>
    <xf numFmtId="0" fontId="48" fillId="0" borderId="38" xfId="0" applyFont="1" applyBorder="1" applyNumberFormat="1">
      <alignment horizontal="left" vertical="center"/>
    </xf>
    <xf numFmtId="49" fontId="0" fillId="43" borderId="38" xfId="0" applyFont="1" applyFill="1" applyBorder="1" applyNumberFormat="1">
      <alignment horizontal="left" vertical="center" wrapText="1"/>
      <protection locked="0"/>
    </xf>
    <xf numFmtId="49" fontId="23" fillId="43" borderId="38" xfId="0" applyFont="1" applyFill="1" applyBorder="1" applyNumberFormat="1">
      <alignment horizontal="center" vertical="center" wrapText="1"/>
    </xf>
    <xf numFmtId="0" fontId="48" fillId="39" borderId="38" xfId="0" applyFont="1" applyFill="1" applyBorder="1" applyNumberFormat="1">
      <alignment horizontal="left" vertical="center"/>
      <protection locked="0"/>
    </xf>
    <xf numFmtId="0" fontId="48" fillId="42" borderId="38" xfId="0" applyFont="1" applyFill="1" applyBorder="1" applyNumberFormat="1">
      <alignment horizontal="left" vertical="center"/>
      <protection locked="0"/>
    </xf>
    <xf numFmtId="49" fontId="55" fillId="0" borderId="14" xfId="0" applyFont="1" applyBorder="1" applyNumberFormat="1">
      <alignment horizontal="center" vertical="center" wrapText="1"/>
    </xf>
    <xf numFmtId="49" fontId="55" fillId="0" borderId="16" xfId="0" applyFont="1" applyBorder="1" applyNumberFormat="1">
      <alignment horizontal="left" vertical="center" wrapText="1"/>
    </xf>
    <xf numFmtId="0" fontId="55" fillId="0" borderId="16" xfId="0" applyFont="1" applyBorder="1" applyNumberFormat="1">
      <alignment horizontal="left" vertical="center"/>
    </xf>
    <xf numFmtId="0" fontId="55" fillId="0" borderId="17" xfId="0" applyFont="1" applyBorder="1" applyNumberFormat="1">
      <alignment horizontal="left" vertical="center"/>
    </xf>
    <xf numFmtId="0" fontId="48" fillId="40" borderId="31" xfId="0" applyFont="1" applyFill="1" applyBorder="1" applyNumberFormat="1">
      <alignment horizontal="left" vertical="center"/>
    </xf>
    <xf numFmtId="49" fontId="0" fillId="0" borderId="0" xfId="0" applyFont="1" applyNumberFormat="1">
      <alignment vertical="top"/>
    </xf>
    <xf numFmtId="49" fontId="0" fillId="39" borderId="38" xfId="0" applyFont="1" applyFill="1" applyBorder="1" applyNumberFormat="1">
      <alignment vertical="top"/>
      <protection locked="0"/>
    </xf>
    <xf numFmtId="0" fontId="0" fillId="0" borderId="0" xfId="0" applyFont="1" applyNumberFormat="1">
      <alignment vertical="center"/>
    </xf>
    <xf numFmtId="0" fontId="0" fillId="0" borderId="14" xfId="0" applyFont="1" applyBorder="1" applyNumberFormat="1">
      <alignment horizontal="center" vertical="center"/>
    </xf>
    <xf numFmtId="0" fontId="0" fillId="0" borderId="39" xfId="0" applyFont="1" applyBorder="1" applyNumberFormat="1">
      <alignment horizontal="center" vertical="center"/>
    </xf>
    <xf numFmtId="0" fontId="0" fillId="0" borderId="21" xfId="0" applyFont="1" applyBorder="1" applyNumberFormat="1">
      <alignment horizontal="center" vertical="center"/>
    </xf>
    <xf numFmtId="0" fontId="0" fillId="0" borderId="21" xfId="0" applyFont="1" applyBorder="1" applyNumberFormat="1">
      <alignment horizontal="left" vertical="center" wrapText="1"/>
    </xf>
    <xf numFmtId="49" fontId="0" fillId="0" borderId="21" xfId="0" applyFont="1" applyBorder="1" applyNumberFormat="1">
      <alignment horizontal="left" vertical="center" wrapText="1"/>
    </xf>
    <xf numFmtId="49" fontId="23" fillId="0" borderId="21" xfId="0" applyFont="1" applyBorder="1" applyNumberFormat="1">
      <alignment horizontal="center" vertical="center" wrapText="1"/>
    </xf>
    <xf numFmtId="49" fontId="0" fillId="0" borderId="21" xfId="0" applyFont="1" applyBorder="1" applyNumberFormat="1">
      <alignment horizontal="left" vertical="center" wrapText="1"/>
    </xf>
    <xf numFmtId="0" fontId="0" fillId="0" borderId="24" xfId="0" applyFont="1" applyBorder="1" applyNumberFormat="1">
      <alignment horizontal="center" vertical="center"/>
    </xf>
    <xf numFmtId="0" fontId="0" fillId="0" borderId="0" xfId="0" applyFont="1" applyNumberFormat="1">
      <alignment horizontal="center" vertical="center"/>
    </xf>
    <xf numFmtId="0" fontId="0" fillId="0" borderId="0" xfId="0" applyFont="1" applyNumberFormat="1">
      <alignment horizontal="left" vertical="center" wrapText="1"/>
    </xf>
    <xf numFmtId="49" fontId="0" fillId="0" borderId="0" xfId="0" applyFont="1" applyNumberFormat="1">
      <alignment horizontal="left" vertical="center" wrapText="1"/>
    </xf>
    <xf numFmtId="49" fontId="0" fillId="0" borderId="0" xfId="0" applyFont="1" applyNumberFormat="1">
      <alignment horizontal="left" vertical="top"/>
    </xf>
    <xf numFmtId="49" fontId="23" fillId="0" borderId="0" xfId="0" applyFont="1" applyNumberFormat="1">
      <alignment horizontal="center" vertical="center" wrapText="1"/>
    </xf>
    <xf numFmtId="0" fontId="0" fillId="0" borderId="0" xfId="0" applyFont="1" applyNumberFormat="1">
      <alignment vertical="center"/>
    </xf>
    <xf numFmtId="0" fontId="0" fillId="0" borderId="29" xfId="0" applyFont="1" applyBorder="1" applyNumberFormat="1">
      <alignment vertical="center"/>
    </xf>
    <xf numFmtId="49" fontId="23" fillId="0" borderId="38" xfId="0" applyFont="1" applyBorder="1" applyNumberFormat="1">
      <alignment horizontal="center" vertical="center"/>
    </xf>
    <xf numFmtId="49" fontId="23" fillId="0" borderId="38" xfId="0" applyFont="1" applyBorder="1" applyNumberFormat="1">
      <alignment vertical="center" wrapText="1"/>
    </xf>
    <xf numFmtId="0" fontId="23" fillId="0" borderId="26" xfId="0" applyFont="1" applyBorder="1" applyNumberFormat="1">
      <alignment horizontal="center" vertical="center"/>
    </xf>
    <xf numFmtId="49" fontId="23" fillId="0" borderId="19" xfId="0" applyFont="1" applyBorder="1" applyNumberFormat="1">
      <alignment horizontal="left" vertical="center" wrapText="1"/>
    </xf>
    <xf numFmtId="49" fontId="23" fillId="0" borderId="19" xfId="0" applyFont="1" applyBorder="1" applyNumberFormat="1">
      <alignment horizontal="left" vertical="center" wrapText="1"/>
    </xf>
    <xf numFmtId="49" fontId="45" fillId="0" borderId="38" xfId="0" applyFont="1" applyBorder="1" applyNumberFormat="1">
      <alignment vertical="center" wrapText="1"/>
    </xf>
    <xf numFmtId="0" fontId="23" fillId="43" borderId="19" xfId="0" applyFont="1" applyFill="1" applyBorder="1" applyNumberFormat="1">
      <alignment horizontal="left" vertical="center" wrapText="1"/>
    </xf>
    <xf numFmtId="49" fontId="23" fillId="0" borderId="19" xfId="0" applyFont="1" applyBorder="1" applyNumberFormat="1">
      <alignment horizontal="center" vertical="center" wrapText="1"/>
    </xf>
    <xf numFmtId="49" fontId="23" fillId="43" borderId="19" xfId="0" applyFont="1" applyFill="1" applyBorder="1" applyNumberFormat="1">
      <alignment horizontal="left" vertical="center" wrapText="1"/>
    </xf>
    <xf numFmtId="0" fontId="23" fillId="0" borderId="19" xfId="0" applyFont="1" applyBorder="1" applyNumberFormat="1">
      <alignment horizontal="left" vertical="center" wrapText="1"/>
    </xf>
    <xf numFmtId="49" fontId="23" fillId="0" borderId="19" xfId="0" applyFont="1" applyBorder="1" applyNumberFormat="1">
      <alignment horizontal="center" vertical="center" wrapText="1"/>
    </xf>
    <xf numFmtId="49" fontId="23" fillId="43" borderId="19" xfId="0" applyFont="1" applyFill="1" applyBorder="1" applyNumberFormat="1">
      <alignment vertical="center" wrapText="1"/>
    </xf>
    <xf numFmtId="0" fontId="23" fillId="0" borderId="38" xfId="0" applyFont="1" applyBorder="1" applyNumberFormat="1">
      <alignment horizontal="left" vertical="center" wrapText="1"/>
    </xf>
    <xf numFmtId="49" fontId="23" fillId="0" borderId="38" xfId="0" applyFont="1" applyBorder="1" applyNumberFormat="1">
      <alignment horizontal="left" vertical="center" wrapText="1"/>
    </xf>
    <xf numFmtId="0" fontId="23" fillId="43" borderId="38" xfId="0" applyFont="1" applyFill="1" applyBorder="1" applyNumberFormat="1">
      <alignment horizontal="left" vertical="center" wrapText="1"/>
    </xf>
    <xf numFmtId="49" fontId="23" fillId="0" borderId="38" xfId="0" applyFont="1" applyBorder="1" applyNumberFormat="1">
      <alignment horizontal="center" vertical="center" wrapText="1"/>
    </xf>
    <xf numFmtId="0" fontId="23" fillId="0" borderId="25" xfId="0" applyFont="1" applyBorder="1" applyNumberFormat="1">
      <alignment horizontal="left" vertical="center" wrapText="1"/>
    </xf>
    <xf numFmtId="0" fontId="48" fillId="0" borderId="25" xfId="0" applyFont="1" applyBorder="1" applyNumberFormat="1">
      <alignment horizontal="left" vertical="center"/>
    </xf>
    <xf numFmtId="0" fontId="48" fillId="40" borderId="16" xfId="0" applyFont="1" applyFill="1" applyBorder="1" applyNumberFormat="1">
      <alignment horizontal="left" vertical="center"/>
    </xf>
    <xf numFmtId="0" fontId="48" fillId="40" borderId="17" xfId="0" applyFont="1" applyFill="1" applyBorder="1" applyNumberFormat="1">
      <alignment horizontal="left" vertical="center"/>
    </xf>
    <xf numFmtId="0" fontId="48" fillId="40" borderId="15" xfId="0" applyFont="1" applyFill="1" applyBorder="1" applyNumberFormat="1">
      <alignment horizontal="left" vertical="center"/>
    </xf>
    <xf numFmtId="49" fontId="23" fillId="0" borderId="38" xfId="0" applyFont="1" applyBorder="1" applyNumberFormat="1">
      <alignment horizontal="center" vertical="center" wrapText="1"/>
    </xf>
    <xf numFmtId="0" fontId="48" fillId="40" borderId="39" xfId="0" applyFont="1" applyFill="1" applyBorder="1" applyNumberFormat="1">
      <alignment horizontal="left" vertical="center"/>
    </xf>
    <xf numFmtId="0" fontId="48" fillId="40" borderId="21" xfId="0" applyFont="1" applyFill="1" applyBorder="1" applyNumberFormat="1">
      <alignment horizontal="left" vertical="center"/>
    </xf>
    <xf numFmtId="0" fontId="48" fillId="40" borderId="22" xfId="0" applyFont="1" applyFill="1" applyBorder="1" applyNumberFormat="1">
      <alignment horizontal="left" vertical="center"/>
    </xf>
    <xf numFmtId="49" fontId="23" fillId="42" borderId="19" xfId="0" applyFont="1" applyFill="1" applyBorder="1" applyNumberFormat="1">
      <alignment horizontal="left" vertical="center" wrapText="1"/>
      <protection locked="0"/>
    </xf>
    <xf numFmtId="49" fontId="45" fillId="0" borderId="38" xfId="0" applyFont="1" applyBorder="1" applyNumberFormat="1">
      <alignment horizontal="center" vertical="center" wrapText="1"/>
    </xf>
    <xf numFmtId="0" fontId="48" fillId="40" borderId="39" xfId="0" applyFont="1" applyFill="1" applyBorder="1" applyNumberFormat="1">
      <alignment vertical="center"/>
    </xf>
    <xf numFmtId="0" fontId="48" fillId="0" borderId="38" xfId="0" applyFont="1" applyBorder="1" applyNumberFormat="1">
      <alignment horizontal="left" vertical="center"/>
    </xf>
    <xf numFmtId="49" fontId="23" fillId="39" borderId="19" xfId="0" applyFont="1" applyFill="1" applyBorder="1" applyNumberFormat="1">
      <alignment horizontal="left" vertical="center" wrapText="1"/>
      <protection locked="0"/>
    </xf>
    <xf numFmtId="49" fontId="72" fillId="40" borderId="16" xfId="0" applyFont="1" applyFill="1" applyBorder="1" applyNumberFormat="1">
      <alignment vertical="top"/>
    </xf>
    <xf numFmtId="49" fontId="72" fillId="40" borderId="17" xfId="0" applyFont="1" applyFill="1" applyBorder="1" applyNumberFormat="1">
      <alignment vertical="top"/>
    </xf>
    <xf numFmtId="49" fontId="23" fillId="0" borderId="21" xfId="0" applyFont="1" applyBorder="1" applyNumberFormat="1">
      <alignment horizontal="left" vertical="center" wrapText="1"/>
    </xf>
    <xf numFmtId="49" fontId="23" fillId="0" borderId="21" xfId="0" applyFont="1" applyBorder="1" applyNumberFormat="1">
      <alignment horizontal="left" vertical="center" wrapText="1"/>
    </xf>
    <xf numFmtId="49" fontId="45" fillId="0" borderId="21" xfId="0" applyFont="1" applyBorder="1" applyNumberFormat="1">
      <alignment vertical="center" wrapText="1"/>
    </xf>
    <xf numFmtId="49" fontId="23" fillId="0" borderId="0" xfId="0" applyFont="1" applyNumberFormat="1">
      <alignment horizontal="left" vertical="center" wrapText="1"/>
    </xf>
    <xf numFmtId="49" fontId="45" fillId="0" borderId="0" xfId="0" applyFont="1" applyNumberFormat="1">
      <alignment vertical="center" wrapText="1"/>
    </xf>
    <xf numFmtId="0" fontId="48" fillId="0" borderId="0" xfId="0" applyFont="1" applyNumberFormat="1">
      <alignment horizontal="left" vertical="center"/>
    </xf>
    <xf numFmtId="49" fontId="45" fillId="0" borderId="0" xfId="0" applyFont="1" applyNumberFormat="1">
      <alignment horizontal="center" vertical="center" wrapText="1"/>
    </xf>
    <xf numFmtId="49" fontId="100" fillId="0" borderId="14" xfId="0" applyFont="1" applyBorder="1" applyNumberFormat="1">
      <alignment vertical="top" wrapText="1"/>
    </xf>
    <xf numFmtId="49" fontId="96" fillId="0" borderId="14" xfId="0" applyFont="1" applyBorder="1" applyNumberFormat="1">
      <alignment horizontal="center" vertical="top" wrapText="1"/>
    </xf>
    <xf numFmtId="49" fontId="96" fillId="34" borderId="14" xfId="0" applyFont="1" applyFill="1" applyBorder="1" applyNumberFormat="1">
      <alignment horizontal="center" vertical="top"/>
    </xf>
    <xf numFmtId="49" fontId="96" fillId="0" borderId="14" xfId="0" applyFont="1" applyBorder="1" applyNumberFormat="1">
      <alignment vertical="top" wrapText="1"/>
    </xf>
    <xf numFmtId="0" fontId="96" fillId="0" borderId="14" xfId="0" applyFont="1" applyBorder="1" applyNumberFormat="1">
      <alignment vertical="top" wrapText="1"/>
    </xf>
    <xf numFmtId="49" fontId="96" fillId="0" borderId="14" xfId="0" applyFont="1" applyBorder="1" applyNumberFormat="1">
      <alignment vertical="top"/>
    </xf>
    <xf numFmtId="49" fontId="100" fillId="0" borderId="14" xfId="0" applyFont="1" applyBorder="1" applyNumberFormat="1">
      <alignment vertical="top"/>
    </xf>
    <xf numFmtId="0" fontId="100" fillId="0" borderId="14" xfId="0" applyFont="1" applyBorder="1" applyNumberFormat="1">
      <alignment vertical="top" wrapText="1"/>
    </xf>
    <xf numFmtId="49" fontId="100" fillId="0" borderId="0" xfId="0" applyFont="1" applyNumberFormat="1">
      <alignment vertical="top" wrapText="1"/>
    </xf>
    <xf numFmtId="49" fontId="100" fillId="0" borderId="0" xfId="0" applyFont="1" applyNumberFormat="1">
      <alignment vertical="top"/>
    </xf>
    <xf numFmtId="49" fontId="100" fillId="0" borderId="0" xfId="0" applyFont="1" applyNumberFormat="1">
      <alignment horizontal="center" vertical="top" wrapText="1"/>
    </xf>
    <xf numFmtId="49" fontId="100" fillId="0" borderId="14" xfId="0" applyFont="1" applyBorder="1" applyNumberFormat="1">
      <alignment horizontal="center" vertical="top" wrapText="1"/>
    </xf>
    <xf numFmtId="49" fontId="100" fillId="0" borderId="14" xfId="0" applyFont="1" applyBorder="1" applyNumberFormat="1">
      <alignment horizontal="center" vertical="top" wrapText="1"/>
    </xf>
    <xf numFmtId="49" fontId="100" fillId="34" borderId="14" xfId="0" applyFont="1" applyFill="1" applyBorder="1" applyNumberFormat="1">
      <alignment horizontal="center" vertical="top" wrapText="1"/>
    </xf>
    <xf numFmtId="49" fontId="96" fillId="34" borderId="14" xfId="0" applyFont="1" applyFill="1" applyBorder="1" applyNumberFormat="1">
      <alignment horizontal="center" vertical="top" wrapText="1"/>
    </xf>
    <xf numFmtId="49" fontId="100" fillId="0" borderId="14" xfId="0" applyFont="1" applyBorder="1" applyNumberFormat="1">
      <alignment horizontal="left" vertical="top" wrapText="1"/>
    </xf>
    <xf numFmtId="0" fontId="96" fillId="34" borderId="14" xfId="0" applyFont="1" applyFill="1" applyBorder="1" applyNumberFormat="1">
      <alignment horizontal="center" vertical="top" wrapText="1"/>
    </xf>
    <xf numFmtId="0" fontId="100" fillId="34" borderId="14" xfId="0" applyFont="1" applyFill="1" applyBorder="1" applyNumberFormat="1">
      <alignment horizontal="right" vertical="center" wrapText="1"/>
    </xf>
    <xf numFmtId="49" fontId="100" fillId="0" borderId="16" xfId="0" applyFont="1" applyBorder="1" applyNumberFormat="1">
      <alignment horizontal="center" vertical="top" wrapText="1"/>
    </xf>
    <xf numFmtId="49" fontId="100" fillId="0" borderId="17" xfId="0" applyFont="1" applyBorder="1" applyNumberFormat="1">
      <alignment horizontal="center" vertical="top" wrapText="1"/>
    </xf>
    <xf numFmtId="49" fontId="100" fillId="0" borderId="15" xfId="0" applyFont="1" applyBorder="1" applyNumberFormat="1">
      <alignment horizontal="center" vertical="top" wrapText="1"/>
    </xf>
    <xf numFmtId="0" fontId="100" fillId="0" borderId="14" xfId="0" applyFont="1" applyBorder="1" applyNumberFormat="1">
      <alignment horizontal="left" vertical="top" wrapText="1"/>
    </xf>
    <xf numFmtId="49" fontId="100" fillId="34" borderId="14" xfId="0" applyFont="1" applyFill="1" applyBorder="1" applyNumberFormat="1">
      <alignment horizontal="left" vertical="top" wrapText="1"/>
    </xf>
    <xf numFmtId="0" fontId="100" fillId="34" borderId="14" xfId="0" applyFont="1" applyFill="1" applyBorder="1" applyNumberFormat="1">
      <alignment horizontal="center" vertical="center" wrapText="1"/>
    </xf>
    <xf numFmtId="0" fontId="100" fillId="34" borderId="14" xfId="0" applyFont="1" applyFill="1" applyBorder="1" applyNumberFormat="1">
      <alignment horizontal="center" vertical="center" wrapText="1"/>
    </xf>
    <xf numFmtId="49" fontId="100" fillId="0" borderId="19" xfId="0" applyFont="1" applyBorder="1" applyNumberFormat="1">
      <alignment horizontal="center" vertical="top" wrapText="1"/>
    </xf>
    <xf numFmtId="49" fontId="100" fillId="0" borderId="38" xfId="0" applyFont="1" applyBorder="1" applyNumberFormat="1">
      <alignment horizontal="center" vertical="top" wrapText="1"/>
    </xf>
    <xf numFmtId="49" fontId="100" fillId="0" borderId="19" xfId="0" applyFont="1" applyBorder="1" applyNumberFormat="1">
      <alignment horizontal="center" vertical="top" wrapText="1"/>
    </xf>
    <xf numFmtId="0" fontId="100" fillId="0" borderId="19" xfId="0" applyFont="1" applyBorder="1" applyNumberFormat="1">
      <alignment horizontal="left" vertical="top" wrapText="1"/>
    </xf>
    <xf numFmtId="49" fontId="100" fillId="0" borderId="39" xfId="0" applyFont="1" applyBorder="1" applyNumberFormat="1">
      <alignment horizontal="center" vertical="top" wrapText="1"/>
    </xf>
    <xf numFmtId="49" fontId="100" fillId="0" borderId="39" xfId="0" applyFont="1" applyBorder="1" applyNumberFormat="1">
      <alignment horizontal="center" vertical="top" wrapText="1"/>
    </xf>
    <xf numFmtId="0" fontId="100" fillId="0" borderId="15" xfId="0" applyFont="1" applyBorder="1" applyNumberFormat="1">
      <alignment horizontal="left" vertical="top" wrapText="1"/>
    </xf>
    <xf numFmtId="49" fontId="100" fillId="0" borderId="25" xfId="0" applyFont="1" applyBorder="1" applyNumberFormat="1">
      <alignment horizontal="center" vertical="top" wrapText="1"/>
    </xf>
    <xf numFmtId="49" fontId="100" fillId="0" borderId="32" xfId="0" applyFont="1" applyBorder="1" applyNumberFormat="1">
      <alignment horizontal="center" vertical="top" wrapText="1"/>
    </xf>
    <xf numFmtId="49" fontId="100" fillId="0" borderId="24" xfId="0" applyFont="1" applyBorder="1" applyNumberFormat="1">
      <alignment horizontal="center" vertical="top" wrapText="1"/>
    </xf>
    <xf numFmtId="0" fontId="100" fillId="0" borderId="19" xfId="0" applyFont="1" applyBorder="1" applyNumberFormat="1">
      <alignment vertical="top" wrapText="1"/>
    </xf>
    <xf numFmtId="49" fontId="96" fillId="0" borderId="14" xfId="0" applyFont="1" applyBorder="1" applyNumberFormat="1">
      <alignment horizontal="left" vertical="top" wrapText="1"/>
    </xf>
    <xf numFmtId="0" fontId="96" fillId="0" borderId="16" xfId="0" applyFont="1" applyBorder="1" applyNumberFormat="1">
      <alignment horizontal="center" vertical="center" wrapText="1"/>
    </xf>
    <xf numFmtId="0" fontId="96" fillId="0" borderId="16" xfId="0" applyFont="1" applyBorder="1" applyNumberFormat="1">
      <alignment horizontal="center" vertical="center"/>
    </xf>
    <xf numFmtId="49" fontId="96" fillId="0" borderId="14" xfId="0" applyFont="1" applyBorder="1" applyNumberFormat="1">
      <alignment horizontal="center" vertical="center" wrapText="1"/>
    </xf>
    <xf numFmtId="0" fontId="96" fillId="0" borderId="14" xfId="0" applyFont="1" applyBorder="1" applyNumberFormat="1">
      <alignment vertical="center" wrapText="1"/>
    </xf>
    <xf numFmtId="49" fontId="100" fillId="0" borderId="16" xfId="0" applyFont="1" applyBorder="1" applyNumberFormat="1">
      <alignment horizontal="left" vertical="top" wrapText="1"/>
    </xf>
    <xf numFmtId="0" fontId="96" fillId="0" borderId="14" xfId="0" applyFont="1" applyBorder="1" applyNumberFormat="1">
      <alignment horizontal="center" vertical="center" wrapText="1"/>
    </xf>
    <xf numFmtId="0" fontId="96" fillId="0" borderId="19" xfId="0" applyFont="1" applyBorder="1" applyNumberFormat="1">
      <alignment vertical="center" wrapText="1"/>
    </xf>
    <xf numFmtId="0" fontId="96" fillId="0" borderId="25" xfId="0" applyFont="1" applyBorder="1" applyNumberFormat="1">
      <alignment vertical="center" wrapText="1"/>
    </xf>
    <xf numFmtId="49" fontId="100" fillId="0" borderId="32" xfId="0" applyFont="1" applyBorder="1" applyNumberFormat="1">
      <alignment horizontal="left" vertical="top" wrapText="1"/>
    </xf>
    <xf numFmtId="49" fontId="100" fillId="0" borderId="15" xfId="0" applyFont="1" applyBorder="1" applyNumberFormat="1">
      <alignment horizontal="left" vertical="top" wrapText="1"/>
    </xf>
    <xf numFmtId="49" fontId="96" fillId="0" borderId="19" xfId="0" applyFont="1" applyBorder="1" applyNumberFormat="1">
      <alignment horizontal="center" vertical="center" wrapText="1"/>
    </xf>
    <xf numFmtId="49" fontId="96" fillId="0" borderId="25" xfId="0" applyFont="1" applyBorder="1" applyNumberFormat="1">
      <alignment horizontal="center" vertical="center" wrapText="1"/>
    </xf>
    <xf numFmtId="0" fontId="96" fillId="0" borderId="19" xfId="0" applyFont="1" applyBorder="1" applyNumberFormat="1">
      <alignment horizontal="center" vertical="center" wrapText="1"/>
    </xf>
    <xf numFmtId="49" fontId="100" fillId="0" borderId="38" xfId="0" applyFont="1" applyBorder="1" applyNumberFormat="1">
      <alignment horizontal="left" vertical="top" wrapText="1"/>
    </xf>
    <xf numFmtId="0" fontId="100" fillId="0" borderId="38" xfId="0" applyFont="1" applyBorder="1" applyNumberFormat="1">
      <alignment horizontal="left" vertical="top" wrapText="1"/>
    </xf>
    <xf numFmtId="49" fontId="100" fillId="0" borderId="0" xfId="0" applyFont="1" applyNumberFormat="1">
      <alignment horizontal="left" vertical="top" wrapText="1"/>
    </xf>
    <xf numFmtId="49" fontId="100" fillId="34" borderId="0" xfId="0" applyFont="1" applyFill="1" applyNumberFormat="1">
      <alignment horizontal="left" vertical="top" wrapText="1"/>
    </xf>
    <xf numFmtId="0" fontId="100" fillId="0" borderId="0" xfId="0" applyFont="1" applyNumberFormat="1">
      <alignment vertical="top" wrapText="1"/>
    </xf>
    <xf numFmtId="0" fontId="22" fillId="0" borderId="21" xfId="0" applyFont="1" applyBorder="1" applyNumberFormat="1">
      <alignment horizontal="left" vertical="center" wrapText="1" indent="1"/>
    </xf>
    <xf numFmtId="0" fontId="22" fillId="0" borderId="29" xfId="0" applyFont="1" applyBorder="1" applyNumberFormat="1">
      <alignment horizontal="left" vertical="center" wrapText="1" indent="1"/>
    </xf>
    <xf numFmtId="0" fontId="0" fillId="0" borderId="0" xfId="0" applyFont="1" applyNumberFormat="1">
      <alignment horizontal="left" vertical="center"/>
    </xf>
    <xf numFmtId="0" fontId="0" fillId="37" borderId="14" xfId="0" applyFont="1" applyFill="1" applyBorder="1" applyNumberFormat="1">
      <alignment horizontal="right" vertical="center" wrapText="1" indent="1"/>
    </xf>
    <xf numFmtId="0" fontId="0" fillId="0" borderId="16" xfId="0" applyFont="1" applyBorder="1" applyNumberFormat="1">
      <alignment vertical="center"/>
    </xf>
    <xf numFmtId="0" fontId="23" fillId="0" borderId="0" xfId="0" applyFont="1" applyNumberFormat="1">
      <alignment horizontal="left" vertical="center" wrapText="1"/>
    </xf>
    <xf numFmtId="0" fontId="23" fillId="0" borderId="0" xfId="0" applyFont="1" applyNumberFormat="1">
      <alignment horizontal="right" vertical="center" wrapText="1"/>
    </xf>
    <xf numFmtId="0" fontId="23" fillId="0" borderId="0" xfId="0" applyFont="1" applyNumberFormat="1">
      <alignment horizontal="right" vertical="center" wrapText="1"/>
    </xf>
    <xf numFmtId="0" fontId="0" fillId="0" borderId="14" xfId="0" applyFont="1" applyBorder="1" applyNumberFormat="1">
      <alignment horizontal="center" vertical="center" wrapText="1"/>
    </xf>
    <xf numFmtId="0" fontId="85" fillId="37" borderId="21" xfId="0" applyFont="1" applyFill="1" applyBorder="1" applyNumberFormat="1">
      <alignment horizontal="center" vertical="center" wrapText="1"/>
    </xf>
    <xf numFmtId="0" fontId="23" fillId="37" borderId="14" xfId="0" applyFont="1" applyFill="1" applyBorder="1" applyNumberFormat="1">
      <alignment horizontal="left" vertical="center" wrapText="1"/>
    </xf>
    <xf numFmtId="4" fontId="23" fillId="38" borderId="14" xfId="0" applyFont="1" applyFill="1" applyBorder="1" applyNumberFormat="1">
      <alignment horizontal="left" vertical="center" wrapText="1"/>
    </xf>
    <xf numFmtId="0" fontId="23" fillId="0" borderId="0" xfId="0" applyFont="1" applyNumberFormat="1">
      <alignment horizontal="center" vertical="center" wrapText="1"/>
    </xf>
    <xf numFmtId="0" fontId="54" fillId="0" borderId="0" xfId="0" applyFont="1" applyNumberFormat="1">
      <alignment horizontal="center" vertical="center" wrapText="1"/>
    </xf>
    <xf numFmtId="0" fontId="55" fillId="0" borderId="0" xfId="0" applyFont="1" applyNumberFormat="1">
      <alignment horizontal="center" vertical="center" wrapText="1"/>
    </xf>
    <xf numFmtId="0" fontId="23" fillId="43" borderId="14" xfId="0" applyFont="1" applyFill="1" applyBorder="1" applyNumberFormat="1">
      <alignment horizontal="left" vertical="center" wrapText="1"/>
      <protection locked="0"/>
    </xf>
    <xf numFmtId="0" fontId="23" fillId="43" borderId="16" xfId="0" applyFont="1" applyFill="1" applyBorder="1" applyNumberFormat="1">
      <alignment horizontal="left" vertical="center" wrapText="1"/>
      <protection locked="0"/>
    </xf>
    <xf numFmtId="0" fontId="23" fillId="43" borderId="17" xfId="0" applyFont="1" applyFill="1" applyBorder="1" applyNumberFormat="1">
      <alignment horizontal="left" vertical="center" wrapText="1"/>
      <protection locked="0"/>
    </xf>
    <xf numFmtId="0" fontId="23" fillId="43" borderId="15" xfId="0" applyFont="1" applyFill="1" applyBorder="1" applyNumberFormat="1">
      <alignment horizontal="left" vertical="center" wrapText="1"/>
      <protection locked="0"/>
    </xf>
    <xf numFmtId="0" fontId="23" fillId="43" borderId="14" xfId="0" applyFont="1" applyFill="1" applyBorder="1" applyNumberFormat="1">
      <alignment horizontal="left" vertical="center" wrapText="1" indent="6"/>
      <protection locked="0"/>
    </xf>
    <xf numFmtId="167" fontId="0" fillId="42" borderId="14" xfId="0" applyFont="1" applyFill="1" applyBorder="1" applyNumberFormat="1">
      <alignment horizontal="center" vertical="center" wrapText="1"/>
      <protection locked="0"/>
    </xf>
    <xf numFmtId="49" fontId="23" fillId="0" borderId="14" xfId="0" applyFont="1" applyBorder="1" applyNumberFormat="1">
      <alignment horizontal="left" vertical="center" wrapText="1"/>
    </xf>
    <xf numFmtId="49" fontId="106" fillId="40" borderId="16" xfId="0" applyFont="1" applyFill="1" applyBorder="1" applyNumberFormat="1">
      <alignment horizontal="left" vertical="center"/>
    </xf>
    <xf numFmtId="49" fontId="114" fillId="40" borderId="17" xfId="0" applyFont="1" applyFill="1" applyBorder="1" applyNumberFormat="1">
      <alignment horizontal="left" vertical="center" indent="3"/>
    </xf>
    <xf numFmtId="49" fontId="77" fillId="40" borderId="17" xfId="0" applyFont="1" applyFill="1" applyBorder="1" applyNumberFormat="1">
      <alignment horizontal="center" vertical="center" wrapText="1"/>
    </xf>
    <xf numFmtId="49" fontId="72" fillId="40" borderId="17" xfId="0" applyFont="1" applyFill="1" applyBorder="1" applyNumberFormat="1">
      <alignment horizontal="center" vertical="center" wrapText="1"/>
    </xf>
    <xf numFmtId="49" fontId="72" fillId="40" borderId="15" xfId="0" applyFont="1" applyFill="1" applyBorder="1" applyNumberFormat="1">
      <alignment horizontal="center" vertical="center" wrapText="1"/>
    </xf>
    <xf numFmtId="49" fontId="54" fillId="0" borderId="0" xfId="0" applyFont="1" applyNumberFormat="1">
      <alignment horizontal="left" vertical="center"/>
    </xf>
    <xf numFmtId="49" fontId="40" fillId="0" borderId="0" xfId="0" applyFont="1" applyNumberFormat="1">
      <alignment vertical="top"/>
    </xf>
    <xf numFmtId="49" fontId="0" fillId="0" borderId="26" xfId="0" applyFont="1" applyBorder="1" applyNumberFormat="1">
      <alignment vertical="top"/>
    </xf>
    <xf numFmtId="49" fontId="114" fillId="40" borderId="17" xfId="0" applyFont="1" applyFill="1" applyBorder="1" applyNumberFormat="1">
      <alignment horizontal="left" vertical="center" indent="2"/>
    </xf>
    <xf numFmtId="49" fontId="114" fillId="40" borderId="17" xfId="0" applyFont="1" applyFill="1" applyBorder="1" applyNumberFormat="1">
      <alignment horizontal="left" vertical="center" indent="1"/>
    </xf>
    <xf numFmtId="49" fontId="0" fillId="0" borderId="0" xfId="0" applyFont="1" applyNumberFormat="1">
      <alignment vertical="top"/>
    </xf>
    <xf numFmtId="49" fontId="54" fillId="0" borderId="0" xfId="0" applyFont="1" applyNumberFormat="1">
      <alignment horizontal="left" vertical="center"/>
    </xf>
    <xf numFmtId="49" fontId="54" fillId="0" borderId="0" xfId="0" applyFont="1" applyNumberFormat="1">
      <alignment horizontal="left" vertical="top"/>
    </xf>
    <xf numFmtId="49" fontId="72" fillId="40" borderId="16" xfId="0" applyFont="1" applyFill="1" applyBorder="1" applyNumberFormat="1">
      <alignment horizontal="left" vertical="top"/>
    </xf>
    <xf numFmtId="49" fontId="114" fillId="40" borderId="17" xfId="0" applyFont="1" applyFill="1" applyBorder="1" applyNumberFormat="1">
      <alignment horizontal="left" vertical="center"/>
    </xf>
    <xf numFmtId="49" fontId="55" fillId="0" borderId="0" xfId="0" applyFont="1" applyNumberFormat="1">
      <alignment vertical="top"/>
    </xf>
    <xf numFmtId="0" fontId="23" fillId="0" borderId="0" xfId="0" applyFont="1" applyNumberFormat="1">
      <alignment horizontal="left" vertical="top" wrapText="1"/>
    </xf>
    <xf numFmtId="49" fontId="23" fillId="0" borderId="0" xfId="0" applyFont="1" applyNumberFormat="1">
      <alignment vertical="center" wrapText="1"/>
    </xf>
    <xf numFmtId="49" fontId="0" fillId="0" borderId="0" xfId="0" applyFont="1" applyNumberFormat="1">
      <alignment vertical="top"/>
    </xf>
    <xf numFmtId="49" fontId="0" fillId="0" borderId="14" xfId="0" applyFont="1" applyBorder="1" applyNumberFormat="1">
      <alignment vertical="top"/>
    </xf>
    <xf numFmtId="49" fontId="0" fillId="0" borderId="16" xfId="0" applyFont="1" applyBorder="1" applyNumberFormat="1">
      <alignment vertical="top"/>
    </xf>
    <xf numFmtId="49" fontId="0" fillId="0" borderId="14" xfId="0" applyFont="1" applyBorder="1" applyNumberFormat="1">
      <alignment horizontal="center" vertical="top"/>
    </xf>
    <xf numFmtId="49" fontId="0" fillId="0" borderId="16" xfId="0" applyFont="1" applyBorder="1" applyNumberFormat="1">
      <alignment horizontal="center" vertical="top"/>
    </xf>
    <xf numFmtId="49" fontId="0" fillId="0" borderId="14" xfId="0" applyFont="1" applyBorder="1" applyNumberFormat="1">
      <alignment vertical="top"/>
    </xf>
    <xf numFmtId="49" fontId="0" fillId="45" borderId="19" xfId="0" applyFont="1" applyFill="1" applyBorder="1" applyNumberFormat="1">
      <alignment vertical="top"/>
    </xf>
    <xf numFmtId="49" fontId="0" fillId="0" borderId="16" xfId="0" applyFont="1" applyBorder="1" applyNumberFormat="1">
      <alignment horizontal="center" vertical="top"/>
    </xf>
    <xf numFmtId="49" fontId="0" fillId="46" borderId="14" xfId="0" applyFont="1" applyFill="1" applyBorder="1" applyNumberFormat="1">
      <alignment vertical="top"/>
    </xf>
    <xf numFmtId="49" fontId="0" fillId="0" borderId="17" xfId="0" applyFont="1" applyBorder="1" applyNumberFormat="1">
      <alignment horizontal="center" vertical="top"/>
    </xf>
    <xf numFmtId="49" fontId="0" fillId="3" borderId="14" xfId="0" applyFont="1" applyFill="1" applyBorder="1" applyNumberFormat="1">
      <alignment vertical="top"/>
    </xf>
    <xf numFmtId="49" fontId="0" fillId="47" borderId="14" xfId="0" applyFont="1" applyFill="1" applyBorder="1" applyNumberFormat="1">
      <alignment vertical="top"/>
    </xf>
    <xf numFmtId="49" fontId="0" fillId="16" borderId="19" xfId="0" applyFont="1" applyFill="1" applyBorder="1" applyNumberFormat="1">
      <alignment vertical="top"/>
    </xf>
    <xf numFmtId="49" fontId="0" fillId="5" borderId="16" xfId="0" applyFont="1" applyFill="1" applyBorder="1" applyNumberFormat="1">
      <alignment vertical="top"/>
    </xf>
    <xf numFmtId="49" fontId="0" fillId="5" borderId="14" xfId="0" applyFont="1" applyFill="1" applyBorder="1" applyNumberFormat="1">
      <alignment vertical="top"/>
    </xf>
    <xf numFmtId="49" fontId="0" fillId="16" borderId="14" xfId="0" applyFont="1" applyFill="1" applyBorder="1" applyNumberFormat="1">
      <alignment vertical="top"/>
    </xf>
    <xf numFmtId="49" fontId="0" fillId="0" borderId="0" xfId="0" applyFont="1" applyNumberFormat="1">
      <alignment vertical="top"/>
    </xf>
    <xf numFmtId="49" fontId="0" fillId="0" borderId="0" xfId="0" applyFont="1" applyNumberFormat="1">
      <alignment vertical="top"/>
    </xf>
    <xf numFmtId="49" fontId="0" fillId="0" borderId="0" xfId="0" applyFont="1" applyNumberFormat="1">
      <alignment vertical="top"/>
    </xf>
    <xf numFmtId="49" fontId="0" fillId="0" borderId="0" xfId="0" applyFont="1" applyNumberFormat="1">
      <alignment vertical="top"/>
    </xf>
    <xf numFmtId="0" fontId="0" fillId="0" borderId="0" xfId="0" applyFont="1" applyNumberFormat="1">
      <alignment vertical="top"/>
    </xf>
    <xf numFmtId="0" fontId="0" fillId="0" borderId="0" xfId="0" applyFont="1" applyNumberFormat="1">
      <alignment vertical="top"/>
    </xf>
    <xf numFmtId="0" fontId="0" fillId="0" borderId="0" xfId="0" applyFont="1" applyNumberFormat="1">
      <alignment vertical="top"/>
    </xf>
    <xf numFmtId="0" fontId="0" fillId="0" borderId="0" xfId="0" applyFont="1" applyNumberFormat="1"/>
    <xf numFmtId="0" fontId="1" fillId="0" borderId="0" xfId="0" applyFont="1" applyNumberFormat="1"/>
    <xf numFmtId="0" fontId="38" fillId="0" borderId="0" xfId="0" applyFont="1" applyNumberFormat="1"/>
    <xf numFmtId="0" fontId="38" fillId="0" borderId="0" xfId="0" applyFont="1" applyNumberFormat="1"/>
    <xf numFmtId="49" fontId="23" fillId="38" borderId="12" xfId="0" applyFont="1" applyFill="1" applyBorder="1" applyNumberFormat="1">
      <alignment horizontal="center" vertical="top"/>
    </xf>
    <xf numFmtId="49" fontId="0" fillId="0" borderId="0" xfId="0" applyFont="1" applyNumberFormat="1">
      <alignment vertical="top"/>
    </xf>
    <xf numFmtId="49" fontId="46" fillId="0" borderId="13" xfId="0" applyFont="1" applyBorder="1" applyNumberFormat="1">
      <alignment vertical="top" wrapText="1"/>
    </xf>
    <xf numFmtId="0" fontId="0" fillId="0" borderId="13" xfId="0" applyFont="1" applyBorder="1" applyNumberFormat="1">
      <alignment vertical="top" wrapText="1"/>
    </xf>
    <xf numFmtId="0" fontId="22" fillId="0" borderId="20" xfId="0" applyFont="1" applyBorder="1" applyNumberFormat="1">
      <alignment vertical="top" wrapText="1"/>
    </xf>
    <xf numFmtId="0" fontId="0" fillId="0" borderId="0" xfId="0" applyFont="1" applyNumberFormat="1">
      <alignment vertical="top"/>
    </xf>
    <xf numFmtId="0" fontId="0" fillId="0" borderId="14" xfId="0" applyFont="1" applyBorder="1" applyNumberFormat="1">
      <alignment vertical="top" wrapText="1"/>
    </xf>
    <xf numFmtId="49" fontId="0" fillId="0" borderId="14" xfId="0" applyFont="1" applyBorder="1" applyNumberFormat="1">
      <alignment vertical="top" wrapText="1"/>
    </xf>
    <xf numFmtId="49" fontId="0" fillId="0" borderId="19" xfId="0" applyFont="1" applyBorder="1" applyNumberFormat="1">
      <alignment vertical="top"/>
    </xf>
    <xf numFmtId="49" fontId="0" fillId="0" borderId="0" xfId="0" applyFont="1" applyNumberFormat="1">
      <alignment vertical="top"/>
    </xf>
    <xf numFmtId="0" fontId="36" fillId="0" borderId="13" xfId="0" applyFont="1" applyBorder="1" applyNumberFormat="1">
      <alignment vertical="center" wrapText="1"/>
    </xf>
    <xf numFmtId="0" fontId="22" fillId="0" borderId="0" xfId="0" applyFont="1" applyNumberFormat="1">
      <alignment vertical="top" wrapText="1"/>
    </xf>
    <xf numFmtId="0" fontId="23" fillId="0" borderId="13" xfId="0" applyFont="1" applyBorder="1" applyNumberFormat="1">
      <alignment vertical="center" wrapText="1"/>
    </xf>
    <xf numFmtId="49" fontId="0" fillId="0" borderId="0" xfId="0" applyFont="1" applyNumberFormat="1">
      <alignment vertical="top"/>
    </xf>
  </cellXfs>
  <cellStyles count="111">
    <cellStyle name="Normal" xfId="0" builtinId="0"/>
    <cellStyle name="20% - Accent1" xfId="1" builtinId="30"/>
    <cellStyle name="20% - Accent2" xfId="2" builtinId="34"/>
    <cellStyle name="20% - Accent3" xfId="3" builtinId="38"/>
    <cellStyle name="20% - Accent4" xfId="4" builtinId="42"/>
    <cellStyle name="20% - Accent5" xfId="5" builtinId="46"/>
    <cellStyle name="20% - Accent6" xfId="6" builtinId="50"/>
    <cellStyle name="40% - Accent1" xfId="7" builtinId="31"/>
    <cellStyle name="40% - Accent2" xfId="8" builtinId="35"/>
    <cellStyle name="40% - Accent3" xfId="9" builtinId="39"/>
    <cellStyle name="40% - Accent4" xfId="10" builtinId="43"/>
    <cellStyle name="40% - Accent5" xfId="11" builtinId="47"/>
    <cellStyle name="40% - Accent6" xfId="12" builtinId="51"/>
    <cellStyle name="60% - Accent1" xfId="13" builtinId="32"/>
    <cellStyle name="60% - Accent2" xfId="14" builtinId="36"/>
    <cellStyle name="60% - Accent3" xfId="15" builtinId="40"/>
    <cellStyle name="60% - Accent4" xfId="16" builtinId="44"/>
    <cellStyle name="60% - Accent5" xfId="17" builtinId="48"/>
    <cellStyle name="60% - Accent6" xfId="18" builtinId="52"/>
    <cellStyle name="Accent1" xfId="19" builtinId="29"/>
    <cellStyle name="Accent2" xfId="20" builtinId="33"/>
    <cellStyle name="Accent3" xfId="21" builtinId="37"/>
    <cellStyle name="Accent4" xfId="22" builtinId="41"/>
    <cellStyle name="Accent5" xfId="23" builtinId="45"/>
    <cellStyle name="Accent6" xfId="24" builtinId="49"/>
    <cellStyle name="Bad" xfId="25" builtinId="27"/>
    <cellStyle name="Calculation" xfId="26" builtinId="22"/>
    <cellStyle name="Check Cell" xfId="27" builtinId="23"/>
    <cellStyle name="Comma" xfId="28" builtinId="3"/>
    <cellStyle name="Comma [0]" xfId="29" builtinId="6"/>
    <cellStyle name="Currency" xfId="30" builtinId="4"/>
    <cellStyle name="Currency [0]" xfId="31" builtinId="7"/>
    <cellStyle name="Explanatory Text" xfId="32" builtinId="53"/>
    <cellStyle name="Good" xfId="33" builtinId="26"/>
    <cellStyle name="Heading 1" xfId="34" builtinId="16"/>
    <cellStyle name="Heading 2" xfId="35" builtinId="17"/>
    <cellStyle name="Heading 3" xfId="36" builtinId="18"/>
    <cellStyle name="Heading 4" xfId="37" builtinId="19"/>
    <cellStyle name="Input" xfId="38" builtinId="20"/>
    <cellStyle name="Linked Cell" xfId="39" builtinId="24"/>
    <cellStyle name="Neutral" xfId="40" builtinId="28"/>
    <cellStyle name="normal" xfId="41"/>
    <cellStyle name="Note" xfId="42" builtinId="10"/>
    <cellStyle name="Output" xfId="43" builtinId="21"/>
    <cellStyle name="Percent" xfId="44" builtinId="5"/>
    <cellStyle name="Title" xfId="45" builtinId="15"/>
    <cellStyle name="Total" xfId="46" builtinId="25"/>
    <cellStyle name="Warning Text" xfId="47" builtinId="11"/>
    <cellStyle name=" 1" xfId="48"/>
    <cellStyle name=" 1 2" xfId="49"/>
    <cellStyle name=" 1_Stage1" xfId="48"/>
    <cellStyle name="_Model_RAB Мой_PR.PROG.WARM.NOTCOMBI.2012.2.16_v1.4(04.04.11) " xfId="50"/>
    <cellStyle name="_Model_RAB Мой_Книга2_PR.PROG.WARM.NOTCOMBI.2012.2.16_v1.4(04.04.11) " xfId="50"/>
    <cellStyle name="_Model_RAB_MRSK_svod_PR.PROG.WARM.NOTCOMBI.2012.2.16_v1.4(04.04.11) " xfId="50"/>
    <cellStyle name="_Model_RAB_MRSK_svod_Книга2_PR.PROG.WARM.NOTCOMBI.2012.2.16_v1.4(04.04.11) " xfId="50"/>
    <cellStyle name="_МОДЕЛЬ_1 (2)_PR.PROG.WARM.NOTCOMBI.2012.2.16_v1.4(04.04.11) " xfId="50"/>
    <cellStyle name="_МОДЕЛЬ_1 (2)_Книга2_PR.PROG.WARM.NOTCOMBI.2012.2.16_v1.4(04.04.11) " xfId="50"/>
    <cellStyle name="_пр 5 тариф RAB_PR.PROG.WARM.NOTCOMBI.2012.2.16_v1.4(04.04.11) " xfId="50"/>
    <cellStyle name="_пр 5 тариф RAB_Книга2_PR.PROG.WARM.NOTCOMBI.2012.2.16_v1.4(04.04.11) " xfId="50"/>
    <cellStyle name="_Расчет RAB_22072008_PR.PROG.WARM.NOTCOMBI.2012.2.16_v1.4(04.04.11) " xfId="50"/>
    <cellStyle name="_Расчет RAB_22072008_Книга2_PR.PROG.WARM.NOTCOMBI.2012.2.16_v1.4(04.04.11) " xfId="50"/>
    <cellStyle name="_Расчет RAB_Лен и МОЭСК_с 2010 года_14.04.2009_со сглаж_version 3.0_без ФСК_PR.PROG.WARM.NOTCOMBI.2012.2.16_v1.4(04.04.11) " xfId="50"/>
    <cellStyle name="_Расчет RAB_Лен и МОЭСК_с 2010 года_14.04.2009_со сглаж_version 3.0_без ФСК_Книга2_PR.PROG.WARM.NOTCOMBI.2012.2.16_v1.4(04.04.11) " xfId="50"/>
    <cellStyle name="Cells 2" xfId="51"/>
    <cellStyle name="currency1" xfId="52"/>
    <cellStyle name="Currency2" xfId="53"/>
    <cellStyle name="currency3" xfId="54"/>
    <cellStyle name="currency4" xfId="55"/>
    <cellStyle name="Followed Hyperlink" xfId="56"/>
    <cellStyle name="Header 3" xfId="57"/>
    <cellStyle name="Hyperlink" xfId="58" builtinId="8"/>
    <cellStyle name="Normal1" xfId="59"/>
    <cellStyle name="Normal2" xfId="53"/>
    <cellStyle name="Percent1" xfId="53"/>
    <cellStyle name="Title 4" xfId="60"/>
    <cellStyle name="Ввод  2" xfId="61"/>
    <cellStyle name="Гиперссылка 2" xfId="62"/>
    <cellStyle name="Гиперссылка 2 2" xfId="63"/>
    <cellStyle name="Гиперссылка 3" xfId="64"/>
    <cellStyle name="Гиперссылка 4" xfId="65"/>
    <cellStyle name="Гиперссылка 5" xfId="66"/>
    <cellStyle name="Заголовок" xfId="67"/>
    <cellStyle name="ЗаголовокСтолбца" xfId="68"/>
    <cellStyle name="Значение" xfId="69"/>
    <cellStyle name="Обычный 10" xfId="70"/>
    <cellStyle name="Обычный 12" xfId="71"/>
    <cellStyle name="Обычный 12 2" xfId="72"/>
    <cellStyle name="Обычный 14" xfId="71"/>
    <cellStyle name="Обычный 14 2" xfId="71"/>
    <cellStyle name="Обычный 14 3" xfId="71"/>
    <cellStyle name="Обычный 14 4" xfId="71"/>
    <cellStyle name="Обычный 15" xfId="71"/>
    <cellStyle name="Обычный 2" xfId="73"/>
    <cellStyle name="Обычный 2 10 2" xfId="74"/>
    <cellStyle name="Обычный 2 2" xfId="75"/>
    <cellStyle name="Обычный 2 3" xfId="72"/>
    <cellStyle name="Обычный 2 4" xfId="76"/>
    <cellStyle name="Обычный 2 5" xfId="74"/>
    <cellStyle name="Обычный 20" xfId="77"/>
    <cellStyle name="Обычный 21" xfId="77"/>
    <cellStyle name="Обычный 22" xfId="77"/>
    <cellStyle name="Обычный 23" xfId="77"/>
    <cellStyle name="Обычный 3" xfId="70"/>
    <cellStyle name="Обычный 3 2" xfId="76"/>
    <cellStyle name="Обычный 3 3" xfId="78"/>
    <cellStyle name="Обычный 3 4" xfId="74"/>
    <cellStyle name="Обычный 4" xfId="79"/>
    <cellStyle name="Обычный 5" xfId="76"/>
    <cellStyle name="Обычный 6" xfId="76"/>
    <cellStyle name="Обычный 7" xfId="71"/>
    <cellStyle name="Обычный_BALANCE.WARM.2007YEAR(FACT)" xfId="74"/>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worksheet" Target="worksheets/sheet5.xml"/><Relationship Id="rId7" Type="http://schemas.openxmlformats.org/officeDocument/2006/relationships/worksheet" Target="worksheets/sheet6.xml"/><Relationship Id="rId8" Type="http://schemas.openxmlformats.org/officeDocument/2006/relationships/worksheet" Target="worksheets/sheet7.xml"/><Relationship Id="rId9" Type="http://schemas.openxmlformats.org/officeDocument/2006/relationships/worksheet" Target="worksheets/sheet8.xml"/><Relationship Id="rId10" Type="http://schemas.openxmlformats.org/officeDocument/2006/relationships/worksheet" Target="worksheets/sheet9.xml"/><Relationship Id="rId11" Type="http://schemas.openxmlformats.org/officeDocument/2006/relationships/worksheet" Target="worksheets/sheet10.xml"/><Relationship Id="rId12" Type="http://schemas.openxmlformats.org/officeDocument/2006/relationships/worksheet" Target="worksheets/sheet11.xml"/><Relationship Id="rId13" Type="http://schemas.openxmlformats.org/officeDocument/2006/relationships/worksheet" Target="worksheets/sheet12.xml"/><Relationship Id="rId14" Type="http://schemas.openxmlformats.org/officeDocument/2006/relationships/worksheet" Target="worksheets/sheet13.xml"/><Relationship Id="rId15" Type="http://schemas.openxmlformats.org/officeDocument/2006/relationships/worksheet" Target="worksheets/sheet14.xml"/><Relationship Id="rId16" Type="http://schemas.openxmlformats.org/officeDocument/2006/relationships/worksheet" Target="worksheets/sheet15.xml"/><Relationship Id="rId17" Type="http://schemas.openxmlformats.org/officeDocument/2006/relationships/worksheet" Target="worksheets/sheet16.xml"/><Relationship Id="rId18" Type="http://schemas.openxmlformats.org/officeDocument/2006/relationships/worksheet" Target="worksheets/sheet17.xml"/><Relationship Id="rId19" Type="http://schemas.openxmlformats.org/officeDocument/2006/relationships/worksheet" Target="worksheets/sheet18.xml"/><Relationship Id="rId20" Type="http://schemas.openxmlformats.org/officeDocument/2006/relationships/worksheet" Target="worksheets/sheet19.xml"/><Relationship Id="rId21" Type="http://schemas.openxmlformats.org/officeDocument/2006/relationships/worksheet" Target="worksheets/sheet20.xml"/><Relationship Id="rId22" Type="http://schemas.openxmlformats.org/officeDocument/2006/relationships/worksheet" Target="worksheets/sheet21.xml"/><Relationship Id="rId23" Type="http://schemas.openxmlformats.org/officeDocument/2006/relationships/worksheet" Target="worksheets/sheet22.xml"/><Relationship Id="rId24" Type="http://schemas.openxmlformats.org/officeDocument/2006/relationships/worksheet" Target="worksheets/sheet23.xml"/><Relationship Id="rId25" Type="http://schemas.openxmlformats.org/officeDocument/2006/relationships/worksheet" Target="worksheets/sheet24.xml"/><Relationship Id="rId26" Type="http://schemas.openxmlformats.org/officeDocument/2006/relationships/worksheet" Target="worksheets/sheet25.xml"/><Relationship Id="rId27" Type="http://schemas.openxmlformats.org/officeDocument/2006/relationships/worksheet" Target="worksheets/sheet26.xml"/><Relationship Id="rId28" Type="http://schemas.openxmlformats.org/officeDocument/2006/relationships/worksheet" Target="worksheets/sheet27.xml"/><Relationship Id="rId29" Type="http://schemas.openxmlformats.org/officeDocument/2006/relationships/worksheet" Target="worksheets/sheet28.xml"/><Relationship Id="rId30" Type="http://schemas.openxmlformats.org/officeDocument/2006/relationships/worksheet" Target="worksheets/sheet29.xml"/><Relationship Id="rId31" Type="http://schemas.openxmlformats.org/officeDocument/2006/relationships/worksheet" Target="worksheets/sheet30.xml"/><Relationship Id="rId32" Type="http://schemas.openxmlformats.org/officeDocument/2006/relationships/worksheet" Target="worksheets/sheet31.xml"/><Relationship Id="rId33" Type="http://schemas.openxmlformats.org/officeDocument/2006/relationships/worksheet" Target="worksheets/sheet32.xml"/><Relationship Id="rId34" Type="http://schemas.openxmlformats.org/officeDocument/2006/relationships/worksheet" Target="worksheets/sheet33.xml"/><Relationship Id="rId35" Type="http://schemas.openxmlformats.org/officeDocument/2006/relationships/worksheet" Target="worksheets/sheet34.xml"/><Relationship Id="rId36" Type="http://schemas.openxmlformats.org/officeDocument/2006/relationships/worksheet" Target="worksheets/sheet35.xml"/><Relationship Id="rId37" Type="http://schemas.openxmlformats.org/officeDocument/2006/relationships/worksheet" Target="worksheets/sheet36.xml"/><Relationship Id="rId38" Type="http://schemas.openxmlformats.org/officeDocument/2006/relationships/worksheet" Target="worksheets/sheet37.xml"/><Relationship Id="rId39" Type="http://schemas.openxmlformats.org/officeDocument/2006/relationships/worksheet" Target="worksheets/sheet38.xml"/><Relationship Id="rId40" Type="http://schemas.openxmlformats.org/officeDocument/2006/relationships/worksheet" Target="worksheets/sheet39.xml"/><Relationship Id="rId41" Type="http://schemas.openxmlformats.org/officeDocument/2006/relationships/worksheet" Target="worksheets/sheet40.xml"/><Relationship Id="rId42" Type="http://schemas.openxmlformats.org/officeDocument/2006/relationships/worksheet" Target="worksheets/sheet41.xml"/><Relationship Id="rId43" Type="http://schemas.openxmlformats.org/officeDocument/2006/relationships/worksheet" Target="worksheets/sheet42.xml"/><Relationship Id="rId44" Type="http://schemas.openxmlformats.org/officeDocument/2006/relationships/worksheet" Target="worksheets/sheet43.xml"/><Relationship Id="rId45" Type="http://schemas.openxmlformats.org/officeDocument/2006/relationships/worksheet" Target="worksheets/sheet44.xml"/><Relationship Id="rId46" Type="http://schemas.openxmlformats.org/officeDocument/2006/relationships/worksheet" Target="worksheets/sheet45.xml"/><Relationship Id="rId47" Type="http://schemas.openxmlformats.org/officeDocument/2006/relationships/worksheet" Target="worksheets/sheet46.xml"/><Relationship Id="rId48" Type="http://schemas.openxmlformats.org/officeDocument/2006/relationships/worksheet" Target="worksheets/sheet47.xml"/><Relationship Id="rId49" Type="http://schemas.openxmlformats.org/officeDocument/2006/relationships/worksheet" Target="worksheets/sheet48.xml"/><Relationship Id="rId50" Type="http://schemas.openxmlformats.org/officeDocument/2006/relationships/worksheet" Target="worksheets/sheet49.xml"/><Relationship Id="rId51" Type="http://schemas.openxmlformats.org/officeDocument/2006/relationships/worksheet" Target="worksheets/sheet50.xml"/><Relationship Id="rId52" Type="http://schemas.openxmlformats.org/officeDocument/2006/relationships/worksheet" Target="worksheets/sheet51.xml"/><Relationship Id="rId53" Type="http://schemas.openxmlformats.org/officeDocument/2006/relationships/worksheet" Target="worksheets/sheet52.xml"/><Relationship Id="rId54" Type="http://schemas.openxmlformats.org/officeDocument/2006/relationships/worksheet" Target="worksheets/sheet53.xml"/><Relationship Id="rId55" Type="http://schemas.openxmlformats.org/officeDocument/2006/relationships/worksheet" Target="worksheets/sheet54.xml"/><Relationship Id="rId56" Type="http://schemas.openxmlformats.org/officeDocument/2006/relationships/worksheet" Target="worksheets/sheet55.xml"/><Relationship Id="rId57" Type="http://schemas.openxmlformats.org/officeDocument/2006/relationships/worksheet" Target="worksheets/sheet56.xml"/><Relationship Id="rId58" Type="http://schemas.openxmlformats.org/officeDocument/2006/relationships/worksheet" Target="worksheets/sheet57.xml"/><Relationship Id="rId59" Type="http://schemas.openxmlformats.org/officeDocument/2006/relationships/worksheet" Target="worksheets/sheet58.xml"/><Relationship Id="rId60" Type="http://schemas.openxmlformats.org/officeDocument/2006/relationships/worksheet" Target="worksheets/sheet59.xml"/><Relationship Id="rId61" Type="http://schemas.openxmlformats.org/officeDocument/2006/relationships/worksheet" Target="worksheets/sheet60.xml"/><Relationship Id="rId62" Type="http://schemas.openxmlformats.org/officeDocument/2006/relationships/worksheet" Target="worksheets/sheet61.xml"/><Relationship Id="rId63" Type="http://schemas.openxmlformats.org/officeDocument/2006/relationships/worksheet" Target="worksheets/sheet62.xml"/><Relationship Id="rId64" Type="http://schemas.openxmlformats.org/officeDocument/2006/relationships/worksheet" Target="worksheets/sheet63.xml"/><Relationship Id="rId65" Type="http://schemas.openxmlformats.org/officeDocument/2006/relationships/worksheet" Target="worksheets/sheet64.xml"/><Relationship Id="rId66" Type="http://schemas.openxmlformats.org/officeDocument/2006/relationships/worksheet" Target="worksheets/sheet65.xml"/><Relationship Id="rId67" Type="http://schemas.openxmlformats.org/officeDocument/2006/relationships/worksheet" Target="worksheets/sheet66.xml"/><Relationship Id="rId68" Type="http://schemas.openxmlformats.org/officeDocument/2006/relationships/worksheet" Target="worksheets/sheet67.xml"/><Relationship Id="rId69" Type="http://schemas.openxmlformats.org/officeDocument/2006/relationships/worksheet" Target="worksheets/sheet68.xml"/><Relationship Id="rId70" Type="http://schemas.openxmlformats.org/officeDocument/2006/relationships/worksheet" Target="worksheets/sheet69.xml"/><Relationship Id="rId71" Type="http://schemas.openxmlformats.org/officeDocument/2006/relationships/worksheet" Target="worksheets/sheet70.xml"/><Relationship Id="rId72" Type="http://schemas.openxmlformats.org/officeDocument/2006/relationships/worksheet" Target="worksheets/sheet71.xml"/><Relationship Id="rId73" Type="http://schemas.openxmlformats.org/officeDocument/2006/relationships/worksheet" Target="worksheets/sheet72.xml"/><Relationship Id="rId74" Type="http://schemas.openxmlformats.org/officeDocument/2006/relationships/worksheet" Target="worksheets/sheet73.xml"/><Relationship Id="rId75" Type="http://schemas.openxmlformats.org/officeDocument/2006/relationships/worksheet" Target="worksheets/sheet74.xml"/><Relationship Id="rId76" Type="http://schemas.openxmlformats.org/officeDocument/2006/relationships/worksheet" Target="worksheets/sheet75.xml"/><Relationship Id="rId77" Type="http://schemas.openxmlformats.org/officeDocument/2006/relationships/worksheet" Target="worksheets/sheet76.xml"/><Relationship Id="rId78" Type="http://schemas.openxmlformats.org/officeDocument/2006/relationships/worksheet" Target="worksheets/sheet77.xml"/><Relationship Id="rId79" Type="http://schemas.openxmlformats.org/officeDocument/2006/relationships/worksheet" Target="worksheets/sheet78.xml"/><Relationship Id="rId80" Type="http://schemas.openxmlformats.org/officeDocument/2006/relationships/worksheet" Target="worksheets/sheet79.xml"/><Relationship Id="rId81" Type="http://schemas.openxmlformats.org/officeDocument/2006/relationships/worksheet" Target="worksheets/sheet80.xml"/><Relationship Id="rId82" Type="http://schemas.openxmlformats.org/officeDocument/2006/relationships/worksheet" Target="worksheets/sheet81.xml"/><Relationship Id="rId83" Type="http://schemas.openxmlformats.org/officeDocument/2006/relationships/worksheet" Target="worksheets/sheet82.xml"/><Relationship Id="rId84" Type="http://schemas.openxmlformats.org/officeDocument/2006/relationships/worksheet" Target="worksheets/sheet83.xml"/><Relationship Id="rId85" Type="http://schemas.openxmlformats.org/officeDocument/2006/relationships/worksheet" Target="worksheets/sheet84.xml"/><Relationship Id="rId86" Type="http://schemas.openxmlformats.org/officeDocument/2006/relationships/worksheet" Target="worksheets/sheet85.xml"/><Relationship Id="rId87" Type="http://schemas.openxmlformats.org/officeDocument/2006/relationships/worksheet" Target="worksheets/sheet86.xml"/><Relationship Id="rId88" Type="http://schemas.openxmlformats.org/officeDocument/2006/relationships/worksheet" Target="worksheets/sheet87.xml"/><Relationship Id="rId89" Type="http://schemas.openxmlformats.org/officeDocument/2006/relationships/sharedStrings" Target="sharedStrings.xml"/><Relationship Id="rId90"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 Id="rId2" Type="http://schemas.openxmlformats.org/officeDocument/2006/relationships/image" Target="../media/image2.jpeg"/><Relationship Id="rId3" Type="http://schemas.openxmlformats.org/officeDocument/2006/relationships/image" Target="../media/image3.png"/><Relationship Id="rId4" Type="http://schemas.openxmlformats.org/officeDocument/2006/relationships/image" Target="../media/image4.png"/><Relationship Id="rId5" Type="http://schemas.openxmlformats.org/officeDocument/2006/relationships/image" Target="../media/image5.jpeg"/></Relationships>
</file>

<file path=xl/drawings/_rels/drawing2.xml.rels><?xml version="1.0" encoding="UTF-8" standalone="yes"?>
<Relationships xmlns="http://schemas.openxmlformats.org/package/2006/relationships"><Relationship Id="rId1" Type="http://schemas.openxmlformats.org/officeDocument/2006/relationships/image" Target="../media/image6.png"/><Relationship Id="rId2" Type="http://schemas.openxmlformats.org/officeDocument/2006/relationships/image" Target="../media/image7.png"/></Relationships>
</file>

<file path=xl/drawings/_rels/drawing3.xml.rels><?xml version="1.0" encoding="UTF-8" standalone="yes"?>
<Relationships xmlns="http://schemas.openxmlformats.org/package/2006/relationships"><Relationship Id="rId1" Type="http://schemas.openxmlformats.org/officeDocument/2006/relationships/image" Target="../media/image8.png"/></Relationships>
</file>

<file path=xl/drawings/_rels/drawing4.xml.rels><?xml version="1.0" encoding="UTF-8" standalone="yes"?>
<Relationships xmlns="http://schemas.openxmlformats.org/package/2006/relationships"><Relationship Id="rId1" Type="http://schemas.openxmlformats.org/officeDocument/2006/relationships/image" Target="../media/image9.png"/></Relationships>
</file>

<file path=xl/drawings/_rels/drawing5.xml.rels><?xml version="1.0" encoding="UTF-8" standalone="yes"?>
<Relationships xmlns="http://schemas.openxmlformats.org/package/2006/relationships"><Relationship Id="rId1" Type="http://schemas.openxmlformats.org/officeDocument/2006/relationships/image" Target="../media/image10.png"/></Relationships>
</file>

<file path=xl/drawings/_rels/drawing6.xml.rels><?xml version="1.0" encoding="UTF-8" standalone="yes"?>
<Relationships xmlns="http://schemas.openxmlformats.org/package/2006/relationships"><Relationship Id="rId1" Type="http://schemas.openxmlformats.org/officeDocument/2006/relationships/image" Target="../media/image11.png"/></Relationships>
</file>

<file path=xl/drawings/drawing1.xml><?xml version="1.0" encoding="utf-8"?>
<xdr:wsDr xmlns:xdr="http://schemas.openxmlformats.org/drawingml/2006/spreadsheetDrawing" xmlns:a="http://schemas.openxmlformats.org/drawingml/2006/main">
  <xdr:twoCellAnchor editAs="oneCell">
    <xdr:from>
      <xdr:col>3</xdr:col>
      <xdr:colOff>104775</xdr:colOff>
      <xdr:row>8</xdr:row>
      <xdr:rowOff>0</xdr:rowOff>
    </xdr:from>
    <xdr:to>
      <xdr:col>4</xdr:col>
      <xdr:colOff>314516</xdr:colOff>
      <xdr:row>16</xdr:row>
      <xdr:rowOff>171641</xdr:rowOff>
    </xdr:to>
    <xdr:pic>
      <xdr:nvPicPr>
        <xdr:cNvPr id="1" name="PHONE_PIC"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104775</xdr:colOff>
      <xdr:row>10</xdr:row>
      <xdr:rowOff>0</xdr:rowOff>
    </xdr:from>
    <xdr:to>
      <xdr:col>4</xdr:col>
      <xdr:colOff>314516</xdr:colOff>
      <xdr:row>29</xdr:row>
      <xdr:rowOff>191</xdr:rowOff>
    </xdr:to>
    <xdr:pic>
      <xdr:nvPicPr>
        <xdr:cNvPr id="2" name="PHONE_PIC_1" descr="update_org.png"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7</xdr:col>
      <xdr:colOff>0</xdr:colOff>
      <xdr:row>4</xdr:row>
      <xdr:rowOff>0</xdr:rowOff>
    </xdr:from>
    <xdr:to>
      <xdr:col>8</xdr:col>
      <xdr:colOff>219075</xdr:colOff>
      <xdr:row>4</xdr:row>
      <xdr:rowOff>219075</xdr:rowOff>
    </xdr:to>
    <xdr:pic>
      <xdr:nvPicPr>
        <xdr:cNvPr id="3" name="cmdCreatePrintedForm" descr="Создание печатной формы" hidden="1"/>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4</xdr:col>
      <xdr:colOff>0</xdr:colOff>
      <xdr:row>30</xdr:row>
      <xdr:rowOff>0</xdr:rowOff>
    </xdr:from>
    <xdr:to>
      <xdr:col>4</xdr:col>
      <xdr:colOff>288036</xdr:colOff>
      <xdr:row>31</xdr:row>
      <xdr:rowOff>0</xdr:rowOff>
    </xdr:to>
    <xdr:pic>
      <xdr:nvPicPr>
        <xdr:cNvPr id="4" name="UPDATE_PLAN1X_DATA" descr="update_org.png" hidden="1"/>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104775</xdr:colOff>
      <xdr:row>65</xdr:row>
      <xdr:rowOff>76200</xdr:rowOff>
    </xdr:from>
    <xdr:to>
      <xdr:col>4</xdr:col>
      <xdr:colOff>312325</xdr:colOff>
      <xdr:row>65</xdr:row>
      <xdr:rowOff>400241</xdr:rowOff>
    </xdr:to>
    <xdr:pic>
      <xdr:nvPicPr>
        <xdr:cNvPr id="5" name="PHONE_PIC_2" descr="update_org.png" hidden="1"/>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0</xdr:colOff>
      <xdr:row>8</xdr:row>
      <xdr:rowOff>0</xdr:rowOff>
    </xdr:from>
    <xdr:to>
      <xdr:col>6</xdr:col>
      <xdr:colOff>219075</xdr:colOff>
      <xdr:row>8</xdr:row>
      <xdr:rowOff>219075</xdr:rowOff>
    </xdr:to>
    <xdr:pic>
      <xdr:nvPicPr>
        <xdr:cNvPr id="1" name="ExcludeHelp_2" descr="Справка по листу"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xdr:from>
      <xdr:col>4</xdr:col>
      <xdr:colOff>114300</xdr:colOff>
      <xdr:row>5</xdr:row>
      <xdr:rowOff>0</xdr:rowOff>
    </xdr:from>
    <xdr:to>
      <xdr:col>6</xdr:col>
      <xdr:colOff>18764</xdr:colOff>
      <xdr:row>6</xdr:row>
      <xdr:rowOff>0</xdr:rowOff>
    </xdr:to>
    <xdr:pic>
      <xdr:nvPicPr>
        <xdr:cNvPr id="2" name="Рисунок 1"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3</xdr:col>
      <xdr:colOff>73533</xdr:colOff>
      <xdr:row>6</xdr:row>
      <xdr:rowOff>0</xdr:rowOff>
    </xdr:from>
    <xdr:to>
      <xdr:col>4</xdr:col>
      <xdr:colOff>155734</xdr:colOff>
      <xdr:row>6</xdr:row>
      <xdr:rowOff>0</xdr:rowOff>
    </xdr:to>
    <xdr:pic>
      <xdr:nvPicPr>
        <xdr:cNvPr id="1" name="Рисунок 8"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13</xdr:row>
      <xdr:rowOff>0</xdr:rowOff>
    </xdr:from>
    <xdr:to>
      <xdr:col>3</xdr:col>
      <xdr:colOff>0</xdr:colOff>
      <xdr:row>13</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13</xdr:row>
      <xdr:rowOff>0</xdr:rowOff>
    </xdr:from>
    <xdr:to>
      <xdr:col>4</xdr:col>
      <xdr:colOff>0</xdr:colOff>
      <xdr:row>13</xdr:row>
      <xdr:rowOff>171450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4</xdr:row>
      <xdr:rowOff>0</xdr:rowOff>
    </xdr:from>
    <xdr:to>
      <xdr:col>3</xdr:col>
      <xdr:colOff>0</xdr:colOff>
      <xdr:row>4</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Тема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vmlDrawing" Target="../drawings/vmlDrawing1.vml"/><Relationship Id="rId3"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5.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46.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47.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49.xml.rels><?xml version="1.0" encoding="UTF-8" standalone="yes"?>
<Relationships xmlns="http://schemas.openxmlformats.org/package/2006/relationships"><Relationship Id="rId1" Type="http://schemas.openxmlformats.org/officeDocument/2006/relationships/comments" Target="../comments2.xml"/><Relationship Id="rId2" Type="http://schemas.openxmlformats.org/officeDocument/2006/relationships/vmlDrawing" Target="../drawings/vmlDrawing2.vml"/></Relationships>
</file>

<file path=xl/worksheets/_rels/sheet61.xml.rels><?xml version="1.0" encoding="UTF-8" standalone="yes"?>
<Relationships xmlns="http://schemas.openxmlformats.org/package/2006/relationships"><Relationship Id="rId1" Type="http://schemas.openxmlformats.org/officeDocument/2006/relationships/comments" Target="../comments3.xml"/><Relationship Id="rId2"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62CA623-5818-64A4-F725-7C4DE21016F9}" mc:Ignorable="x14ac xr xr2 xr3">
  <dimension ref="A1:AB21"/>
  <sheetViews>
    <sheetView topLeftCell="A1" showGridLines="0" showRowColHeaders="0" workbookViewId="0">
      <selection activeCell="A1" sqref="A1"/>
    </sheetView>
  </sheetViews>
  <sheetFormatPr defaultColWidth="11.00390625" customHeight="1" defaultRowHeight="12.75"/>
  <cols>
    <col min="1" max="1" style="7879" width="5.421875" customWidth="1"/>
    <col min="2" max="2" style="7879" width="9.140625" customWidth="1"/>
    <col min="3" max="3" style="7879" width="16.421875" customWidth="1"/>
    <col min="4" max="25" style="7879" width="6.28125" customWidth="1"/>
    <col min="26" max="28" style="7879" width="11.00390625"/>
  </cols>
  <sheetData>
    <row customHeight="1" ht="15.75">
      <c r="A1" s="1859"/>
      <c r="B1" s="1860"/>
      <c r="C1" s="1860"/>
      <c r="D1" s="1860"/>
      <c r="E1" s="1860"/>
      <c r="F1" s="1860"/>
      <c r="G1" s="1860"/>
      <c r="H1" s="1860"/>
      <c r="I1" s="1860"/>
      <c r="J1" s="1860"/>
      <c r="K1" s="1860"/>
      <c r="L1" s="1860"/>
      <c r="M1" s="1860"/>
      <c r="N1" s="1860"/>
      <c r="O1" s="1860"/>
      <c r="P1" s="1860"/>
      <c r="Q1" s="1860"/>
      <c r="R1" s="1860"/>
      <c r="S1" s="1860"/>
      <c r="T1" s="1860"/>
      <c r="U1" s="1860"/>
      <c r="V1" s="1860"/>
      <c r="W1" s="1860"/>
      <c r="X1" s="1860"/>
      <c r="Y1" s="1861"/>
      <c r="Z1" s="1860"/>
      <c r="AA1" s="1862" t="s">
        <v>0</v>
      </c>
      <c r="AB1" s="1860"/>
    </row>
    <row customHeight="1" ht="17.25">
      <c r="A2" s="1860"/>
      <c r="B2" s="2155" t="s">
        <v>1</v>
      </c>
      <c r="C2" s="2155"/>
      <c r="D2" s="2155"/>
      <c r="E2" s="2155"/>
      <c r="F2" s="2155"/>
      <c r="G2" s="2155"/>
      <c r="H2" s="2155"/>
      <c r="I2" s="2155"/>
      <c r="J2" s="2155"/>
      <c r="K2" s="2155"/>
      <c r="L2" s="2155"/>
      <c r="M2" s="2155"/>
      <c r="N2" s="2155"/>
      <c r="O2" s="2155"/>
      <c r="P2" s="2155"/>
      <c r="Q2" s="1864"/>
      <c r="R2" s="1864"/>
      <c r="S2" s="1864"/>
      <c r="T2" s="1864"/>
      <c r="U2" s="1864"/>
      <c r="V2" s="1865"/>
      <c r="W2" s="1864"/>
      <c r="X2" s="1864"/>
      <c r="Y2" s="1861"/>
      <c r="Z2" s="1860"/>
      <c r="AA2" s="1862"/>
      <c r="AB2" s="1860"/>
    </row>
    <row customHeight="1" ht="15.75">
      <c r="A3" s="1860"/>
      <c r="B3" s="2156" t="s">
        <v>2</v>
      </c>
      <c r="C3" s="2156"/>
      <c r="D3" s="2156"/>
      <c r="E3" s="2156"/>
      <c r="F3" s="2156"/>
      <c r="G3" s="2156"/>
      <c r="H3" s="2156"/>
      <c r="I3" s="2156"/>
      <c r="J3" s="2156"/>
      <c r="K3" s="2156"/>
      <c r="L3" s="2156"/>
      <c r="M3" s="2156"/>
      <c r="N3" s="2156"/>
      <c r="O3" s="2156"/>
      <c r="P3" s="2156"/>
      <c r="Q3" s="1865"/>
      <c r="R3" s="1865"/>
      <c r="S3" s="1864"/>
      <c r="T3" s="1864"/>
      <c r="U3" s="1864"/>
      <c r="V3" s="1865"/>
      <c r="W3" s="1865"/>
      <c r="X3" s="1865"/>
      <c r="Y3" s="1865"/>
      <c r="Z3" s="1860"/>
      <c r="AA3" s="1862"/>
      <c r="AB3" s="1860"/>
    </row>
    <row customHeight="1" ht="17.25">
      <c r="A4" s="1860"/>
      <c r="B4" s="1866"/>
      <c r="C4" s="1860"/>
      <c r="D4" s="1865"/>
      <c r="E4" s="1865"/>
      <c r="F4" s="1865"/>
      <c r="G4" s="1865"/>
      <c r="H4" s="1865"/>
      <c r="I4" s="1865"/>
      <c r="J4" s="1865"/>
      <c r="K4" s="1865"/>
      <c r="L4" s="1865"/>
      <c r="M4" s="1865"/>
      <c r="N4" s="1865"/>
      <c r="O4" s="1865"/>
      <c r="P4" s="1865"/>
      <c r="Q4" s="1865"/>
      <c r="R4" s="1865"/>
      <c r="S4" s="1865"/>
      <c r="T4" s="1865"/>
      <c r="U4" s="1865"/>
      <c r="V4" s="1865"/>
      <c r="W4" s="1865"/>
      <c r="X4" s="1865"/>
      <c r="Y4" s="1865"/>
      <c r="Z4" s="1860"/>
      <c r="AA4" s="1862"/>
      <c r="AB4" s="1860"/>
    </row>
    <row customHeight="1" ht="22.5">
      <c r="A5" s="1867"/>
      <c r="B5" s="2157" t="str">
        <f>IF(TEMPLATE_SPHERE="","Информация, подлежащая раскрытию регулируемыми организациями",Титульный!E5)</f>
        <v>Показатели, подлежащие раскрытию в сфере горячего водоснабжения (цены и тарифы)</v>
      </c>
      <c r="C5" s="2158"/>
      <c r="D5" s="2158"/>
      <c r="E5" s="2158"/>
      <c r="F5" s="2158"/>
      <c r="G5" s="2158"/>
      <c r="H5" s="2158"/>
      <c r="I5" s="2158"/>
      <c r="J5" s="2158"/>
      <c r="K5" s="2158"/>
      <c r="L5" s="2158"/>
      <c r="M5" s="2158"/>
      <c r="N5" s="2158"/>
      <c r="O5" s="2158"/>
      <c r="P5" s="2158"/>
      <c r="Q5" s="2158"/>
      <c r="R5" s="2158"/>
      <c r="S5" s="2158"/>
      <c r="T5" s="2158"/>
      <c r="U5" s="2158"/>
      <c r="V5" s="2158"/>
      <c r="W5" s="2158"/>
      <c r="X5" s="2158"/>
      <c r="Y5" s="2159"/>
      <c r="Z5" s="1867"/>
      <c r="AA5" s="1862"/>
      <c r="AB5" s="1867"/>
    </row>
    <row customHeight="1" ht="15">
      <c r="A6" s="1868"/>
      <c r="B6" s="2147" t="s">
        <v>3</v>
      </c>
      <c r="C6" s="2150"/>
      <c r="D6" s="1869"/>
      <c r="E6" s="1869"/>
      <c r="F6" s="1869"/>
      <c r="G6" s="1869"/>
      <c r="H6" s="1869"/>
      <c r="I6" s="1869"/>
      <c r="J6" s="1869"/>
      <c r="K6" s="1869"/>
      <c r="L6" s="1869"/>
      <c r="M6" s="1869"/>
      <c r="N6" s="1869"/>
      <c r="O6" s="1869"/>
      <c r="P6" s="1869"/>
      <c r="Q6" s="1869"/>
      <c r="R6" s="1869"/>
      <c r="S6" s="1869"/>
      <c r="T6" s="1869"/>
      <c r="U6" s="1869"/>
      <c r="V6" s="1869"/>
      <c r="W6" s="1869"/>
      <c r="X6" s="1869"/>
      <c r="Y6" s="1870"/>
      <c r="Z6" s="1871"/>
      <c r="AA6" s="1872"/>
      <c r="AB6" s="1872"/>
    </row>
    <row customHeight="1" ht="15">
      <c r="A7" s="1868"/>
      <c r="B7" s="2147"/>
      <c r="C7" s="2150"/>
      <c r="D7" s="1869"/>
      <c r="E7" s="1869"/>
      <c r="F7" s="1873"/>
      <c r="G7" s="1873"/>
      <c r="H7" s="1873"/>
      <c r="I7" s="1873"/>
      <c r="J7" s="1873"/>
      <c r="K7" s="1873"/>
      <c r="L7" s="1873"/>
      <c r="M7" s="1873"/>
      <c r="N7" s="1873"/>
      <c r="O7" s="1869"/>
      <c r="P7" s="1873"/>
      <c r="Q7" s="1873"/>
      <c r="R7" s="1873"/>
      <c r="S7" s="1873"/>
      <c r="T7" s="1873"/>
      <c r="U7" s="1873"/>
      <c r="V7" s="1873"/>
      <c r="W7" s="1873"/>
      <c r="X7" s="1873"/>
      <c r="Y7" s="1870"/>
      <c r="Z7" s="1871"/>
      <c r="AA7" s="1872"/>
      <c r="AB7" s="1872"/>
    </row>
    <row customHeight="1" ht="15">
      <c r="A8" s="1868"/>
      <c r="B8" s="2147"/>
      <c r="C8" s="2150"/>
      <c r="D8" s="1874"/>
      <c r="E8" s="1875" t="s">
        <v>4</v>
      </c>
      <c r="F8" s="2160" t="s">
        <v>5</v>
      </c>
      <c r="G8" s="2149"/>
      <c r="H8" s="2149"/>
      <c r="I8" s="2149"/>
      <c r="J8" s="2149"/>
      <c r="K8" s="2149"/>
      <c r="L8" s="2149"/>
      <c r="M8" s="2149"/>
      <c r="N8" s="1874"/>
      <c r="O8" s="1876" t="s">
        <v>4</v>
      </c>
      <c r="P8" s="2161" t="s">
        <v>6</v>
      </c>
      <c r="Q8" s="2162"/>
      <c r="R8" s="2162"/>
      <c r="S8" s="2162"/>
      <c r="T8" s="2162"/>
      <c r="U8" s="2162"/>
      <c r="V8" s="2162"/>
      <c r="W8" s="2162"/>
      <c r="X8" s="2162"/>
      <c r="Y8" s="1870"/>
      <c r="Z8" s="1871"/>
      <c r="AA8" s="1872"/>
      <c r="AB8" s="1872"/>
    </row>
    <row customHeight="1" ht="15">
      <c r="A9" s="1868"/>
      <c r="B9" s="2147"/>
      <c r="C9" s="2150"/>
      <c r="D9" s="1874"/>
      <c r="E9" s="1877" t="s">
        <v>4</v>
      </c>
      <c r="F9" s="2160" t="s">
        <v>7</v>
      </c>
      <c r="G9" s="2149"/>
      <c r="H9" s="2149"/>
      <c r="I9" s="2149"/>
      <c r="J9" s="2149"/>
      <c r="K9" s="2149"/>
      <c r="L9" s="2149"/>
      <c r="M9" s="2149"/>
      <c r="N9" s="1874"/>
      <c r="O9" s="1878" t="s">
        <v>4</v>
      </c>
      <c r="P9" s="2161" t="s">
        <v>8</v>
      </c>
      <c r="Q9" s="2162"/>
      <c r="R9" s="2162"/>
      <c r="S9" s="2162"/>
      <c r="T9" s="2162"/>
      <c r="U9" s="2162"/>
      <c r="V9" s="2162"/>
      <c r="W9" s="2162"/>
      <c r="X9" s="2162"/>
      <c r="Y9" s="1870"/>
      <c r="Z9" s="1871"/>
      <c r="AA9" s="1872"/>
      <c r="AB9" s="1872"/>
    </row>
    <row customHeight="1" ht="30">
      <c r="A10" s="1868"/>
      <c r="B10" s="2147"/>
      <c r="C10" s="2148"/>
      <c r="D10" s="1879"/>
      <c r="E10" s="1880"/>
      <c r="F10" s="1873"/>
      <c r="G10" s="1873"/>
      <c r="H10" s="1873"/>
      <c r="I10" s="1873"/>
      <c r="J10" s="1873"/>
      <c r="K10" s="1873"/>
      <c r="L10" s="1873"/>
      <c r="M10" s="1873"/>
      <c r="N10" s="1873"/>
      <c r="O10" s="1880"/>
      <c r="P10" s="1873"/>
      <c r="Q10" s="1873"/>
      <c r="R10" s="1873"/>
      <c r="S10" s="1873"/>
      <c r="T10" s="1873"/>
      <c r="U10" s="1873"/>
      <c r="V10" s="1873"/>
      <c r="W10" s="1873"/>
      <c r="X10" s="1873"/>
      <c r="Y10" s="1870"/>
      <c r="Z10" s="1871"/>
      <c r="AA10" s="1872"/>
      <c r="AB10" s="1872"/>
    </row>
    <row customHeight="1" ht="19.5">
      <c r="A11" s="1868"/>
      <c r="B11" s="2145" t="s">
        <v>9</v>
      </c>
      <c r="C11" s="2146"/>
      <c r="D11" s="1874"/>
      <c r="E11" s="1881"/>
      <c r="F11" s="1881"/>
      <c r="G11" s="1881"/>
      <c r="H11" s="1881"/>
      <c r="I11" s="1881"/>
      <c r="J11" s="1881"/>
      <c r="K11" s="1881"/>
      <c r="L11" s="1881"/>
      <c r="M11" s="1881"/>
      <c r="N11" s="1881"/>
      <c r="O11" s="1881"/>
      <c r="P11" s="1881"/>
      <c r="Q11" s="1881"/>
      <c r="R11" s="1881"/>
      <c r="S11" s="1881"/>
      <c r="T11" s="1881"/>
      <c r="U11" s="1881"/>
      <c r="V11" s="1881"/>
      <c r="W11" s="1881"/>
      <c r="X11" s="1881"/>
      <c r="Y11" s="1870"/>
      <c r="Z11" s="1871"/>
      <c r="AA11" s="1872"/>
      <c r="AB11" s="1872"/>
    </row>
    <row customHeight="1" ht="69">
      <c r="A12" s="1868"/>
      <c r="B12" s="2147"/>
      <c r="C12" s="2148"/>
      <c r="D12" s="1882"/>
      <c r="E12" s="2149" t="s">
        <v>10</v>
      </c>
      <c r="F12" s="2149"/>
      <c r="G12" s="2149"/>
      <c r="H12" s="2149"/>
      <c r="I12" s="2149"/>
      <c r="J12" s="2149"/>
      <c r="K12" s="2149"/>
      <c r="L12" s="2149"/>
      <c r="M12" s="2149"/>
      <c r="N12" s="2149"/>
      <c r="O12" s="2149"/>
      <c r="P12" s="2149"/>
      <c r="Q12" s="2149"/>
      <c r="R12" s="2149"/>
      <c r="S12" s="2149"/>
      <c r="T12" s="2149"/>
      <c r="U12" s="2149"/>
      <c r="V12" s="2149"/>
      <c r="W12" s="2149"/>
      <c r="X12" s="2149"/>
      <c r="Y12" s="1870"/>
      <c r="Z12" s="1871"/>
      <c r="AA12" s="1872"/>
      <c r="AB12" s="1872"/>
    </row>
    <row customHeight="1" ht="15">
      <c r="A13" s="1868"/>
      <c r="B13" s="2145" t="s">
        <v>11</v>
      </c>
      <c r="C13" s="2146"/>
      <c r="D13" s="1869"/>
      <c r="E13" s="1881"/>
      <c r="F13" s="1881"/>
      <c r="G13" s="1881"/>
      <c r="H13" s="1881"/>
      <c r="I13" s="1881"/>
      <c r="J13" s="1881"/>
      <c r="K13" s="1881"/>
      <c r="L13" s="1881"/>
      <c r="M13" s="1881"/>
      <c r="N13" s="1881"/>
      <c r="O13" s="1881"/>
      <c r="P13" s="1881"/>
      <c r="Q13" s="1881"/>
      <c r="R13" s="1881"/>
      <c r="S13" s="1881"/>
      <c r="T13" s="1881"/>
      <c r="U13" s="1881"/>
      <c r="V13" s="1881"/>
      <c r="W13" s="1881"/>
      <c r="X13" s="1881"/>
      <c r="Y13" s="1870"/>
      <c r="Z13" s="1871"/>
      <c r="AA13" s="1872"/>
      <c r="AB13" s="1872"/>
    </row>
    <row customHeight="1" ht="57">
      <c r="A14" s="1868"/>
      <c r="B14" s="2147"/>
      <c r="C14" s="2150"/>
      <c r="D14" s="1874"/>
      <c r="E14" s="2153" t="s">
        <v>12</v>
      </c>
      <c r="F14" s="2153"/>
      <c r="G14" s="2153"/>
      <c r="H14" s="2153"/>
      <c r="I14" s="2153"/>
      <c r="J14" s="2153"/>
      <c r="K14" s="2153"/>
      <c r="L14" s="2153"/>
      <c r="M14" s="2153"/>
      <c r="N14" s="2153"/>
      <c r="O14" s="2153"/>
      <c r="P14" s="2153"/>
      <c r="Q14" s="2153"/>
      <c r="R14" s="2153"/>
      <c r="S14" s="2153"/>
      <c r="T14" s="2153"/>
      <c r="U14" s="2153"/>
      <c r="V14" s="2153"/>
      <c r="W14" s="2153"/>
      <c r="X14" s="2153"/>
      <c r="Y14" s="1870"/>
      <c r="Z14" s="1871"/>
      <c r="AA14" s="1872"/>
      <c r="AB14" s="1872"/>
    </row>
    <row customHeight="1" ht="16.5">
      <c r="A15" s="1868"/>
      <c r="B15" s="2151"/>
      <c r="C15" s="2152"/>
      <c r="D15" s="1883"/>
      <c r="E15" s="1884"/>
      <c r="F15" s="1884"/>
      <c r="G15" s="1884"/>
      <c r="H15" s="1884"/>
      <c r="I15" s="1884"/>
      <c r="J15" s="1884"/>
      <c r="K15" s="1884"/>
      <c r="L15" s="1884"/>
      <c r="M15" s="1884"/>
      <c r="N15" s="1884"/>
      <c r="O15" s="1884"/>
      <c r="P15" s="1884"/>
      <c r="Q15" s="1884"/>
      <c r="R15" s="1884"/>
      <c r="S15" s="1884"/>
      <c r="T15" s="1884"/>
      <c r="U15" s="1884"/>
      <c r="V15" s="1884"/>
      <c r="W15" s="1884"/>
      <c r="X15" s="1884"/>
      <c r="Y15" s="1885"/>
      <c r="Z15" s="1871"/>
      <c r="AA15" s="1886"/>
      <c r="AB15" s="1872"/>
    </row>
    <row customHeight="1" ht="95.25">
      <c r="A16" s="1860"/>
      <c r="B16" s="2153"/>
      <c r="C16" s="2154"/>
      <c r="D16" s="2154"/>
      <c r="E16" s="2154"/>
      <c r="F16" s="2154"/>
      <c r="G16" s="2154"/>
      <c r="H16" s="2154"/>
      <c r="I16" s="2154"/>
      <c r="J16" s="2154"/>
      <c r="K16" s="2154"/>
      <c r="L16" s="2154"/>
      <c r="M16" s="2154"/>
      <c r="N16" s="2154"/>
      <c r="O16" s="2154"/>
      <c r="P16" s="2154"/>
      <c r="Q16" s="2154"/>
      <c r="R16" s="2154"/>
      <c r="S16" s="2154"/>
      <c r="T16" s="2154"/>
      <c r="U16" s="2154"/>
      <c r="V16" s="2154"/>
      <c r="W16" s="2154"/>
      <c r="X16" s="2154"/>
      <c r="Y16" s="2154"/>
      <c r="Z16" s="1860"/>
      <c r="AA16" s="1862"/>
      <c r="AB16" s="1860"/>
    </row>
    <row customHeight="1" ht="14.25">
      <c r="A17" s="1860"/>
      <c r="B17" s="1860"/>
      <c r="C17" s="1860"/>
      <c r="D17" s="1860"/>
      <c r="E17" s="1860"/>
      <c r="F17" s="1860"/>
      <c r="G17" s="1860"/>
      <c r="H17" s="1860"/>
      <c r="I17" s="1860"/>
      <c r="J17" s="1860"/>
      <c r="K17" s="1860"/>
      <c r="L17" s="1860"/>
      <c r="M17" s="1860"/>
      <c r="N17" s="1860"/>
      <c r="O17" s="1860"/>
      <c r="P17" s="1860"/>
      <c r="Q17" s="1860"/>
      <c r="R17" s="1860"/>
      <c r="S17" s="1860"/>
      <c r="T17" s="1860"/>
      <c r="U17" s="1860"/>
      <c r="V17" s="1860"/>
      <c r="W17" s="1860"/>
      <c r="X17" s="1860"/>
      <c r="Y17" s="1861"/>
      <c r="Z17" s="1860"/>
      <c r="AA17" s="1862"/>
      <c r="AB17" s="1860"/>
    </row>
    <row customHeight="1" ht="14.25">
      <c r="A18" s="1860"/>
      <c r="B18" s="1860"/>
      <c r="C18" s="1860"/>
      <c r="D18" s="1860"/>
      <c r="E18" s="1860"/>
      <c r="F18" s="1860"/>
      <c r="G18" s="1860"/>
      <c r="H18" s="1860"/>
      <c r="I18" s="1860"/>
      <c r="J18" s="1860"/>
      <c r="K18" s="1860"/>
      <c r="L18" s="1860"/>
      <c r="M18" s="1860"/>
      <c r="N18" s="1860"/>
      <c r="O18" s="1860"/>
      <c r="P18" s="1860"/>
      <c r="Q18" s="1860"/>
      <c r="R18" s="1860"/>
      <c r="S18" s="1860"/>
      <c r="T18" s="1860"/>
      <c r="U18" s="1860"/>
      <c r="V18" s="1860"/>
      <c r="W18" s="1860"/>
      <c r="X18" s="1860"/>
      <c r="Y18" s="1861"/>
      <c r="Z18" s="1860"/>
      <c r="AA18" s="1862"/>
      <c r="AB18" s="1860"/>
    </row>
    <row customHeight="1" ht="14.25">
      <c r="A19" s="1860"/>
      <c r="B19" s="1860"/>
      <c r="C19" s="1860"/>
      <c r="D19" s="1860"/>
      <c r="E19" s="1860"/>
      <c r="F19" s="1860"/>
      <c r="G19" s="1860"/>
      <c r="H19" s="1860"/>
      <c r="I19" s="1860"/>
      <c r="J19" s="1860"/>
      <c r="K19" s="1860"/>
      <c r="L19" s="1860"/>
      <c r="M19" s="1860"/>
      <c r="N19" s="1860"/>
      <c r="O19" s="1860"/>
      <c r="P19" s="1860"/>
      <c r="Q19" s="1860"/>
      <c r="R19" s="1860"/>
      <c r="S19" s="1860"/>
      <c r="T19" s="1860"/>
      <c r="U19" s="1860"/>
      <c r="V19" s="1860"/>
      <c r="W19" s="1860"/>
      <c r="X19" s="1860"/>
      <c r="Y19" s="1861"/>
      <c r="Z19" s="1860"/>
      <c r="AA19" s="1862"/>
      <c r="AB19" s="1860"/>
    </row>
    <row customHeight="1" ht="14.25">
      <c r="A20" s="1860"/>
      <c r="B20" s="1860"/>
      <c r="C20" s="1860"/>
      <c r="D20" s="1860"/>
      <c r="E20" s="1860"/>
      <c r="F20" s="1860"/>
      <c r="G20" s="1860"/>
      <c r="H20" s="1860"/>
      <c r="I20" s="1860"/>
      <c r="J20" s="1860"/>
      <c r="K20" s="1860"/>
      <c r="L20" s="1860"/>
      <c r="M20" s="1860"/>
      <c r="N20" s="1860"/>
      <c r="O20" s="1860"/>
      <c r="P20" s="1860"/>
      <c r="Q20" s="1860"/>
      <c r="R20" s="1860"/>
      <c r="S20" s="1860"/>
      <c r="T20" s="1860"/>
      <c r="U20" s="1860"/>
      <c r="V20" s="1860"/>
      <c r="W20" s="1860"/>
      <c r="X20" s="1860"/>
      <c r="Y20" s="1861"/>
      <c r="Z20" s="1860"/>
      <c r="AA20" s="1862"/>
      <c r="AB20" s="1860"/>
    </row>
    <row customHeight="1" ht="14.25">
      <c r="A21" s="1860"/>
      <c r="B21" s="1860"/>
      <c r="C21" s="1860"/>
      <c r="D21" s="1860"/>
      <c r="E21" s="1860"/>
      <c r="F21" s="1860"/>
      <c r="G21" s="1860"/>
      <c r="H21" s="1860"/>
      <c r="I21" s="1860"/>
      <c r="J21" s="1860"/>
      <c r="K21" s="1860"/>
      <c r="L21" s="1860"/>
      <c r="M21" s="1860"/>
      <c r="N21" s="1860"/>
      <c r="O21" s="1860"/>
      <c r="P21" s="1860"/>
      <c r="Q21" s="1860"/>
      <c r="R21" s="1860"/>
      <c r="S21" s="1860"/>
      <c r="T21" s="1860"/>
      <c r="U21" s="1860"/>
      <c r="V21" s="1860"/>
      <c r="W21" s="1860"/>
      <c r="X21" s="1860"/>
      <c r="Y21" s="1861"/>
      <c r="Z21" s="1860"/>
      <c r="AA21" s="1862"/>
      <c r="AB21" s="1860"/>
    </row>
  </sheetData>
  <sheetProtection formatColumns="0" formatRows="0" sort="0" autoFilter="0" insertRows="0" insertColumns="1" deleteRows="0" deleteColumns="0"/>
  <mergeCells count="13">
    <mergeCell ref="B2:P2"/>
    <mergeCell ref="B3:P3"/>
    <mergeCell ref="B5:Y5"/>
    <mergeCell ref="B6:C10"/>
    <mergeCell ref="F8:M8"/>
    <mergeCell ref="P8:X8"/>
    <mergeCell ref="F9:M9"/>
    <mergeCell ref="P9:X9"/>
    <mergeCell ref="B11:C12"/>
    <mergeCell ref="E12:X12"/>
    <mergeCell ref="B13:C15"/>
    <mergeCell ref="E14:X14"/>
    <mergeCell ref="B16:Y16"/>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652F1CF3-912F-3A53-8946-.EDF94ECDC4E}" mc:Ignorable="x14ac xr xr2 xr3">
  <sheetPr>
    <tabColor rgb="FFCCCCFF"/>
  </sheetPr>
  <dimension ref="A1:P78"/>
  <sheetViews>
    <sheetView topLeftCell="C1" showGridLines="0" zoomScale="90" workbookViewId="0" tabSelected="1">
      <selection activeCell="I67" sqref="I67"/>
    </sheetView>
  </sheetViews>
  <sheetFormatPr defaultColWidth="9.140625" customHeight="1" defaultRowHeight="11.25"/>
  <cols>
    <col min="1" max="1" style="7990" width="10.7109375" hidden="1" customWidth="1"/>
    <col min="2" max="2" style="7991" width="10.7109375" hidden="1" customWidth="1"/>
    <col min="3" max="3" style="7992" width="3.7109375" customWidth="1"/>
    <col min="4" max="4" style="7993" width="1.7109375" customWidth="1"/>
    <col min="5" max="5" style="7993" width="55.28125" customWidth="1"/>
    <col min="6" max="6" style="7993" width="55.00390625" customWidth="1"/>
    <col min="7" max="7" style="7994" width="1.7109375" customWidth="1"/>
    <col min="8" max="8" style="7921" width="18.00390625" hidden="1" customWidth="1"/>
    <col min="9" max="9" style="7995" width="59.7109375" customWidth="1"/>
    <col min="10" max="10" style="7996" width="52.140625" hidden="1" customWidth="1"/>
    <col min="11" max="11" style="7993" width="9.140625"/>
    <col min="12" max="12" style="7993" width="78.00390625" customWidth="1"/>
    <col min="13" max="16" style="7993" width="9.140625"/>
  </cols>
  <sheetData>
    <row s="7880" customFormat="1" customHeight="1" ht="3">
      <c r="A1" s="937"/>
      <c r="B1" s="395"/>
      <c r="F1" s="396">
        <v>26354809</v>
      </c>
      <c r="G1" s="565"/>
      <c r="H1" s="225"/>
      <c r="I1" s="565"/>
      <c r="J1" s="1025"/>
    </row>
    <row s="7887" customFormat="1" customHeight="1" ht="14.25">
      <c r="A2" s="937"/>
      <c r="B2" s="253"/>
      <c r="E2" s="1899" t="str">
        <f>code</f>
        <v>Код отчёта: PP108.OPEN.INFO.PRICE.HOTVSNA.EIAS</v>
      </c>
      <c r="F2" s="423"/>
      <c r="G2" s="399"/>
      <c r="H2" s="399"/>
      <c r="I2" s="399"/>
      <c r="J2" s="1026"/>
      <c r="K2" s="399"/>
    </row>
    <row customHeight="1" ht="14.25">
      <c r="E3" s="400" t="str">
        <f>version</f>
        <v>Версия отчёта: 1.0.7</v>
      </c>
      <c r="F3" s="423"/>
      <c r="G3" s="924"/>
      <c r="H3" s="924"/>
      <c r="I3" s="924"/>
      <c r="J3" s="1027"/>
      <c r="K3" s="242"/>
    </row>
    <row s="7897" customFormat="1" customHeight="1" ht="6">
      <c r="A4" s="938"/>
      <c r="B4" s="386"/>
      <c r="C4" s="387"/>
      <c r="D4" s="388"/>
      <c r="E4" s="397"/>
      <c r="F4" s="398"/>
      <c r="G4" s="925"/>
      <c r="H4" s="563"/>
      <c r="I4" s="565"/>
      <c r="J4" s="1028"/>
    </row>
    <row customHeight="1" ht="37.5">
      <c r="D5" s="229"/>
      <c r="E5" s="2163" t="str">
        <f>NameTemplatesInTitle</f>
        <v>Показатели, подлежащие раскрытию в сфере горячего водоснабжения (цены и тарифы)</v>
      </c>
      <c r="F5" s="2164"/>
      <c r="G5" s="926"/>
      <c r="J5" s="1029"/>
    </row>
    <row s="7897" customFormat="1" customHeight="1" ht="6">
      <c r="A6" s="938"/>
      <c r="B6" s="386"/>
      <c r="C6" s="387"/>
      <c r="D6" s="388"/>
      <c r="E6" s="391"/>
      <c r="F6" s="392"/>
      <c r="G6" s="926"/>
      <c r="H6" s="563"/>
      <c r="I6" s="565"/>
      <c r="J6" s="1028"/>
    </row>
    <row customHeight="1" ht="19.5">
      <c r="D7" s="229"/>
      <c r="E7" s="545" t="s">
        <v>13</v>
      </c>
      <c r="F7" s="369" t="s">
        <v>14</v>
      </c>
      <c r="G7" s="926"/>
    </row>
    <row s="7897" customFormat="1" customHeight="1" ht="6">
      <c r="A8" s="939"/>
      <c r="B8" s="386"/>
      <c r="C8" s="387"/>
      <c r="D8" s="393"/>
      <c r="E8" s="391"/>
      <c r="F8" s="394"/>
      <c r="G8" s="231"/>
      <c r="H8" s="563"/>
      <c r="I8" s="565"/>
      <c r="J8" s="1031"/>
    </row>
    <row s="7921" customFormat="1" customHeight="1" ht="19.5" hidden="1">
      <c r="A9" s="938"/>
      <c r="B9" s="253"/>
      <c r="C9" s="562"/>
      <c r="D9" s="564"/>
      <c r="E9" s="1321" t="s">
        <v>15</v>
      </c>
      <c r="F9" s="2081"/>
      <c r="G9" s="926"/>
      <c r="I9" s="2060" t="str">
        <f>IF(TITLE_STRUCTURE_INFO_ROIV="","","раскрывается "&amp;INDEX(ROIV_INFO_COMMENT,MATCH(TITLE_STRUCTURE_INFO_ROIV,ROIV_INFO_LIST,0)))</f>
        <v/>
      </c>
      <c r="J9" s="1030"/>
    </row>
    <row s="7928" customFormat="1" customHeight="1" ht="6">
      <c r="A10" s="939"/>
      <c r="B10" s="580"/>
      <c r="C10" s="581"/>
      <c r="D10" s="393"/>
      <c r="E10" s="391"/>
      <c r="F10" s="394"/>
      <c r="G10" s="231"/>
      <c r="H10" s="563"/>
      <c r="I10" s="565"/>
      <c r="J10" s="1031"/>
    </row>
    <row customHeight="1" ht="22.5">
      <c r="A11" s="2166" t="s">
        <v>16</v>
      </c>
      <c r="D11" s="229"/>
      <c r="E11" s="1321" t="s">
        <v>17</v>
      </c>
      <c r="F11" s="5205">
        <v>45292.600011574075</v>
      </c>
      <c r="G11" s="231"/>
      <c r="H11" s="927" t="s">
        <v>18</v>
      </c>
      <c r="J11" s="1030" t="s">
        <v>19</v>
      </c>
    </row>
    <row customHeight="1" ht="22.5">
      <c r="A12" s="2166"/>
      <c r="D12" s="229"/>
      <c r="E12" s="1321" t="s">
        <v>20</v>
      </c>
      <c r="F12" s="5205">
        <v>45657.603854166664</v>
      </c>
      <c r="G12" s="227"/>
      <c r="J12" s="1030" t="s">
        <v>21</v>
      </c>
    </row>
    <row s="7921" customFormat="1" customHeight="1" ht="22.5" hidden="1">
      <c r="A13" s="942" t="s">
        <v>22</v>
      </c>
      <c r="B13" s="253"/>
      <c r="C13" s="562"/>
      <c r="D13" s="564"/>
      <c r="E13" s="1934" t="s">
        <v>23</v>
      </c>
      <c r="F13" s="1891" t="s">
        <v>24</v>
      </c>
      <c r="G13" s="231"/>
      <c r="H13" s="924"/>
      <c r="I13" s="565"/>
      <c r="J13" s="1935" t="s">
        <v>25</v>
      </c>
    </row>
    <row s="7921" customFormat="1" customHeight="1" ht="27" hidden="1">
      <c r="A14" s="942" t="s">
        <v>26</v>
      </c>
      <c r="B14" s="253"/>
      <c r="C14" s="562"/>
      <c r="D14" s="564"/>
      <c r="E14" s="1321" t="s">
        <v>27</v>
      </c>
      <c r="F14" s="1926"/>
      <c r="G14" s="231"/>
      <c r="H14" s="924"/>
      <c r="I14" s="565"/>
      <c r="J14" s="1030" t="s">
        <v>28</v>
      </c>
    </row>
    <row s="7921" customFormat="1" customHeight="1" ht="19.5" hidden="1">
      <c r="A15" s="942" t="s">
        <v>29</v>
      </c>
      <c r="B15" s="253"/>
      <c r="C15" s="562"/>
      <c r="D15" s="564"/>
      <c r="E15" s="1321" t="s">
        <v>30</v>
      </c>
      <c r="F15" s="1926"/>
      <c r="G15" s="231"/>
      <c r="H15" s="924"/>
      <c r="I15" s="565"/>
      <c r="J15" s="1030" t="s">
        <v>31</v>
      </c>
    </row>
    <row s="7897" customFormat="1" customHeight="1" ht="6">
      <c r="A16" s="939"/>
      <c r="B16" s="386"/>
      <c r="C16" s="387"/>
      <c r="D16" s="393"/>
      <c r="E16" s="391"/>
      <c r="F16" s="394"/>
      <c r="G16" s="231"/>
      <c r="H16" s="563"/>
      <c r="I16" s="565"/>
      <c r="J16" s="1028"/>
    </row>
    <row customHeight="1" ht="19.5">
      <c r="D17" s="229"/>
      <c r="E17" s="545" t="s">
        <v>32</v>
      </c>
      <c r="F17" s="370" t="s">
        <v>33</v>
      </c>
      <c r="G17" s="227"/>
      <c r="H17" s="927" t="s">
        <v>18</v>
      </c>
    </row>
    <row customHeight="1" ht="25.5" hidden="1">
      <c r="D18" s="229"/>
      <c r="E18" s="1934" t="s">
        <v>34</v>
      </c>
      <c r="F18" s="1892"/>
      <c r="G18" s="227"/>
      <c r="I18" s="928"/>
      <c r="J18" s="2165" t="s">
        <v>35</v>
      </c>
    </row>
    <row customHeight="1" ht="25.5" hidden="1">
      <c r="D19" s="229"/>
      <c r="E19" s="1321" t="str">
        <f>"Дата периода регулирования, с которой "&amp;IF(TEMPLATE_GROUP="P","вводятся","предлагаются")&amp;" изменения в тарифы"</f>
        <v>Дата периода регулирования, с которой вводятся изменения в тарифы</v>
      </c>
      <c r="F19" s="1892"/>
      <c r="G19" s="227"/>
      <c r="I19" s="928"/>
      <c r="J19" s="2165"/>
    </row>
    <row customHeight="1" ht="22.5">
      <c r="D20" s="229"/>
      <c r="E20" s="230"/>
      <c r="F20" s="424" t="str">
        <f>"Первичное "&amp;IF(TEMPLATE_GROUP="P","установление тарифов","предложение по тарифам")</f>
        <v>Первичное установление тарифов</v>
      </c>
      <c r="G20" s="227"/>
      <c r="I20" s="548"/>
      <c r="J20" s="1029" t="s">
        <v>36</v>
      </c>
    </row>
    <row customHeight="1" ht="19.5">
      <c r="D21" s="229"/>
      <c r="E21" s="545" t="str">
        <f>"Дата "&amp;IF(TEMPLATE_GROUP="P","документа","подачи заявления")&amp;" об утверждении тарифов"</f>
        <v>Дата документа об утверждении тарифов</v>
      </c>
      <c r="F21" s="5205">
        <v>45279</v>
      </c>
      <c r="G21" s="227"/>
      <c r="I21" s="929"/>
    </row>
    <row customHeight="1" ht="19.5">
      <c r="D22" s="229"/>
      <c r="E22" s="545" t="str">
        <f>"Номер "&amp;IF(TEMPLATE_GROUP="P","документа","подачи заявления")&amp;" об утверждении тарифов"</f>
        <v>Номер документа об утверждении тарифов</v>
      </c>
      <c r="F22" s="370" t="s">
        <v>37</v>
      </c>
      <c r="G22" s="227"/>
      <c r="I22" s="929"/>
    </row>
    <row customHeight="1" ht="22.5">
      <c r="D23" s="229"/>
      <c r="E23" s="545" t="s">
        <v>38</v>
      </c>
      <c r="F23" s="370" t="s">
        <v>39</v>
      </c>
      <c r="G23" s="227"/>
    </row>
    <row customHeight="1" ht="19.5">
      <c r="D24" s="229"/>
      <c r="E24" s="545" t="s">
        <v>40</v>
      </c>
      <c r="F24" s="370" t="s">
        <v>41</v>
      </c>
      <c r="G24" s="227"/>
    </row>
    <row customHeight="1" ht="22.5" hidden="1">
      <c r="D25" s="229"/>
      <c r="E25" s="230"/>
      <c r="F25" s="424" t="str">
        <f>"Изменение "&amp;IF(TEMPLATE_GROUP="P","тарифов","предложения по тарифам")</f>
        <v>Изменение тарифов</v>
      </c>
      <c r="G25" s="227"/>
      <c r="J25" s="1029" t="s">
        <v>42</v>
      </c>
    </row>
    <row customHeight="1" ht="19.5" hidden="1">
      <c r="D26" s="229"/>
      <c r="E26" s="545" t="str">
        <f>"Дата "&amp;IF(TEMPLATE_GROUP="P","принятия решения","подачи заявления")&amp;" об изменении тарифов"</f>
        <v>Дата принятия решения об изменении тарифов</v>
      </c>
      <c r="F26" s="1892"/>
      <c r="G26" s="227"/>
    </row>
    <row customHeight="1" ht="19.5" hidden="1">
      <c r="D27" s="229"/>
      <c r="E27" s="1321" t="str">
        <f>"Номер "&amp;IF(TEMPLATE_GROUP="P","принятия решения","заявления")&amp;" об изменении тарифов"</f>
        <v>Номер принятия решения об изменении тарифов</v>
      </c>
      <c r="F27" s="372"/>
      <c r="G27" s="227"/>
    </row>
    <row customHeight="1" ht="24.75" hidden="1">
      <c r="D28" s="229"/>
      <c r="E28" s="545" t="s">
        <v>43</v>
      </c>
      <c r="F28" s="372"/>
      <c r="G28" s="227"/>
    </row>
    <row customHeight="1" ht="19.5" hidden="1">
      <c r="D29" s="229"/>
      <c r="E29" s="545" t="s">
        <v>40</v>
      </c>
      <c r="F29" s="372"/>
      <c r="G29" s="227"/>
    </row>
    <row s="7897" customFormat="1" customHeight="1" ht="6">
      <c r="A30" s="939"/>
      <c r="B30" s="386"/>
      <c r="C30" s="387"/>
      <c r="D30" s="393"/>
      <c r="E30" s="391"/>
      <c r="F30" s="394"/>
      <c r="G30" s="231"/>
      <c r="H30" s="563"/>
      <c r="I30" s="565"/>
      <c r="J30" s="1028"/>
    </row>
    <row customHeight="1" ht="19.5">
      <c r="C31" s="232"/>
      <c r="D31" s="233"/>
      <c r="E31" s="545" t="str">
        <f>"Наименование "&amp;IF(TEMPLATE_GROUP="ROIV","органа тарифного регулирования","ЮЛ / ИП")</f>
        <v>Наименование ЮЛ / ИП</v>
      </c>
      <c r="F31" s="371" t="s">
        <v>44</v>
      </c>
      <c r="G31" s="930"/>
    </row>
    <row customHeight="1" ht="19.5" hidden="1">
      <c r="C32" s="232"/>
      <c r="D32" s="233"/>
      <c r="E32" s="546" t="s">
        <v>45</v>
      </c>
      <c r="F32" s="371"/>
      <c r="G32" s="930"/>
    </row>
    <row customHeight="1" ht="19.5">
      <c r="C33" s="232"/>
      <c r="D33" s="233"/>
      <c r="E33" s="545" t="s">
        <v>46</v>
      </c>
      <c r="F33" s="371" t="s">
        <v>47</v>
      </c>
      <c r="G33" s="930"/>
    </row>
    <row customHeight="1" ht="19.5">
      <c r="C34" s="232"/>
      <c r="D34" s="233"/>
      <c r="E34" s="545" t="s">
        <v>48</v>
      </c>
      <c r="F34" s="371" t="s">
        <v>49</v>
      </c>
      <c r="G34" s="930"/>
      <c r="H34" s="234"/>
    </row>
    <row s="7897" customFormat="1" customHeight="1" ht="11.25">
      <c r="A35" s="939"/>
      <c r="B35" s="386"/>
      <c r="C35" s="387"/>
      <c r="D35" s="393"/>
      <c r="E35" s="391"/>
      <c r="F35" s="394"/>
      <c r="G35" s="231"/>
      <c r="H35" s="563"/>
      <c r="I35" s="565"/>
      <c r="J35" s="1028"/>
    </row>
    <row customHeight="1" ht="19.5" hidden="1">
      <c r="A36" s="1033"/>
      <c r="D36" s="233"/>
      <c r="E36" s="545" t="s">
        <v>50</v>
      </c>
      <c r="F36" s="502"/>
      <c r="G36" s="231"/>
    </row>
    <row customHeight="1" ht="19.5">
      <c r="A37" s="1033"/>
      <c r="D37" s="233"/>
      <c r="E37" s="545" t="s">
        <v>51</v>
      </c>
      <c r="F37" s="5230" t="s">
        <v>52</v>
      </c>
      <c r="G37" s="231"/>
    </row>
    <row s="7897" customFormat="1" customHeight="1" ht="6">
      <c r="A38" s="939"/>
      <c r="B38" s="386"/>
      <c r="C38" s="387"/>
      <c r="D38" s="388"/>
      <c r="E38" s="389"/>
      <c r="F38" s="1208"/>
      <c r="G38" s="227"/>
      <c r="H38" s="563"/>
      <c r="I38" s="565"/>
      <c r="J38" s="1030"/>
    </row>
    <row customHeight="1" ht="35.25">
      <c r="A39" s="939"/>
      <c r="D39" s="229"/>
      <c r="E39" s="545" t="s">
        <v>53</v>
      </c>
      <c r="F39" s="864" t="s">
        <v>54</v>
      </c>
      <c r="G39" s="227"/>
      <c r="H39" s="927" t="s">
        <v>18</v>
      </c>
    </row>
    <row s="7928" customFormat="1" customHeight="1" ht="6" hidden="1">
      <c r="A40" s="938"/>
      <c r="B40" s="580"/>
      <c r="C40" s="581"/>
      <c r="D40" s="582"/>
      <c r="E40" s="583"/>
      <c r="F40" s="1208"/>
      <c r="G40" s="227"/>
      <c r="H40" s="563"/>
      <c r="I40" s="565"/>
      <c r="J40" s="1030"/>
    </row>
    <row s="7921" customFormat="1" customHeight="1" ht="26.25" hidden="1">
      <c r="A41" s="942" t="s">
        <v>22</v>
      </c>
      <c r="B41" s="567"/>
      <c r="C41" s="562"/>
      <c r="D41" s="564"/>
      <c r="E41" s="545" t="str">
        <f>"Дифференциация информации по централизованным системам  "&amp;TEMPLATE_SPHERE_RUS</f>
        <v>Дифференциация информации по централизованным системам  горячего водоснабжения</v>
      </c>
      <c r="F41" s="864" t="s">
        <v>54</v>
      </c>
      <c r="G41" s="227"/>
      <c r="I41" s="565"/>
      <c r="J41" s="1030"/>
    </row>
    <row s="7928" customFormat="1" customHeight="1" ht="6" hidden="1">
      <c r="A42" s="938"/>
      <c r="B42" s="580"/>
      <c r="C42" s="581"/>
      <c r="D42" s="582"/>
      <c r="E42" s="583"/>
      <c r="F42" s="1208"/>
      <c r="G42" s="227"/>
      <c r="H42" s="563"/>
      <c r="I42" s="565"/>
      <c r="J42" s="1028"/>
    </row>
    <row s="7921" customFormat="1" customHeight="1" ht="27" hidden="1">
      <c r="A43" s="938"/>
      <c r="B43" s="567"/>
      <c r="C43" s="562"/>
      <c r="D43" s="564"/>
      <c r="E43" s="545" t="s">
        <v>55</v>
      </c>
      <c r="F43" s="864" t="s">
        <v>54</v>
      </c>
      <c r="G43" s="227"/>
      <c r="I43" s="565"/>
      <c r="J43" s="1030"/>
    </row>
    <row s="7921" customFormat="1" customHeight="1" ht="27" hidden="1">
      <c r="A44" s="938"/>
      <c r="B44" s="567"/>
      <c r="C44" s="562"/>
      <c r="D44" s="564"/>
      <c r="E44" s="1321" t="s">
        <v>56</v>
      </c>
      <c r="F44" s="2048"/>
      <c r="G44" s="227"/>
      <c r="I44" s="565"/>
      <c r="J44" s="1030"/>
    </row>
    <row s="7928" customFormat="1" customHeight="1" ht="6" hidden="1">
      <c r="A45" s="938"/>
      <c r="B45" s="580"/>
      <c r="C45" s="581"/>
      <c r="D45" s="582"/>
      <c r="E45" s="583"/>
      <c r="F45" s="1208"/>
      <c r="G45" s="227"/>
      <c r="H45" s="563"/>
      <c r="I45" s="565"/>
      <c r="J45" s="1030"/>
    </row>
    <row s="7928" customFormat="1" customHeight="1" ht="24.75" hidden="1">
      <c r="A46" s="938"/>
      <c r="B46" s="580"/>
      <c r="C46" s="581"/>
      <c r="D46" s="582"/>
      <c r="E46" s="1321" t="s">
        <v>57</v>
      </c>
      <c r="F46" s="864" t="s">
        <v>54</v>
      </c>
      <c r="G46" s="227"/>
      <c r="H46" s="563"/>
      <c r="I46" s="565"/>
      <c r="J46" s="1030"/>
    </row>
    <row s="7921" customFormat="1" customHeight="1" ht="24.75" hidden="1">
      <c r="A47" s="938"/>
      <c r="B47" s="567"/>
      <c r="C47" s="562"/>
      <c r="D47" s="564"/>
      <c r="E47" s="1321" t="s">
        <v>58</v>
      </c>
      <c r="F47" s="864" t="s">
        <v>54</v>
      </c>
      <c r="G47" s="227"/>
      <c r="I47" s="565"/>
      <c r="J47" s="1030"/>
    </row>
    <row s="7897" customFormat="1" customHeight="1" ht="6">
      <c r="A48" s="938"/>
      <c r="B48" s="386"/>
      <c r="C48" s="387"/>
      <c r="D48" s="388"/>
      <c r="E48" s="389"/>
      <c r="F48" s="1208"/>
      <c r="G48" s="227"/>
      <c r="H48" s="563"/>
      <c r="I48" s="565"/>
      <c r="J48" s="1030"/>
    </row>
    <row customHeight="1" ht="29.25">
      <c r="B49" s="303"/>
      <c r="D49" s="229"/>
      <c r="E49" s="545" t="str">
        <f>"Организация осуществляет подключение (технологическое присоединение) к системе "&amp;TEMPLATE_SPHERE_RUS</f>
        <v>Организация осуществляет подключение (технологическое присоединение) к системе горячего водоснабжения</v>
      </c>
      <c r="F49" s="864" t="s">
        <v>54</v>
      </c>
      <c r="G49" s="227"/>
    </row>
    <row s="7928" customFormat="1" customHeight="1" ht="6" hidden="1">
      <c r="A50" s="939"/>
      <c r="B50" s="580"/>
      <c r="C50" s="581"/>
      <c r="D50" s="393"/>
      <c r="E50" s="391"/>
      <c r="F50" s="394"/>
      <c r="G50" s="231"/>
      <c r="H50" s="563"/>
      <c r="I50" s="565"/>
      <c r="J50" s="1030"/>
    </row>
    <row s="7966" customFormat="1" customHeight="1" ht="28.5" hidden="1">
      <c r="A51" s="940"/>
      <c r="B51" s="567"/>
      <c r="C51" s="684"/>
      <c r="D51" s="685"/>
      <c r="E51" s="545" t="s">
        <v>59</v>
      </c>
      <c r="F51" s="864" t="s">
        <v>54</v>
      </c>
      <c r="G51" s="686"/>
      <c r="I51" s="688"/>
      <c r="J51" s="1032"/>
      <c r="P51" s="689"/>
    </row>
    <row s="7928" customFormat="1" customHeight="1" ht="6" hidden="1">
      <c r="A52" s="939"/>
      <c r="B52" s="580"/>
      <c r="C52" s="581"/>
      <c r="D52" s="393"/>
      <c r="E52" s="391"/>
      <c r="F52" s="394"/>
      <c r="G52" s="231"/>
      <c r="H52" s="563"/>
      <c r="I52" s="565"/>
      <c r="J52" s="1028"/>
    </row>
    <row s="7966" customFormat="1" customHeight="1" ht="27" hidden="1">
      <c r="A53" s="940"/>
      <c r="B53" s="567"/>
      <c r="C53" s="684"/>
      <c r="D53" s="685"/>
      <c r="E53" s="545" t="s">
        <v>60</v>
      </c>
      <c r="F53" s="1203" t="s">
        <v>54</v>
      </c>
      <c r="G53" s="686"/>
      <c r="I53" s="688"/>
      <c r="J53" s="1032"/>
      <c r="P53" s="689"/>
    </row>
    <row s="7966" customFormat="1" customHeight="1" ht="27" hidden="1">
      <c r="A54" s="940"/>
      <c r="B54" s="567"/>
      <c r="C54" s="684"/>
      <c r="D54" s="685"/>
      <c r="E54" s="545" t="s">
        <v>61</v>
      </c>
      <c r="F54" s="1933"/>
      <c r="G54" s="686"/>
      <c r="I54" s="688"/>
      <c r="J54" s="1032"/>
      <c r="P54" s="689"/>
    </row>
    <row s="7928" customFormat="1" customHeight="1" ht="6" hidden="1">
      <c r="A55" s="939"/>
      <c r="B55" s="580"/>
      <c r="C55" s="581"/>
      <c r="D55" s="393"/>
      <c r="E55" s="391"/>
      <c r="F55" s="394"/>
      <c r="G55" s="231"/>
      <c r="H55" s="563"/>
      <c r="I55" s="565"/>
      <c r="J55" s="1028"/>
    </row>
    <row s="7966" customFormat="1" customHeight="1" ht="25.5" hidden="1">
      <c r="A56" s="940"/>
      <c r="B56" s="567"/>
      <c r="C56" s="684"/>
      <c r="D56" s="685"/>
      <c r="E56" s="545" t="s">
        <v>62</v>
      </c>
      <c r="F56" s="1203" t="s">
        <v>54</v>
      </c>
      <c r="G56" s="686"/>
      <c r="I56" s="688"/>
      <c r="J56" s="1032"/>
      <c r="P56" s="689"/>
    </row>
    <row s="7928" customFormat="1" customHeight="1" ht="6" hidden="1">
      <c r="A57" s="939"/>
      <c r="B57" s="580"/>
      <c r="C57" s="581"/>
      <c r="D57" s="393"/>
      <c r="E57" s="391"/>
      <c r="F57" s="394"/>
      <c r="G57" s="231"/>
      <c r="H57" s="563"/>
      <c r="I57" s="565"/>
      <c r="J57" s="1028"/>
    </row>
    <row s="7966" customFormat="1" customHeight="1" ht="15" hidden="1">
      <c r="A58" s="940"/>
      <c r="B58" s="567"/>
      <c r="C58" s="684"/>
      <c r="D58" s="685"/>
      <c r="E58" s="545" t="s">
        <v>63</v>
      </c>
      <c r="F58" s="1203" t="s">
        <v>64</v>
      </c>
      <c r="G58" s="686"/>
      <c r="I58" s="688"/>
      <c r="J58" s="1032"/>
      <c r="P58" s="689"/>
    </row>
    <row s="7966" customFormat="1" customHeight="1" ht="75" hidden="1">
      <c r="A59" s="940"/>
      <c r="B59" s="567"/>
      <c r="C59" s="684"/>
      <c r="D59" s="685"/>
      <c r="E59" s="545" t="str">
        <f>"Инвестиционная программа относится к деятельности, при осуществлении которой расчеты за товары (услуги) в сфере  "&amp;TEMPLATE_SPHERE_RUS&amp;" осуществляются по регулируемым ценам (тарифам) (за исключением деятельности по подключению (технологическому присоединению) к системе  "&amp;TEMPLATE_SPHERE_RUS&amp;")"</f>
        <v>Инвестиционная программа относится к деятельности, при осуществлении которой расчеты за товары (услуги) в сфере  горячего водоснабжения осуществляются по регулируемым ценам (тарифам) (за исключением деятельности по подключению (технологическому присоединению) к системе  горячего водоснабжения)</v>
      </c>
      <c r="F59" s="1347"/>
      <c r="G59" s="686"/>
      <c r="I59" s="688"/>
      <c r="J59" s="1032"/>
      <c r="P59" s="689"/>
    </row>
    <row s="7966" customFormat="1" customHeight="1" ht="15" hidden="1">
      <c r="A60" s="940"/>
      <c r="B60" s="567"/>
      <c r="C60" s="684"/>
      <c r="D60" s="685"/>
      <c r="E60" s="1321" t="s">
        <v>65</v>
      </c>
      <c r="F60" s="1307"/>
      <c r="G60" s="686"/>
      <c r="I60" s="688"/>
      <c r="J60" s="1032"/>
      <c r="P60" s="689"/>
    </row>
    <row s="7928" customFormat="1" customHeight="1" ht="6" hidden="1">
      <c r="A61" s="939"/>
      <c r="B61" s="580"/>
      <c r="C61" s="581"/>
      <c r="D61" s="582"/>
      <c r="E61" s="583"/>
      <c r="F61" s="1208"/>
      <c r="G61" s="227"/>
      <c r="H61" s="563"/>
      <c r="I61" s="565"/>
      <c r="J61" s="1030"/>
    </row>
    <row s="7921" customFormat="1" customHeight="1" ht="33.75" hidden="1">
      <c r="A62" s="939"/>
      <c r="B62" s="253"/>
      <c r="C62" s="562"/>
      <c r="D62" s="564"/>
      <c r="E62" s="1321" t="s">
        <v>66</v>
      </c>
      <c r="F62" s="1830" t="s">
        <v>64</v>
      </c>
      <c r="G62" s="227"/>
      <c r="H62" s="927" t="s">
        <v>18</v>
      </c>
      <c r="I62" s="565"/>
      <c r="J62" s="1030"/>
    </row>
    <row s="7897" customFormat="1" customHeight="1" ht="6">
      <c r="A63" s="939"/>
      <c r="B63" s="386"/>
      <c r="C63" s="387"/>
      <c r="D63" s="393"/>
      <c r="E63" s="391"/>
      <c r="F63" s="394"/>
      <c r="G63" s="231"/>
      <c r="H63" s="563"/>
      <c r="I63" s="565"/>
      <c r="J63" s="1028"/>
    </row>
    <row customHeight="1" ht="19.5">
      <c r="A64" s="941"/>
      <c r="B64" s="254"/>
      <c r="D64" s="236"/>
      <c r="E64" s="545" t="s">
        <v>67</v>
      </c>
      <c r="F64" s="370" t="s">
        <v>68</v>
      </c>
      <c r="G64" s="231"/>
    </row>
    <row customHeight="1" ht="19.5">
      <c r="A65" s="941"/>
      <c r="B65" s="254"/>
      <c r="D65" s="236"/>
      <c r="E65" s="545" t="s">
        <v>69</v>
      </c>
      <c r="F65" s="370" t="s">
        <v>70</v>
      </c>
      <c r="G65" s="231"/>
    </row>
    <row customHeight="1" ht="35.25">
      <c r="D66" s="229"/>
      <c r="E66" s="547" t="s">
        <v>71</v>
      </c>
      <c r="F66" s="1209"/>
      <c r="G66" s="227"/>
    </row>
    <row customHeight="1" ht="19.5">
      <c r="A67" s="941"/>
      <c r="D67" s="564"/>
      <c r="E67" s="545" t="s">
        <v>72</v>
      </c>
      <c r="F67" s="425" t="s">
        <v>73</v>
      </c>
      <c r="G67" s="231"/>
    </row>
    <row customHeight="1" ht="19.5">
      <c r="A68" s="941"/>
      <c r="B68" s="254"/>
      <c r="D68" s="236"/>
      <c r="E68" s="545" t="s">
        <v>74</v>
      </c>
      <c r="F68" s="425" t="s">
        <v>75</v>
      </c>
      <c r="G68" s="231"/>
    </row>
    <row customHeight="1" ht="19.5">
      <c r="A69" s="941"/>
      <c r="B69" s="254"/>
      <c r="D69" s="236"/>
      <c r="E69" s="545" t="s">
        <v>76</v>
      </c>
      <c r="F69" s="425" t="s">
        <v>77</v>
      </c>
      <c r="G69" s="231"/>
    </row>
    <row customHeight="1" ht="19.5">
      <c r="D70" s="564"/>
      <c r="E70" s="545" t="s">
        <v>78</v>
      </c>
      <c r="F70" s="425" t="s">
        <v>79</v>
      </c>
      <c r="G70" s="227"/>
    </row>
    <row customHeight="1" ht="20.25">
      <c r="A71" s="941"/>
      <c r="D71" s="227"/>
      <c r="F71" s="288"/>
      <c r="G71" s="231"/>
    </row>
    <row customHeight="1" ht="19.5">
      <c r="A72" s="941"/>
      <c r="B72" s="254"/>
      <c r="D72" s="236"/>
      <c r="E72" s="235"/>
      <c r="F72" s="289"/>
      <c r="G72" s="231"/>
    </row>
    <row customHeight="1" ht="19.5">
      <c r="A73" s="941"/>
      <c r="B73" s="254"/>
      <c r="D73" s="236"/>
      <c r="E73" s="235"/>
      <c r="F73" s="289"/>
      <c r="G73" s="231"/>
    </row>
    <row customHeight="1" ht="19.5">
      <c r="A74" s="941"/>
      <c r="B74" s="254"/>
      <c r="D74" s="236"/>
      <c r="E74" s="240"/>
      <c r="F74" s="289"/>
      <c r="G74" s="231"/>
    </row>
    <row customHeight="1" ht="19.5">
      <c r="A75" s="941"/>
      <c r="B75" s="254"/>
      <c r="D75" s="236"/>
      <c r="E75" s="235"/>
      <c r="F75" s="289"/>
      <c r="G75" s="231"/>
    </row>
    <row r="78" customHeight="1" ht="11.25">
      <c r="E78" s="544"/>
      <c r="F78" s="544"/>
      <c r="G78" s="544"/>
      <c r="H78" s="544"/>
      <c r="I78" s="544"/>
    </row>
  </sheetData>
  <sheetProtection formatColumns="0" formatRows="0" sort="0" autoFilter="0" insertRows="0" insertColumns="1" deleteRows="0" deleteColumns="0"/>
  <mergeCells count="3">
    <mergeCell ref="E5:F5"/>
    <mergeCell ref="J18:J19"/>
    <mergeCell ref="A11:A12"/>
  </mergeCells>
  <dataValidations count="13">
    <dataValidation type="list" allowBlank="1" showInputMessage="1" showErrorMessage="1" errorTitle="Ошибка" error="Выберите значение из списка" prompt="Выберите значение из списка:_x000A_ОСН - Общая система налогообложения_x000A_УСН - Упрощённая система налогообложения_x000A_ЕСХН - Единый сельскохозяйственный налог_x000A_ПСН - Патентная система налогообложения_x000A_НПД - Налог на профессиональный доход" sqref="F37">
      <formula1>kind_of_NDS</formula1>
    </dataValidation>
    <dataValidation allowBlank="1" showInputMessage="1" showErrorMessage="1" prompt="Выбор организации двойным щелчком левой клавиши мыши" sqref="F31"/>
    <dataValidation type="list" allowBlank="1" showInputMessage="1" showErrorMessage="1" errorTitle="Ошибка" error="Выберите значение из списка" prompt="Выберите значение из списка" sqref="F9">
      <formula1>ROIV_INFO_LIST</formula1>
    </dataValidation>
    <dataValidation type="list" allowBlank="1" showInputMessage="1" showErrorMessage="1" errorTitle="Ошибка" error="Выберите значение из списка" prompt="Выберите значение из списка" sqref="F60">
      <formula1>TITLE_IP_DETAILED_METHOD_LIST</formula1>
    </dataValidation>
    <dataValidation allowBlank="1" showInputMessage="1" showErrorMessage="1" prompt="Выберите значение из календаря (иконка справа от выбранной ячейки), либо введите дату непосредственно в ячейку в формате - 'ДД.ММ.ГГГГ'" sqref="F54"/>
    <dataValidation type="list" allowBlank="1" showInputMessage="1" showErrorMessage="1" errorTitle="Ошибка" error="Выберите значение из списка" prompt="Выберите значение из списка" sqref="F15">
      <formula1>QUARTER</formula1>
    </dataValidation>
    <dataValidation type="list" allowBlank="1" showInputMessage="1" showErrorMessage="1" errorTitle="Ошибка" error="Выберите значение из списка" prompt="Выберите значение из списка" sqref="F14">
      <formula1>year_list</formula1>
    </dataValidation>
    <dataValidation type="list" allowBlank="1" showInputMessage="1" showErrorMessage="1" errorTitle="Ошибка" error="Выберите значение из списка" prompt="Выберите значение из списка" sqref="F36">
      <formula1>kind_of_org_type</formula1>
    </dataValidation>
    <dataValidation allowBlank="1" showInputMessage="1" showErrorMessage="1" prompt="Для выбора выполните двойной щелчок левой клавиши мыши по соответствующей ячейке." sqref="F49 F53 F56 F58 F51 F39:F41 F43 F45:F47 F62"/>
    <dataValidation type="list" allowBlank="1" showInputMessage="1" showErrorMessage="1" errorTitle="Ошибка" error="Выберите значение из списка" prompt="Выберите значение из списка" sqref="F17">
      <formula1>kind_of_data_type</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6 F21 F18:F19 F11:F13"/>
    <dataValidation type="list" allowBlank="1" showInputMessage="1" showErrorMessage="1" errorTitle="Ошибка" error="Выберите значение из списка" prompt="Выберите значение из списка" sqref="F61 F38">
      <formula1>kind_of_NDS</formula1>
    </dataValidation>
    <dataValidation type="textLength" operator="lessThanOrEqual" allowBlank="1" showInputMessage="1" showErrorMessage="1" errorTitle="Ошибка" error="Допускается ввод не более 900 символов!" sqref="F72:F75 F64:F65 F67:F70 F22:F24 F27:F29 F32">
      <formula1>900</formula1>
    </dataValidation>
  </dataValidations>
  <hyperlinks>
    <hyperlink ref="H11" location="Титульный!H9" display="Как заполнить?" tooltip="Помощь по работе с полями отчётной формы" xr:uid="{B3FE7656-A172-14EF-B06D-CEA1D5CACE02}"/>
    <hyperlink ref="H17" location="Титульный!H9" display="Как заполнить?" tooltip="Помощь по работе с полями отчётной формы" xr:uid="{2AEA3615-F3FB-1E8D-FFC1-7ABDFF614F0E}"/>
    <hyperlink ref="H39" location="Титульный!H9" display="Как заполнить?" tooltip="Помощь по работе с полями отчётной формы" xr:uid="{8C846BC8-A7B2-2015-4352-6BF427ECC9DD}"/>
    <hyperlink ref="H62" location="Титульный!H9" display="Как заполнить?" tooltip="Помощь по работе с полями отчётной формы" xr:uid="{F3C72AF4-A352-1EFA-D84B-287C83974291}"/>
  </hyperlinks>
  <pageMargins left="0.75" right="0.75" top="1.00" bottom="1.00" header="0.50" footer="0.50"/>
  <pageSetup paperSize="8" pageOrder="downThenOver" orientation="portrait"/>
  <headerFooter>
    <oddHeader>&amp;L&amp;C&amp;R</oddHeader>
    <oddFooter>&amp;L&amp;C&amp;R</oddFooter>
    <evenHeader>&amp;L&amp;C&amp;R</evenHeader>
    <evenFooter>&amp;L&amp;C&amp;R</evenFooter>
  </headerFooter>
  <drawing r:id="rId3"/>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74F1A8D-6071-8C59-377C-B1791332E3CA}" mc:Ignorable="x14ac xr xr2 xr3">
  <sheetPr>
    <tabColor rgb="FFCCCCFF"/>
    <pageSetUpPr fitToPage="1"/>
  </sheetPr>
  <dimension ref="A1:AB28"/>
  <sheetViews>
    <sheetView topLeftCell="A1" showGridLines="0" zoomScale="90" workbookViewId="0">
      <selection activeCell="G13" sqref="G13"/>
    </sheetView>
  </sheetViews>
  <sheetFormatPr defaultColWidth="9.140625" customHeight="1" defaultRowHeight="14.25"/>
  <cols>
    <col min="1" max="1" style="8080" width="8.00390625" hidden="1" customWidth="1"/>
    <col min="2" max="2" style="8081" width="6.00390625" hidden="1" customWidth="1"/>
    <col min="3" max="3" style="8080" width="3.7109375" customWidth="1"/>
    <col min="4" max="4" style="8082" width="3.7109375" customWidth="1"/>
    <col min="5" max="5" style="8083" width="6.28125" customWidth="1"/>
    <col min="6" max="6" style="8080" width="2.7109375" hidden="1" customWidth="1"/>
    <col min="7" max="7" style="8083" width="46.7109375" customWidth="1"/>
    <col min="8" max="8" style="8083" width="43.140625" customWidth="1"/>
    <col min="9" max="9" style="8083" width="14.8515625" customWidth="1"/>
    <col min="10" max="10" style="8084" width="3.7109375" customWidth="1"/>
    <col min="11" max="13" style="8084" width="9.140625" hidden="1"/>
    <col min="14" max="14" style="8085" width="25.7109375" hidden="1" customWidth="1"/>
    <col min="15" max="15" style="8084" width="14.421875" hidden="1" customWidth="1"/>
    <col min="16" max="19" style="8086" width="9.140625" hidden="1"/>
    <col min="20" max="27" style="8083" width="9.140625" hidden="1"/>
    <col min="28" max="28" style="8083" width="9.140625"/>
  </cols>
  <sheetData>
    <row s="7997" customFormat="1" customHeight="1" ht="5.25" hidden="1">
      <c r="A1" s="650"/>
      <c r="B1" s="665"/>
      <c r="C1" s="665"/>
      <c r="D1" s="375"/>
      <c r="F1" s="665"/>
      <c r="G1" s="401" t="s">
        <v>80</v>
      </c>
      <c r="H1" s="648" t="s">
        <v>81</v>
      </c>
      <c r="I1" s="381" t="s">
        <v>82</v>
      </c>
      <c r="J1" s="401" t="s">
        <v>80</v>
      </c>
      <c r="K1" s="401"/>
      <c r="L1" s="401"/>
      <c r="M1" s="401"/>
      <c r="N1" s="402"/>
      <c r="O1" s="401"/>
      <c r="P1" s="401"/>
      <c r="Q1" s="401"/>
      <c r="R1" s="401"/>
      <c r="S1" s="401"/>
      <c r="T1" s="381"/>
      <c r="U1" s="381"/>
      <c r="V1" s="381"/>
      <c r="W1" s="381"/>
      <c r="X1" s="381"/>
      <c r="Y1" s="381"/>
      <c r="Z1" s="381"/>
      <c r="AA1" s="381"/>
      <c r="AB1" s="381"/>
    </row>
    <row s="8005" customFormat="1" customHeight="1" ht="11.25">
      <c r="A2" s="985"/>
      <c r="B2" s="382"/>
      <c r="C2" s="382"/>
      <c r="D2" s="383"/>
      <c r="E2" s="382"/>
      <c r="F2" s="382"/>
      <c r="G2" s="382"/>
      <c r="H2" s="382"/>
      <c r="I2" s="382"/>
      <c r="J2" s="401"/>
      <c r="K2" s="401"/>
      <c r="L2" s="401"/>
      <c r="M2" s="401"/>
      <c r="N2" s="402"/>
      <c r="O2" s="401"/>
      <c r="P2" s="384"/>
      <c r="Q2" s="384"/>
      <c r="R2" s="384"/>
      <c r="S2" s="384"/>
      <c r="T2" s="383"/>
      <c r="U2" s="383"/>
      <c r="V2" s="383"/>
      <c r="W2" s="383"/>
      <c r="X2" s="383"/>
      <c r="Y2" s="383"/>
      <c r="Z2" s="383"/>
      <c r="AA2" s="383"/>
      <c r="AB2" s="383"/>
    </row>
    <row s="8010" customFormat="1" customHeight="1" ht="3">
      <c r="A3" s="912"/>
      <c r="B3" s="571"/>
      <c r="C3" s="912"/>
      <c r="D3" s="319"/>
      <c r="E3" s="258"/>
      <c r="F3" s="663"/>
      <c r="G3" s="258"/>
      <c r="H3" s="258"/>
      <c r="I3" s="321"/>
      <c r="J3" s="401"/>
      <c r="K3" s="310"/>
      <c r="L3" s="310"/>
      <c r="M3" s="310"/>
      <c r="N3" s="380"/>
      <c r="O3" s="310"/>
      <c r="P3" s="379"/>
      <c r="Q3" s="379"/>
      <c r="R3" s="379"/>
      <c r="S3" s="379"/>
    </row>
    <row s="8010" customFormat="1" customHeight="1" ht="25.5">
      <c r="A4" s="912"/>
      <c r="B4" s="571"/>
      <c r="C4" s="912"/>
      <c r="D4" s="319"/>
      <c r="E4" s="2168" t="str">
        <f>NameTemplatesInListMO</f>
        <v>Перечень муниципальных районов и муниципальных образований (территорий действия тарифа)</v>
      </c>
      <c r="F4" s="2168"/>
      <c r="G4" s="2168"/>
      <c r="H4" s="2168"/>
      <c r="I4" s="2168"/>
      <c r="J4" s="401"/>
      <c r="K4" s="310"/>
      <c r="L4" s="310"/>
      <c r="M4" s="310"/>
      <c r="N4" s="380"/>
      <c r="O4" s="310"/>
      <c r="P4" s="379"/>
      <c r="Q4" s="379"/>
      <c r="R4" s="379"/>
      <c r="S4" s="379"/>
    </row>
    <row s="8010" customFormat="1" customHeight="1" ht="3">
      <c r="A5" s="912"/>
      <c r="B5" s="571"/>
      <c r="C5" s="912"/>
      <c r="D5" s="319"/>
      <c r="E5" s="258"/>
      <c r="F5" s="663"/>
      <c r="G5" s="322"/>
      <c r="H5" s="322"/>
      <c r="I5" s="323"/>
      <c r="J5" s="310"/>
      <c r="K5" s="310"/>
      <c r="L5" s="310"/>
      <c r="M5" s="310"/>
      <c r="N5" s="380"/>
      <c r="O5" s="310"/>
      <c r="P5" s="379"/>
      <c r="Q5" s="379"/>
      <c r="R5" s="379"/>
      <c r="S5" s="379"/>
    </row>
    <row s="8010" customFormat="1" customHeight="1" ht="20.25" hidden="1">
      <c r="A6" s="991"/>
      <c r="B6" s="987"/>
      <c r="C6" s="324"/>
      <c r="D6" s="319"/>
      <c r="E6" s="933"/>
      <c r="F6" s="933"/>
      <c r="G6" s="322"/>
      <c r="H6" s="325"/>
      <c r="I6" s="325"/>
      <c r="J6" s="310"/>
      <c r="K6" s="310"/>
      <c r="L6" s="310"/>
      <c r="M6" s="310"/>
      <c r="N6" s="380"/>
      <c r="O6" s="310"/>
      <c r="P6" s="379"/>
      <c r="Q6" s="379"/>
      <c r="R6" s="379"/>
      <c r="S6" s="379"/>
    </row>
    <row customHeight="1" ht="25.5" hidden="1"/>
    <row s="8010" customFormat="1" customHeight="1" ht="14.25">
      <c r="A8" s="912"/>
      <c r="B8" s="571"/>
      <c r="C8" s="912"/>
      <c r="D8" s="319"/>
      <c r="E8" s="2169" t="s">
        <v>83</v>
      </c>
      <c r="F8" s="2170"/>
      <c r="G8" s="2171"/>
      <c r="H8" s="2172" t="s">
        <v>84</v>
      </c>
      <c r="I8" s="2172"/>
      <c r="J8" s="310"/>
      <c r="K8" s="310"/>
      <c r="L8" s="310"/>
      <c r="M8" s="310"/>
      <c r="N8" s="380"/>
      <c r="O8" s="310"/>
      <c r="P8" s="379"/>
      <c r="Q8" s="379"/>
      <c r="R8" s="379"/>
      <c r="S8" s="379"/>
    </row>
    <row s="8010" customFormat="1" customHeight="1" ht="20.25">
      <c r="A9" s="912"/>
      <c r="B9" s="571"/>
      <c r="C9" s="912"/>
      <c r="D9" s="319"/>
      <c r="E9" s="931" t="s">
        <v>85</v>
      </c>
      <c r="F9" s="931"/>
      <c r="G9" s="327" t="s">
        <v>86</v>
      </c>
      <c r="H9" s="327" t="s">
        <v>86</v>
      </c>
      <c r="I9" s="327" t="s">
        <v>82</v>
      </c>
      <c r="J9" s="310"/>
      <c r="K9" s="310"/>
      <c r="L9" s="310"/>
      <c r="M9" s="310"/>
      <c r="N9" s="380"/>
      <c r="O9" s="310"/>
      <c r="P9" s="379"/>
      <c r="Q9" s="379"/>
      <c r="R9" s="379"/>
      <c r="S9" s="379"/>
    </row>
    <row customHeight="1" ht="11.25">
      <c r="D10" s="331"/>
      <c r="E10" s="932" t="s">
        <v>87</v>
      </c>
      <c r="F10" s="932"/>
      <c r="G10" s="377" t="s">
        <v>88</v>
      </c>
      <c r="H10" s="377" t="s">
        <v>89</v>
      </c>
      <c r="I10" s="377" t="s">
        <v>90</v>
      </c>
      <c r="J10" s="340"/>
      <c r="K10" s="340"/>
      <c r="L10" s="340"/>
      <c r="M10" s="340"/>
      <c r="N10" s="326"/>
      <c r="O10" s="340"/>
      <c r="P10" s="378"/>
      <c r="Q10" s="378"/>
      <c r="R10" s="378"/>
      <c r="S10" s="378"/>
    </row>
    <row s="8010" customFormat="1" customHeight="1" ht="0.75">
      <c r="A11" s="912"/>
      <c r="B11" s="571"/>
      <c r="C11" s="912"/>
      <c r="D11" s="319"/>
      <c r="E11" s="944"/>
      <c r="F11" s="944"/>
      <c r="G11" s="328"/>
      <c r="H11" s="328"/>
      <c r="I11" s="330"/>
      <c r="J11" s="403" t="s">
        <v>91</v>
      </c>
      <c r="K11" s="310"/>
      <c r="L11" s="310"/>
      <c r="M11" s="310" t="s">
        <v>92</v>
      </c>
      <c r="N11" s="380" t="s">
        <v>93</v>
      </c>
      <c r="O11" s="310" t="s">
        <v>94</v>
      </c>
      <c r="P11" s="379"/>
      <c r="Q11" s="379"/>
      <c r="R11" s="379"/>
      <c r="S11" s="379"/>
    </row>
    <row s="8044" customFormat="1" customHeight="1" ht="14.25">
      <c r="A12" s="2167">
        <v>1</v>
      </c>
      <c r="B12" s="571"/>
      <c r="C12" s="912"/>
      <c r="D12" s="936"/>
      <c r="E12" s="373">
        <f>A12</f>
        <v>1</v>
      </c>
      <c r="F12" s="956" t="s">
        <v>95</v>
      </c>
      <c r="G12" s="694" t="str">
        <f>"Территория "&amp;E12</f>
        <v>Территория 1</v>
      </c>
      <c r="H12" s="946"/>
      <c r="I12" s="946"/>
      <c r="J12" s="943"/>
      <c r="K12" s="654"/>
      <c r="L12" s="654"/>
      <c r="M12" s="654"/>
      <c r="N12" s="380"/>
      <c r="O12" s="654"/>
      <c r="P12" s="379"/>
      <c r="Q12" s="379"/>
      <c r="R12" s="379"/>
      <c r="S12" s="379"/>
    </row>
    <row s="8053" customFormat="1" customHeight="1" ht="15">
      <c r="A13" s="2167"/>
      <c r="B13" s="571">
        <v>1</v>
      </c>
      <c r="C13" s="571"/>
      <c r="D13" s="954"/>
      <c r="E13" s="934" t="str">
        <f>A12&amp;"."&amp;B13</f>
        <v>1.1</v>
      </c>
      <c r="F13" s="949" t="s">
        <v>96</v>
      </c>
      <c r="G13" s="947" t="s">
        <v>97</v>
      </c>
      <c r="H13" s="947" t="s">
        <v>97</v>
      </c>
      <c r="I13" s="945" t="s">
        <v>98</v>
      </c>
      <c r="J13" s="654">
        <f>MERGEVALUE(G13)</f>
      </c>
      <c r="K13" s="665"/>
      <c r="L13" s="665"/>
      <c r="M13" s="654" t="str">
        <f t="array" ref="M13:M13">IF(ISERROR(MATCH(MID(N13,1,250),MID(note_ter,1,250),0)),"n","y")</f>
        <v>n</v>
      </c>
      <c r="N13" s="665"/>
      <c r="O13" s="654" t="str">
        <f>H13&amp;"("&amp;I13&amp;")"</f>
        <v>Город Ростов-на-Дону(60701000)</v>
      </c>
      <c r="P13" s="571"/>
      <c r="Q13" s="571"/>
      <c r="R13" s="574"/>
      <c r="S13" s="571"/>
      <c r="T13" s="571"/>
      <c r="U13" s="571"/>
      <c r="V13" s="576"/>
      <c r="W13" s="576"/>
      <c r="X13" s="573"/>
      <c r="Y13" s="573"/>
      <c r="Z13" s="573"/>
      <c r="AA13" s="573"/>
      <c r="AB13" s="573"/>
    </row>
    <row s="8053" customFormat="1" customHeight="1" ht="15">
      <c r="A14" s="2167"/>
      <c r="B14" s="571"/>
      <c r="C14" s="566"/>
      <c r="D14" s="955"/>
      <c r="E14" s="575"/>
      <c r="F14" s="332"/>
      <c r="G14" s="569" t="s">
        <v>99</v>
      </c>
      <c r="H14" s="341"/>
      <c r="I14" s="578"/>
      <c r="J14" s="665"/>
      <c r="K14" s="665"/>
      <c r="L14" s="665"/>
      <c r="M14" s="665"/>
      <c r="N14" s="654"/>
      <c r="O14" s="665"/>
      <c r="P14" s="571"/>
      <c r="Q14" s="571"/>
      <c r="R14" s="574"/>
      <c r="S14" s="571"/>
      <c r="T14" s="571"/>
      <c r="U14" s="571"/>
      <c r="V14" s="576"/>
      <c r="W14" s="576"/>
      <c r="X14" s="573"/>
      <c r="Y14" s="573"/>
      <c r="Z14" s="573"/>
      <c r="AA14" s="573"/>
      <c r="AB14" s="573"/>
    </row>
    <row s="8010" customFormat="1" customHeight="1" ht="14.25">
      <c r="A15" s="912"/>
      <c r="B15" s="571"/>
      <c r="C15" s="912"/>
      <c r="D15" s="936"/>
      <c r="E15" s="948"/>
      <c r="F15" s="333"/>
      <c r="G15" s="570" t="s">
        <v>100</v>
      </c>
      <c r="H15" s="333"/>
      <c r="I15" s="334"/>
      <c r="J15" s="403"/>
      <c r="K15" s="310"/>
      <c r="L15" s="310"/>
      <c r="M15" s="310"/>
      <c r="N15" s="380" t="s">
        <v>101</v>
      </c>
      <c r="O15" s="310"/>
      <c r="P15" s="379"/>
      <c r="Q15" s="379"/>
      <c r="R15" s="379"/>
      <c r="S15" s="379"/>
    </row>
    <row s="8010" customFormat="1" customHeight="1" ht="21">
      <c r="A16" s="912"/>
      <c r="B16" s="571"/>
      <c r="C16" s="912"/>
      <c r="D16" s="320"/>
      <c r="E16" s="335"/>
      <c r="F16" s="335"/>
      <c r="G16" s="335"/>
      <c r="H16" s="335"/>
      <c r="I16" s="335"/>
      <c r="J16" s="310"/>
      <c r="K16" s="310"/>
      <c r="L16" s="310"/>
      <c r="M16" s="310"/>
      <c r="N16" s="380"/>
      <c r="O16" s="310"/>
      <c r="P16" s="379"/>
      <c r="Q16" s="379"/>
      <c r="R16" s="379"/>
      <c r="S16" s="379"/>
    </row>
    <row s="8010" customFormat="1" customHeight="1" ht="14.25">
      <c r="A17" s="912"/>
      <c r="B17" s="571"/>
      <c r="C17" s="912"/>
      <c r="D17" s="320"/>
      <c r="E17" s="237"/>
      <c r="F17" s="912"/>
      <c r="G17" s="237"/>
      <c r="H17" s="237"/>
      <c r="I17" s="237"/>
      <c r="J17" s="310"/>
      <c r="K17" s="310"/>
      <c r="L17" s="310"/>
      <c r="M17" s="310"/>
      <c r="N17" s="380"/>
      <c r="O17" s="310"/>
      <c r="P17" s="379"/>
      <c r="Q17" s="379"/>
      <c r="R17" s="379"/>
      <c r="S17" s="379"/>
    </row>
    <row s="8010" customFormat="1" customHeight="1" ht="0.75">
      <c r="A18" s="912"/>
      <c r="B18" s="571"/>
      <c r="C18" s="912"/>
      <c r="D18" s="320"/>
      <c r="E18" s="237"/>
      <c r="F18" s="912"/>
      <c r="G18" s="237"/>
      <c r="H18" s="237"/>
      <c r="I18" s="237"/>
      <c r="J18" s="310"/>
      <c r="K18" s="310"/>
      <c r="L18" s="310"/>
      <c r="M18" s="310"/>
      <c r="N18" s="380"/>
      <c r="O18" s="310"/>
      <c r="P18" s="379"/>
      <c r="Q18" s="379"/>
      <c r="R18" s="379"/>
      <c r="S18" s="379"/>
    </row>
    <row s="8076" customFormat="1" customHeight="1" ht="10.5">
      <c r="B19" s="988"/>
      <c r="D19" s="337"/>
      <c r="J19" s="310"/>
      <c r="K19" s="310"/>
      <c r="L19" s="310"/>
      <c r="M19" s="310"/>
      <c r="N19" s="380"/>
      <c r="O19" s="310"/>
      <c r="P19" s="379"/>
      <c r="Q19" s="379"/>
      <c r="R19" s="379"/>
      <c r="S19" s="379"/>
    </row>
    <row s="8076" customFormat="1" customHeight="1" ht="10.5">
      <c r="B20" s="988"/>
      <c r="D20" s="337"/>
      <c r="J20" s="310"/>
      <c r="K20" s="310"/>
      <c r="L20" s="310"/>
      <c r="M20" s="310"/>
      <c r="N20" s="380"/>
      <c r="O20" s="310"/>
      <c r="P20" s="379"/>
      <c r="Q20" s="379"/>
      <c r="R20" s="379"/>
      <c r="S20" s="379"/>
    </row>
    <row r="24" customHeight="1" ht="14.25">
      <c r="H24" s="215"/>
    </row>
    <row r="28" customHeight="1" ht="14.25">
      <c r="J28" s="237"/>
      <c r="K28" s="237"/>
      <c r="L28" s="237"/>
    </row>
  </sheetData>
  <sheetProtection formatColumns="0" formatRows="0" autoFilter="0" sort="0" insertRows="0" insertColumns="1" deleteRows="0" deleteColumns="0"/>
  <mergeCells count="4">
    <mergeCell ref="A12:A14"/>
    <mergeCell ref="E4:I4"/>
    <mergeCell ref="E8:G8"/>
    <mergeCell ref="H8:I8"/>
  </mergeCells>
  <dataValidations count="1">
    <dataValidation type="textLength" operator="lessThanOrEqual" allowBlank="1" showInputMessage="1" showErrorMessage="1" errorTitle="Ошибка" error="Допускается ввод не более 900 символов!" sqref="G12">
      <formula1>900</formula1>
    </dataValidation>
  </dataValidations>
  <printOptions horizontalCentered="1" verticalCentered="1"/>
  <pageMargins left="0.00" right="0.00" top="0.00" bottom="0.00" header="0.00" footer="0.79"/>
  <pageSetup paperSize="9" scale="93" fitToHeight="0" pageOrder="downThenOver" orientation="portrait" blackAndWhite="1"/>
  <headerFooter>
    <oddHeader>&amp;L&amp;C&amp;R</oddHeader>
    <oddFooter>&amp;L&amp;C&amp;R</oddFooter>
    <evenHeader>&amp;L&amp;C&amp;R</evenHeader>
    <evenFooter>&amp;L&amp;C&amp;R</evenFooter>
  </headerFooter>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A93FC0E-3556-D04B-B26D-82B57312C191}" mc:Ignorable="x14ac xr xr2 xr3">
  <sheetPr>
    <tabColor rgb="FFCCCCFF"/>
  </sheetPr>
  <dimension ref="A1:AL16"/>
  <sheetViews>
    <sheetView topLeftCell="A1" showGridLines="0" zoomScale="90" workbookViewId="0">
      <selection activeCell="A1" sqref="A1"/>
    </sheetView>
  </sheetViews>
  <sheetFormatPr defaultColWidth="9.140625" customHeight="1" defaultRowHeight="11.25"/>
  <cols>
    <col min="1" max="1" style="8170" width="6.421875" hidden="1" customWidth="1"/>
    <col min="2" max="2" style="8170" width="2.00390625" hidden="1" customWidth="1"/>
    <col min="3" max="3" style="8170" width="3.7109375" customWidth="1"/>
    <col min="4" max="4" style="8170" width="4.28125" customWidth="1"/>
    <col min="5" max="5" style="8170" width="45.00390625" customWidth="1"/>
    <col min="6" max="6" style="8170" width="6.421875" customWidth="1"/>
    <col min="7" max="7" style="8170" width="4.421875" customWidth="1"/>
    <col min="8" max="8" style="8170" width="5.57421875" customWidth="1"/>
    <col min="9" max="9" style="8170" width="52.8515625" customWidth="1"/>
    <col min="10" max="10" style="8170" width="7.00390625" customWidth="1"/>
    <col min="11" max="11" style="8170" width="3.7109375" customWidth="1"/>
    <col min="12" max="12" style="8170" width="6.28125" customWidth="1"/>
    <col min="13" max="13" style="8170" width="56.28125" customWidth="1"/>
    <col min="14" max="14" style="8171" width="9.140625"/>
    <col min="15" max="20" style="8172" width="9.140625" hidden="1"/>
    <col min="21" max="24" style="8173" width="9.140625" hidden="1"/>
    <col min="25" max="37" style="8171" width="9.140625" hidden="1"/>
    <col min="38" max="38" style="8171" width="9.140625"/>
  </cols>
  <sheetData>
    <row customHeight="1" ht="11.25" hidden="1"/>
    <row customHeight="1" ht="11.25" hidden="1"/>
    <row r="4" customHeight="1" ht="34.5">
      <c r="A4" s="739"/>
      <c r="B4" s="739"/>
      <c r="D4" s="2177" t="str">
        <f>Титульный!E5</f>
        <v>Показатели, подлежащие раскрытию в сфере горячего водоснабжения (цены и тарифы)</v>
      </c>
      <c r="E4" s="2178"/>
      <c r="F4" s="2178"/>
      <c r="G4" s="2178"/>
      <c r="H4" s="2178"/>
      <c r="I4" s="2179"/>
      <c r="J4" s="738"/>
      <c r="K4" s="738"/>
      <c r="L4" s="738"/>
      <c r="M4" s="738"/>
    </row>
    <row s="8092" customFormat="1" customHeight="1" ht="15">
      <c r="A5" s="739"/>
      <c r="B5" s="739"/>
      <c r="C5" s="739"/>
      <c r="D5" s="2180" t="str">
        <f>IF(org=0,"Не определено",org)</f>
        <v>АО "Теплокоммунэнерго"</v>
      </c>
      <c r="E5" s="2181"/>
      <c r="F5" s="2181"/>
      <c r="G5" s="2181"/>
      <c r="H5" s="2181"/>
      <c r="I5" s="2182"/>
      <c r="J5" s="740"/>
      <c r="K5" s="740"/>
      <c r="L5" s="740"/>
      <c r="M5" s="740"/>
      <c r="N5" s="740"/>
      <c r="O5" s="1024"/>
      <c r="P5" s="1024"/>
      <c r="Q5" s="1024"/>
      <c r="R5" s="1024"/>
      <c r="S5" s="1024"/>
      <c r="T5" s="1024"/>
      <c r="U5" s="1420"/>
      <c r="V5" s="1420"/>
      <c r="W5" s="1420"/>
      <c r="X5" s="1420"/>
      <c r="Y5" s="740"/>
      <c r="Z5" s="740"/>
      <c r="AA5" s="740"/>
      <c r="AB5" s="740"/>
      <c r="AC5" s="740"/>
      <c r="AD5" s="740"/>
      <c r="AE5" s="740"/>
      <c r="AF5" s="740"/>
      <c r="AG5" s="740"/>
      <c r="AH5" s="740"/>
      <c r="AI5" s="740"/>
      <c r="AJ5" s="740"/>
      <c r="AK5" s="740"/>
      <c r="AL5" s="740"/>
    </row>
    <row s="8099" customFormat="1" customHeight="1" ht="6">
      <c r="A6" s="2183"/>
      <c r="B6" s="2183"/>
      <c r="C6" s="2183"/>
      <c r="D6" s="2183"/>
      <c r="E6" s="2183"/>
      <c r="F6" s="2183"/>
      <c r="G6" s="742"/>
      <c r="H6" s="742"/>
      <c r="I6" s="742"/>
      <c r="J6" s="742"/>
      <c r="K6" s="742"/>
      <c r="N6" s="744"/>
      <c r="O6" s="1573"/>
      <c r="P6" s="1573"/>
      <c r="Q6" s="1573"/>
      <c r="R6" s="1573"/>
      <c r="S6" s="1573"/>
      <c r="T6" s="1573"/>
      <c r="U6" s="1423"/>
      <c r="V6" s="1423"/>
      <c r="W6" s="1423"/>
      <c r="X6" s="1423"/>
      <c r="Y6" s="744"/>
      <c r="Z6" s="744"/>
      <c r="AA6" s="744"/>
      <c r="AB6" s="744"/>
      <c r="AC6" s="744"/>
      <c r="AD6" s="744"/>
      <c r="AE6" s="744"/>
      <c r="AF6" s="744"/>
      <c r="AG6" s="744"/>
      <c r="AH6" s="744"/>
      <c r="AI6" s="744"/>
      <c r="AJ6" s="744"/>
      <c r="AK6" s="744"/>
      <c r="AL6" s="744"/>
    </row>
    <row customHeight="1" ht="45.75" hidden="1">
      <c r="E7" s="2188" t="str">
        <f>"1. В случае дифференциации раскрываемой информации по системам "&amp;TEMPLATE_SPHERE_RUS&amp;" для каждой системы "&amp;TEMPLATE_SPHERE_RUS&amp;"должна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"&amp;TEMPLATE_SPHERE_RUS&amp;"будут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f>
        <v>1. В случае дифференциации раскрываемой информации по системам горячего водоснабжения для каждой системы горячего водоснабжениядолжна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горячего водоснабжениябудут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v>
      </c>
      <c r="F7" s="2189"/>
      <c r="G7" s="2189"/>
      <c r="H7" s="2189"/>
      <c r="I7" s="2189"/>
      <c r="J7" s="2189"/>
      <c r="K7" s="2189"/>
      <c r="L7" s="2189"/>
      <c r="M7" s="2189"/>
    </row>
    <row s="8092" customFormat="1" customHeight="1" ht="6">
      <c r="A8" s="745"/>
      <c r="B8" s="745"/>
      <c r="C8" s="745"/>
      <c r="D8" s="745"/>
      <c r="E8" s="745"/>
      <c r="F8" s="745"/>
      <c r="G8" s="745"/>
      <c r="H8" s="745"/>
      <c r="I8" s="745"/>
      <c r="J8" s="745"/>
      <c r="K8" s="745"/>
      <c r="L8" s="745"/>
      <c r="M8" s="743"/>
      <c r="N8" s="740"/>
      <c r="O8" s="1024"/>
      <c r="P8" s="1024"/>
      <c r="Q8" s="1024"/>
      <c r="R8" s="1024"/>
      <c r="S8" s="1024"/>
      <c r="T8" s="1024"/>
      <c r="U8" s="1420"/>
      <c r="V8" s="1420"/>
      <c r="W8" s="1420"/>
      <c r="X8" s="1420"/>
      <c r="Y8" s="740"/>
      <c r="Z8" s="740"/>
      <c r="AA8" s="740"/>
      <c r="AB8" s="740"/>
      <c r="AC8" s="740"/>
      <c r="AD8" s="740"/>
      <c r="AE8" s="740"/>
      <c r="AF8" s="740"/>
      <c r="AG8" s="740"/>
      <c r="AH8" s="740"/>
      <c r="AI8" s="740"/>
      <c r="AJ8" s="740"/>
      <c r="AK8" s="740"/>
      <c r="AL8" s="740"/>
    </row>
    <row customHeight="1" ht="18">
      <c r="A9" s="2184"/>
      <c r="B9" s="477"/>
      <c r="C9" s="477"/>
      <c r="D9" s="2185" t="s">
        <v>102</v>
      </c>
      <c r="E9" s="2185"/>
      <c r="F9" s="2186" t="s">
        <v>103</v>
      </c>
      <c r="G9" s="2187"/>
      <c r="H9" s="2187"/>
      <c r="I9" s="2187"/>
      <c r="J9" s="2190" t="s">
        <v>104</v>
      </c>
      <c r="K9" s="2190"/>
      <c r="L9" s="2190"/>
      <c r="M9" s="2190"/>
    </row>
    <row customHeight="1" ht="22.5">
      <c r="A10" s="2184"/>
      <c r="B10" s="746"/>
      <c r="C10" s="679"/>
      <c r="D10" s="677" t="s">
        <v>85</v>
      </c>
      <c r="E10" s="677" t="s">
        <v>86</v>
      </c>
      <c r="F10" s="677" t="s">
        <v>105</v>
      </c>
      <c r="G10" s="2191" t="s">
        <v>85</v>
      </c>
      <c r="H10" s="2192"/>
      <c r="I10" s="677" t="s">
        <v>86</v>
      </c>
      <c r="J10" s="677" t="s">
        <v>105</v>
      </c>
      <c r="K10" s="2191" t="s">
        <v>85</v>
      </c>
      <c r="L10" s="2192"/>
      <c r="M10" s="677" t="s">
        <v>86</v>
      </c>
      <c r="N10" s="1786"/>
    </row>
    <row s="8121" customFormat="1" customHeight="1" ht="11.25" hidden="1">
      <c r="A11" s="747"/>
      <c r="B11" s="747"/>
      <c r="C11" s="747"/>
      <c r="D11" s="748" t="s">
        <v>106</v>
      </c>
      <c r="E11" s="748" t="s">
        <v>107</v>
      </c>
      <c r="F11" s="748" t="s">
        <v>87</v>
      </c>
      <c r="G11" s="2173" t="s">
        <v>88</v>
      </c>
      <c r="H11" s="2174"/>
      <c r="I11" s="748" t="s">
        <v>108</v>
      </c>
      <c r="J11" s="748" t="s">
        <v>89</v>
      </c>
      <c r="K11" s="2175" t="s">
        <v>90</v>
      </c>
      <c r="L11" s="2176"/>
      <c r="M11" s="748" t="s">
        <v>109</v>
      </c>
      <c r="N11" s="1785"/>
      <c r="O11" s="1572"/>
      <c r="P11" s="1574"/>
      <c r="Q11" s="1574"/>
      <c r="R11" s="1574"/>
      <c r="S11" s="1574"/>
      <c r="T11" s="1574"/>
      <c r="U11" s="1424"/>
      <c r="V11" s="1424"/>
      <c r="W11" s="1424"/>
      <c r="X11" s="1424"/>
      <c r="Y11" s="749"/>
      <c r="Z11" s="749"/>
      <c r="AA11" s="749"/>
      <c r="AB11" s="749"/>
      <c r="AC11" s="749"/>
      <c r="AD11" s="749"/>
      <c r="AE11" s="749"/>
      <c r="AF11" s="749"/>
      <c r="AG11" s="749"/>
      <c r="AH11" s="749"/>
      <c r="AI11" s="749"/>
      <c r="AJ11" s="749"/>
      <c r="AK11" s="749"/>
      <c r="AL11" s="749"/>
    </row>
    <row customHeight="1" ht="0.75">
      <c r="A12" s="751"/>
      <c r="B12" s="752"/>
      <c r="C12" s="752"/>
      <c r="D12" s="753"/>
      <c r="E12" s="521"/>
      <c r="F12" s="754"/>
      <c r="G12" s="1214"/>
      <c r="H12" s="1214"/>
      <c r="I12" s="754"/>
      <c r="J12" s="754"/>
      <c r="K12" s="329"/>
      <c r="L12" s="521"/>
      <c r="M12" s="755"/>
      <c r="N12" s="1786"/>
      <c r="O12" s="1572" t="s">
        <v>110</v>
      </c>
      <c r="P12" s="1572" t="s">
        <v>111</v>
      </c>
      <c r="Q12" s="1572" t="s">
        <v>112</v>
      </c>
      <c r="R12" s="1572" t="s">
        <v>113</v>
      </c>
    </row>
    <row s="8141" customFormat="1" customHeight="1" ht="15">
      <c r="A13" s="447"/>
      <c r="B13" s="447"/>
      <c r="C13" s="680"/>
      <c r="D13" s="2196" t="s">
        <v>106</v>
      </c>
      <c r="E13" s="2197"/>
      <c r="F13" s="2200" t="s">
        <v>64</v>
      </c>
      <c r="G13" s="2201"/>
      <c r="H13" s="2202">
        <v>1</v>
      </c>
      <c r="I13" s="2193" t="str">
        <f>IF(U13="","",INDEX(TERRITORY_MR_LIST,MATCH(U13,TERRITORY_LIST_ID,0)))</f>
        <v/>
      </c>
      <c r="J13" s="2195" t="s">
        <v>54</v>
      </c>
      <c r="K13" s="756"/>
      <c r="L13" s="681" t="s">
        <v>106</v>
      </c>
      <c r="M13" s="757" t="s">
        <v>24</v>
      </c>
      <c r="N13" s="966"/>
      <c r="O13" s="1575" t="s">
        <v>114</v>
      </c>
      <c r="P13" s="1572">
        <f>$E$13</f>
        <v>0</v>
      </c>
      <c r="Q13" s="1572" t="str">
        <f>IF($F$13="нет","без дифференциации",$I$13)</f>
        <v/>
      </c>
      <c r="R13" s="1572" t="str">
        <f>IF($J$13="нет","без дифференциации",M13)</f>
        <v>без дифференциации</v>
      </c>
      <c r="S13" s="1575"/>
      <c r="T13" s="1575"/>
      <c r="U13" s="1425"/>
      <c r="V13" s="1425"/>
      <c r="W13" s="1425"/>
      <c r="X13" s="1425"/>
      <c r="Y13" s="758" t="s">
        <v>115</v>
      </c>
      <c r="Z13" s="758">
        <v>1705000</v>
      </c>
      <c r="AA13" s="758"/>
      <c r="AB13" s="758"/>
      <c r="AC13" s="758"/>
      <c r="AD13" s="758"/>
      <c r="AE13" s="758"/>
      <c r="AF13" s="758"/>
      <c r="AG13" s="758"/>
      <c r="AH13" s="758"/>
      <c r="AI13" s="758"/>
      <c r="AJ13" s="758"/>
      <c r="AK13" s="758"/>
      <c r="AL13" s="758"/>
    </row>
    <row s="8141" customFormat="1" customHeight="1" ht="15">
      <c r="A14" s="447"/>
      <c r="B14" s="447"/>
      <c r="C14" s="331"/>
      <c r="D14" s="2196"/>
      <c r="E14" s="2198"/>
      <c r="F14" s="2195"/>
      <c r="G14" s="2201"/>
      <c r="H14" s="2202"/>
      <c r="I14" s="2194"/>
      <c r="J14" s="2195"/>
      <c r="K14" s="575"/>
      <c r="L14" s="332"/>
      <c r="M14" s="761" t="s">
        <v>116</v>
      </c>
      <c r="N14" s="966"/>
      <c r="O14" s="1575"/>
      <c r="P14" s="1572"/>
      <c r="Q14" s="1572"/>
      <c r="R14" s="1572"/>
      <c r="S14" s="1575"/>
      <c r="T14" s="1575"/>
      <c r="U14" s="1425"/>
      <c r="V14" s="1425"/>
      <c r="W14" s="1425"/>
      <c r="X14" s="1425"/>
      <c r="Y14" s="758"/>
      <c r="Z14" s="758"/>
      <c r="AA14" s="758"/>
      <c r="AB14" s="758"/>
      <c r="AC14" s="758"/>
      <c r="AD14" s="758"/>
      <c r="AE14" s="758"/>
      <c r="AF14" s="758"/>
      <c r="AG14" s="758"/>
      <c r="AH14" s="758"/>
      <c r="AI14" s="758"/>
      <c r="AJ14" s="758"/>
      <c r="AK14" s="758"/>
      <c r="AL14" s="758"/>
    </row>
    <row s="8141" customFormat="1" customHeight="1" ht="15">
      <c r="A15" s="447"/>
      <c r="B15" s="447"/>
      <c r="C15" s="331"/>
      <c r="D15" s="2196"/>
      <c r="E15" s="2199"/>
      <c r="F15" s="2195"/>
      <c r="G15" s="1215"/>
      <c r="H15" s="1216"/>
      <c r="I15" s="734" t="s">
        <v>117</v>
      </c>
      <c r="J15" s="332"/>
      <c r="K15" s="332"/>
      <c r="L15" s="332"/>
      <c r="M15" s="762"/>
      <c r="N15" s="966"/>
      <c r="O15" s="1575"/>
      <c r="P15" s="1572"/>
      <c r="Q15" s="1572"/>
      <c r="R15" s="1572"/>
      <c r="S15" s="1575"/>
      <c r="T15" s="1575"/>
      <c r="U15" s="1425"/>
      <c r="V15" s="1425"/>
      <c r="W15" s="1425"/>
      <c r="X15" s="1425"/>
      <c r="Y15" s="758"/>
      <c r="Z15" s="758"/>
      <c r="AA15" s="758"/>
      <c r="AB15" s="758"/>
      <c r="AC15" s="758"/>
      <c r="AD15" s="758"/>
      <c r="AE15" s="758"/>
      <c r="AF15" s="758"/>
      <c r="AG15" s="758"/>
      <c r="AH15" s="758"/>
      <c r="AI15" s="758"/>
      <c r="AJ15" s="758"/>
      <c r="AK15" s="758"/>
      <c r="AL15" s="758"/>
    </row>
    <row customHeight="1" ht="15">
      <c r="A16" s="763"/>
      <c r="B16" s="290"/>
      <c r="C16" s="960"/>
      <c r="D16" s="575"/>
      <c r="E16" s="725" t="s">
        <v>118</v>
      </c>
      <c r="F16" s="332"/>
      <c r="G16" s="332"/>
      <c r="H16" s="332"/>
      <c r="I16" s="332"/>
      <c r="J16" s="332"/>
      <c r="K16" s="332" t="s">
        <v>24</v>
      </c>
      <c r="L16" s="332"/>
      <c r="M16" s="762"/>
      <c r="N16" s="1786"/>
    </row>
  </sheetData>
  <sheetProtection formatColumns="0" formatRows="0" autoFilter="0" sort="0" insertRows="0" insertColumns="1" deleteRows="0" deleteColumns="0"/>
  <mergeCells count="19">
    <mergeCell ref="I13:I14"/>
    <mergeCell ref="J13:J14"/>
    <mergeCell ref="D13:D15"/>
    <mergeCell ref="E13:E15"/>
    <mergeCell ref="F13:F15"/>
    <mergeCell ref="G13:G14"/>
    <mergeCell ref="H13:H14"/>
    <mergeCell ref="G11:H11"/>
    <mergeCell ref="K11:L11"/>
    <mergeCell ref="D4:I4"/>
    <mergeCell ref="D5:I5"/>
    <mergeCell ref="A6:F6"/>
    <mergeCell ref="A9:A10"/>
    <mergeCell ref="D9:E9"/>
    <mergeCell ref="F9:I9"/>
    <mergeCell ref="E7:M7"/>
    <mergeCell ref="J9:M9"/>
    <mergeCell ref="G10:H10"/>
    <mergeCell ref="K10:L10"/>
  </mergeCells>
  <dataValidations count="1">
    <dataValidation type="textLength" operator="lessThan" allowBlank="1" showInputMessage="1" showErrorMessage="1" error="Допускается ввод не более 900 символов!" sqref="M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E043067-63E6-F63B-7DBA-6AFAE58AB1BD}" mc:Ignorable="x14ac xr xr2 xr3">
  <sheetPr>
    <tabColor rgb="FFCCCCFF"/>
  </sheetPr>
  <dimension ref="A1:AQ140"/>
  <sheetViews>
    <sheetView topLeftCell="A1" showGridLines="0" zoomScale="90" workbookViewId="0">
      <selection activeCell="K140" sqref="K140"/>
    </sheetView>
  </sheetViews>
  <sheetFormatPr defaultColWidth="9.140625" customHeight="1" defaultRowHeight="11.25"/>
  <cols>
    <col min="1" max="2" style="8343" width="3.7109375" hidden="1" customWidth="1"/>
    <col min="3" max="3" style="8344" width="3.7109375" customWidth="1"/>
    <col min="4" max="4" style="8344" width="6.140625" customWidth="1"/>
    <col min="5" max="5" style="8344" width="43.140625" customWidth="1"/>
    <col min="6" max="6" style="8250" width="15.00390625" customWidth="1"/>
    <col min="7" max="7" style="8344" width="43.140625" customWidth="1"/>
    <col min="8" max="8" style="8344" width="3.7109375" customWidth="1"/>
    <col min="9" max="9" style="8344" width="5.421875" customWidth="1"/>
    <col min="10" max="10" style="8344" width="47.8515625" customWidth="1"/>
    <col min="11" max="12" style="8344" width="3.7109375" customWidth="1"/>
    <col min="13" max="13" style="8344" width="5.7109375" customWidth="1"/>
    <col min="14" max="14" style="8344" width="28.140625" customWidth="1"/>
    <col min="15" max="16" style="8344" width="3.7109375" customWidth="1"/>
    <col min="17" max="17" style="8344" width="5.7109375" customWidth="1"/>
    <col min="18" max="18" style="8344" width="34.421875" customWidth="1"/>
    <col min="19" max="20" style="8345" width="3.7109375" hidden="1" customWidth="1"/>
    <col min="21" max="21" style="8345" width="5.7109375" hidden="1" customWidth="1"/>
    <col min="22" max="22" style="8345" width="34.421875" hidden="1" customWidth="1"/>
    <col min="23" max="23" style="8344" width="30.7109375" customWidth="1"/>
    <col min="24" max="24" style="8344" width="3.7109375" customWidth="1"/>
    <col min="25" max="25" style="8346" width="9.8515625" customWidth="1"/>
    <col min="26" max="28" style="8346" width="9.8515625" hidden="1" customWidth="1"/>
    <col min="29" max="29" style="8346" width="27.00390625" hidden="1" customWidth="1"/>
    <col min="30" max="30" style="8346" width="10.57421875" hidden="1" customWidth="1"/>
    <col min="31" max="31" style="8346" width="10.7109375" hidden="1" customWidth="1"/>
    <col min="32" max="32" style="8346" width="10.00390625" hidden="1" customWidth="1"/>
    <col min="33" max="33" style="8346" width="12.8515625" hidden="1" customWidth="1"/>
    <col min="34" max="34" style="8346" width="24.421875" hidden="1" customWidth="1"/>
    <col min="35" max="35" style="8346" width="15.8515625" hidden="1" customWidth="1"/>
    <col min="36" max="36" style="8346" width="19.421875" hidden="1" customWidth="1"/>
    <col min="37" max="37" style="8346" width="11.00390625" hidden="1" customWidth="1"/>
    <col min="38" max="38" style="8346" width="23.57421875" hidden="1" customWidth="1"/>
    <col min="39" max="39" style="8346" width="23.8515625" hidden="1" customWidth="1"/>
    <col min="40" max="40" style="8346" width="25.28125" hidden="1" customWidth="1"/>
    <col min="41" max="41" style="8346" width="16.8515625" hidden="1" customWidth="1"/>
    <col min="42" max="42" style="8346" width="29.57421875" hidden="1" customWidth="1"/>
    <col min="43" max="43" style="8346" width="29.8515625" hidden="1" customWidth="1"/>
  </cols>
  <sheetData>
    <row customHeight="1" ht="11.25" hidden="1">
      <c r="A1" s="311"/>
    </row>
    <row customHeight="1" ht="11.25" hidden="1"/>
    <row customHeight="1" ht="11.25" hidden="1"/>
    <row customHeight="1" ht="3"/>
    <row s="8175" customFormat="1" customHeight="1" ht="29.25">
      <c r="A5" s="309"/>
      <c r="B5" s="309"/>
      <c r="D5" s="2233" t="str">
        <f>"Перечень тарифов и технологически не связанных между собой централизованных систем "&amp;TEMPLATE_SPHERE_RUS&amp;", в отношении которых предлагаются различные тарифы в сфере  "&amp;TEMPLATE_SPHERE_RUS&amp;IF(TEMPLATE_SPHERE="HEAT"," и горячего водоснабжения с использованием открытых систем "&amp;TEMPLATE_SPHERE_RUS,"")&amp;" (информация раскрывается отдельно по каждой системе  "&amp;TEMPLATE_SPHERE_RUS&amp;")"</f>
        <v>Перечень тарифов и технологически не связанных между собой централизованных систем горячего водоснабжения, в отношении которых предлагаются различные тарифы в сфере  горячего водоснабжения (информация раскрывается отдельно по каждой системе  горячего водоснабжения)</v>
      </c>
      <c r="E5" s="2234"/>
      <c r="F5" s="2234"/>
      <c r="G5" s="2234"/>
      <c r="H5" s="2234"/>
      <c r="I5" s="2234"/>
      <c r="J5" s="2235"/>
      <c r="K5" s="419"/>
      <c r="L5" s="297"/>
      <c r="M5" s="297"/>
      <c r="N5" s="297"/>
      <c r="O5" s="297"/>
      <c r="P5" s="297"/>
      <c r="Q5" s="297"/>
      <c r="R5" s="297"/>
      <c r="S5" s="444"/>
      <c r="T5" s="444"/>
      <c r="U5" s="444"/>
      <c r="V5" s="444"/>
      <c r="W5" s="297"/>
      <c r="Y5" s="1419"/>
      <c r="Z5" s="1419"/>
      <c r="AA5" s="1419"/>
      <c r="AB5" s="1419"/>
      <c r="AC5" s="1419"/>
      <c r="AD5" s="1419"/>
      <c r="AE5" s="1419"/>
      <c r="AF5" s="1419"/>
      <c r="AG5" s="1419"/>
      <c r="AH5" s="1419"/>
      <c r="AI5" s="1419"/>
      <c r="AJ5" s="1419"/>
      <c r="AK5" s="1419"/>
      <c r="AL5" s="1419"/>
      <c r="AM5" s="1419"/>
      <c r="AN5" s="1419"/>
      <c r="AO5" s="1419"/>
      <c r="AP5" s="1419"/>
      <c r="AQ5" s="1419"/>
    </row>
    <row s="8092" customFormat="1" customHeight="1" ht="15">
      <c r="A6" s="739"/>
      <c r="B6" s="739"/>
      <c r="C6" s="739"/>
      <c r="D6" s="2239" t="str">
        <f>IF(org=0,"Не определено",org)</f>
        <v>АО "Теплокоммунэнерго"</v>
      </c>
      <c r="E6" s="2239"/>
      <c r="F6" s="2239"/>
      <c r="G6" s="2239"/>
      <c r="H6" s="2239"/>
      <c r="I6" s="2239"/>
      <c r="J6" s="2239"/>
      <c r="K6" s="740"/>
      <c r="L6" s="740"/>
      <c r="M6" s="740"/>
      <c r="N6" s="740"/>
      <c r="O6" s="1024"/>
      <c r="P6" s="1024"/>
      <c r="Q6" s="1024"/>
      <c r="R6" s="1024"/>
      <c r="S6" s="1024"/>
      <c r="T6" s="1024"/>
      <c r="U6" s="1024"/>
      <c r="V6" s="1024"/>
      <c r="W6" s="1024"/>
      <c r="X6" s="740"/>
      <c r="Y6" s="1420"/>
      <c r="Z6" s="1420"/>
      <c r="AA6" s="1420"/>
      <c r="AB6" s="1420"/>
      <c r="AC6" s="1420"/>
      <c r="AD6" s="1420"/>
      <c r="AE6" s="1420"/>
      <c r="AF6" s="1420"/>
      <c r="AG6" s="1420"/>
      <c r="AH6" s="1420"/>
      <c r="AI6" s="1420"/>
      <c r="AJ6" s="1420"/>
      <c r="AK6" s="1420"/>
      <c r="AL6" s="1420"/>
      <c r="AM6" s="1420"/>
      <c r="AN6" s="1420"/>
      <c r="AO6" s="1420"/>
      <c r="AP6" s="1420"/>
      <c r="AQ6" s="1420"/>
    </row>
    <row s="8185" customFormat="1" customHeight="1" ht="11.25">
      <c r="A7" s="365"/>
      <c r="B7" s="365"/>
      <c r="D7" s="2236"/>
      <c r="E7" s="2237"/>
      <c r="F7" s="2237"/>
      <c r="G7" s="2237"/>
      <c r="H7" s="2237"/>
      <c r="I7" s="2237"/>
      <c r="J7" s="2238"/>
      <c r="S7" s="453"/>
      <c r="T7" s="453"/>
      <c r="U7" s="453"/>
      <c r="V7" s="453"/>
      <c r="Y7" s="1421"/>
      <c r="Z7" s="1421"/>
      <c r="AA7" s="1421"/>
      <c r="AB7" s="1421"/>
      <c r="AC7" s="1421"/>
      <c r="AD7" s="1421"/>
      <c r="AE7" s="1421"/>
      <c r="AF7" s="1421"/>
      <c r="AG7" s="1421"/>
      <c r="AH7" s="1421"/>
      <c r="AI7" s="1421"/>
      <c r="AJ7" s="1421"/>
      <c r="AK7" s="1421"/>
      <c r="AL7" s="1421"/>
      <c r="AM7" s="1421"/>
      <c r="AN7" s="1421"/>
      <c r="AO7" s="1421"/>
      <c r="AP7" s="1421"/>
      <c r="AQ7" s="1421"/>
    </row>
    <row s="8175" customFormat="1" customHeight="1" ht="0.75">
      <c r="A8" s="309"/>
      <c r="B8" s="309"/>
      <c r="D8" s="366"/>
      <c r="E8" s="366"/>
      <c r="F8" s="366"/>
      <c r="G8" s="366"/>
      <c r="H8" s="366"/>
      <c r="I8" s="366"/>
      <c r="J8" s="366"/>
      <c r="K8" s="366"/>
      <c r="L8" s="366"/>
      <c r="M8" s="366"/>
      <c r="N8" s="366"/>
      <c r="O8" s="366"/>
      <c r="P8" s="366"/>
      <c r="Q8" s="366"/>
      <c r="R8" s="366"/>
      <c r="S8" s="366"/>
      <c r="T8" s="366"/>
      <c r="U8" s="366"/>
      <c r="V8" s="366"/>
      <c r="W8" s="366"/>
      <c r="X8" s="287"/>
      <c r="Y8" s="1419"/>
      <c r="Z8" s="1419"/>
      <c r="AA8" s="1419"/>
      <c r="AB8" s="1419"/>
      <c r="AC8" s="1419"/>
      <c r="AD8" s="1419"/>
      <c r="AE8" s="1419"/>
      <c r="AF8" s="1419"/>
      <c r="AG8" s="1419"/>
      <c r="AH8" s="1419"/>
      <c r="AI8" s="1419"/>
      <c r="AJ8" s="1419"/>
      <c r="AK8" s="1419"/>
      <c r="AL8" s="1419"/>
      <c r="AM8" s="1419"/>
      <c r="AN8" s="1419"/>
      <c r="AO8" s="1419"/>
      <c r="AP8" s="1419"/>
      <c r="AQ8" s="1419"/>
    </row>
    <row customHeight="1" ht="27">
      <c r="D9" s="2185" t="s">
        <v>85</v>
      </c>
      <c r="E9" s="2169" t="s">
        <v>119</v>
      </c>
      <c r="F9" s="2171"/>
      <c r="G9" s="2185" t="s">
        <v>102</v>
      </c>
      <c r="H9" s="2185" t="s">
        <v>85</v>
      </c>
      <c r="I9" s="2185"/>
      <c r="J9" s="2185" t="s">
        <v>120</v>
      </c>
      <c r="K9" s="2240" t="s">
        <v>121</v>
      </c>
      <c r="L9" s="2240"/>
      <c r="M9" s="2240"/>
      <c r="N9" s="2240"/>
      <c r="O9" s="2240" t="s">
        <v>122</v>
      </c>
      <c r="P9" s="2240"/>
      <c r="Q9" s="2240"/>
      <c r="R9" s="2240"/>
      <c r="S9" s="2240" t="s">
        <v>123</v>
      </c>
      <c r="T9" s="2240"/>
      <c r="U9" s="2240"/>
      <c r="V9" s="2240"/>
      <c r="W9" s="2185" t="s">
        <v>124</v>
      </c>
    </row>
    <row customHeight="1" ht="30">
      <c r="D10" s="2185"/>
      <c r="E10" s="1443" t="s">
        <v>86</v>
      </c>
      <c r="F10" s="1443" t="s">
        <v>125</v>
      </c>
      <c r="G10" s="2185"/>
      <c r="H10" s="2185"/>
      <c r="I10" s="2185"/>
      <c r="J10" s="2185"/>
      <c r="K10" s="265" t="s">
        <v>105</v>
      </c>
      <c r="L10" s="2185" t="s">
        <v>85</v>
      </c>
      <c r="M10" s="2185"/>
      <c r="N10" s="265" t="s">
        <v>126</v>
      </c>
      <c r="O10" s="265" t="s">
        <v>105</v>
      </c>
      <c r="P10" s="2185" t="s">
        <v>85</v>
      </c>
      <c r="Q10" s="2185"/>
      <c r="R10" s="265" t="s">
        <v>126</v>
      </c>
      <c r="S10" s="437" t="s">
        <v>105</v>
      </c>
      <c r="T10" s="2185" t="s">
        <v>85</v>
      </c>
      <c r="U10" s="2185"/>
      <c r="V10" s="437" t="s">
        <v>86</v>
      </c>
      <c r="W10" s="2185"/>
      <c r="Z10" s="1418" t="s">
        <v>127</v>
      </c>
      <c r="AA10" s="1418" t="s">
        <v>128</v>
      </c>
      <c r="AB10" s="1418" t="s">
        <v>129</v>
      </c>
      <c r="AC10" s="1418" t="s">
        <v>130</v>
      </c>
      <c r="AD10" s="1418" t="s">
        <v>131</v>
      </c>
      <c r="AE10" s="1418" t="s">
        <v>132</v>
      </c>
      <c r="AF10" s="1418" t="s">
        <v>133</v>
      </c>
      <c r="AG10" s="1418" t="s">
        <v>134</v>
      </c>
      <c r="AH10" s="1418" t="s">
        <v>135</v>
      </c>
      <c r="AI10" s="1418" t="s">
        <v>136</v>
      </c>
      <c r="AJ10" s="1418" t="s">
        <v>137</v>
      </c>
      <c r="AK10" s="1418" t="s">
        <v>138</v>
      </c>
      <c r="AL10" s="1418" t="s">
        <v>139</v>
      </c>
      <c r="AM10" s="1418" t="s">
        <v>140</v>
      </c>
      <c r="AN10" s="1418" t="s">
        <v>141</v>
      </c>
      <c r="AO10" s="1418" t="s">
        <v>142</v>
      </c>
      <c r="AP10" s="1418" t="s">
        <v>143</v>
      </c>
      <c r="AQ10" s="1418" t="s">
        <v>144</v>
      </c>
    </row>
    <row s="8199" customFormat="1" customHeight="1" ht="12" hidden="1">
      <c r="D11" s="1407" t="s">
        <v>106</v>
      </c>
      <c r="E11" s="1407" t="s">
        <v>107</v>
      </c>
      <c r="F11" s="1407"/>
      <c r="G11" s="1407" t="s">
        <v>87</v>
      </c>
      <c r="H11" s="2232" t="s">
        <v>108</v>
      </c>
      <c r="I11" s="2232"/>
      <c r="J11" s="1407" t="s">
        <v>89</v>
      </c>
      <c r="K11" s="1407" t="s">
        <v>90</v>
      </c>
      <c r="L11" s="2232" t="s">
        <v>109</v>
      </c>
      <c r="M11" s="2232"/>
      <c r="N11" s="1407" t="s">
        <v>145</v>
      </c>
      <c r="O11" s="1407" t="s">
        <v>146</v>
      </c>
      <c r="P11" s="2232" t="s">
        <v>147</v>
      </c>
      <c r="Q11" s="2232"/>
      <c r="R11" s="1407" t="s">
        <v>148</v>
      </c>
      <c r="S11" s="1407" t="s">
        <v>147</v>
      </c>
      <c r="T11" s="2232" t="s">
        <v>148</v>
      </c>
      <c r="U11" s="2232"/>
      <c r="V11" s="1407" t="s">
        <v>149</v>
      </c>
      <c r="W11" s="1407" t="s">
        <v>150</v>
      </c>
      <c r="Y11" s="1418"/>
      <c r="Z11" s="1418"/>
      <c r="AA11" s="1418"/>
      <c r="AB11" s="1418"/>
      <c r="AC11" s="1418"/>
      <c r="AD11" s="1418"/>
      <c r="AE11" s="1418"/>
      <c r="AF11" s="1418"/>
      <c r="AG11" s="1418"/>
      <c r="AH11" s="1418"/>
      <c r="AI11" s="1418"/>
      <c r="AJ11" s="1418"/>
      <c r="AK11" s="1418"/>
      <c r="AL11" s="1418"/>
      <c r="AM11" s="1418"/>
      <c r="AN11" s="1418"/>
      <c r="AO11" s="1418"/>
      <c r="AP11" s="1418"/>
      <c r="AQ11" s="1418"/>
    </row>
    <row customHeight="1" ht="14.25" hidden="1">
      <c r="C12" s="363"/>
      <c r="D12" s="1441">
        <v>0</v>
      </c>
      <c r="E12" s="404"/>
      <c r="F12" s="404"/>
      <c r="G12" s="404"/>
      <c r="H12" s="405"/>
      <c r="I12" s="405"/>
      <c r="J12" s="313"/>
      <c r="K12" s="267"/>
      <c r="L12" s="313"/>
      <c r="M12" s="313"/>
      <c r="N12" s="406"/>
      <c r="O12" s="267"/>
      <c r="P12" s="313"/>
      <c r="Q12" s="313"/>
      <c r="R12" s="407"/>
      <c r="S12" s="438"/>
      <c r="T12" s="446"/>
      <c r="U12" s="446"/>
      <c r="V12" s="450"/>
      <c r="W12" s="267"/>
      <c r="X12" s="296"/>
    </row>
    <row s="8214" customFormat="1" customHeight="1" ht="17.25" hidden="1">
      <c r="A13" s="475"/>
      <c r="C13" s="363"/>
      <c r="D13" s="2209">
        <v>1</v>
      </c>
      <c r="E13" s="2211" t="s">
        <v>151</v>
      </c>
      <c r="F13" s="2213" t="s">
        <v>54</v>
      </c>
      <c r="G13" s="2211"/>
      <c r="H13" s="2216"/>
      <c r="I13" s="2218"/>
      <c r="J13" s="2220"/>
      <c r="K13" s="2203"/>
      <c r="L13" s="2203"/>
      <c r="M13" s="2203"/>
      <c r="N13" s="2205"/>
      <c r="O13" s="2203"/>
      <c r="P13" s="2203"/>
      <c r="Q13" s="2203"/>
      <c r="R13" s="2208"/>
      <c r="S13" s="2203"/>
      <c r="T13" s="1579"/>
      <c r="U13" s="1579"/>
      <c r="V13" s="1578"/>
      <c r="W13" s="1455"/>
      <c r="Y13" s="1426"/>
      <c r="Z13" s="1426"/>
      <c r="AA13" s="1426"/>
      <c r="AB13" s="1426"/>
      <c r="AC13" s="1426" t="s">
        <v>152</v>
      </c>
      <c r="AD13" s="1426" t="s">
        <v>153</v>
      </c>
      <c r="AE13" s="1426" t="s">
        <v>154</v>
      </c>
      <c r="AF13" s="1426" t="s">
        <v>155</v>
      </c>
      <c r="AG13" s="1426" t="s">
        <v>156</v>
      </c>
      <c r="AH13" s="1426" t="str">
        <f>IF($E$13=0,"",$E$13)</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AI13" s="1426" t="str">
        <f>IF($G$13=0,"",$G$13)</f>
        <v/>
      </c>
      <c r="AJ13" s="1426" t="str">
        <f>IF($J$13=0,"",$J$13)</f>
        <v/>
      </c>
      <c r="AK13" s="1426" t="str">
        <f>IF($K$13="нет","без дифференциации",IF($N$13=0,"",$N$13))</f>
        <v/>
      </c>
      <c r="AL13" s="1426" t="str">
        <f>IF($O$13="нет","без дифференциации",IF($R$13=0,"",$R$13))</f>
        <v/>
      </c>
      <c r="AM13" s="1426" t="str">
        <f>IF($S$13="нет","без дифференциации",IF($V$13=0,"",$V$13))</f>
        <v/>
      </c>
      <c r="AN13" s="1426">
        <f>$I$13</f>
        <v>0</v>
      </c>
      <c r="AO13" s="1426" t="str">
        <f>$I$13&amp;"."&amp;$M$13</f>
        <v>.</v>
      </c>
      <c r="AP13" s="1426" t="str">
        <f>$I$13&amp;"."&amp;$M$13&amp;"."&amp;$Q$13</f>
        <v>..</v>
      </c>
      <c r="AQ13" s="1426" t="str">
        <f>$I$13&amp;"."&amp;$M$13&amp;"."&amp;$Q$13&amp;"."&amp;$U$13</f>
        <v>...</v>
      </c>
    </row>
    <row s="8214" customFormat="1" customHeight="1" ht="17.25" hidden="1">
      <c r="A14" s="475"/>
      <c r="C14" s="474"/>
      <c r="D14" s="2209"/>
      <c r="E14" s="2211"/>
      <c r="F14" s="2214"/>
      <c r="G14" s="2211"/>
      <c r="H14" s="2217"/>
      <c r="I14" s="2219"/>
      <c r="J14" s="2221"/>
      <c r="K14" s="2204"/>
      <c r="L14" s="2204"/>
      <c r="M14" s="2204"/>
      <c r="N14" s="2206"/>
      <c r="O14" s="2204"/>
      <c r="P14" s="2204"/>
      <c r="Q14" s="2204"/>
      <c r="R14" s="2207"/>
      <c r="S14" s="2204"/>
      <c r="T14" s="1456"/>
      <c r="U14" s="1456"/>
      <c r="V14" s="1456"/>
      <c r="W14" s="1457"/>
      <c r="Y14" s="1418"/>
      <c r="Z14" s="1418"/>
      <c r="AA14" s="1418"/>
      <c r="AB14" s="1418"/>
      <c r="AC14" s="1418"/>
      <c r="AD14" s="1418"/>
      <c r="AE14" s="1418"/>
      <c r="AF14" s="1418"/>
      <c r="AG14" s="1418"/>
      <c r="AH14" s="1418"/>
      <c r="AI14" s="1418"/>
      <c r="AJ14" s="1418"/>
      <c r="AK14" s="1418"/>
      <c r="AL14" s="1418"/>
      <c r="AM14" s="1418"/>
      <c r="AN14" s="1418"/>
      <c r="AO14" s="1418"/>
      <c r="AP14" s="1418"/>
      <c r="AQ14" s="1418"/>
    </row>
    <row s="8239" customFormat="1" customHeight="1" ht="17.25" hidden="1">
      <c r="A15" s="475"/>
      <c r="C15" s="363"/>
      <c r="D15" s="2209"/>
      <c r="E15" s="2211"/>
      <c r="F15" s="2214"/>
      <c r="G15" s="2211"/>
      <c r="H15" s="2217"/>
      <c r="I15" s="2219"/>
      <c r="J15" s="2222"/>
      <c r="K15" s="2204"/>
      <c r="L15" s="2204"/>
      <c r="M15" s="2204"/>
      <c r="N15" s="2207"/>
      <c r="O15" s="2204"/>
      <c r="P15" s="1577"/>
      <c r="Q15" s="1456"/>
      <c r="R15" s="1456"/>
      <c r="S15" s="483"/>
      <c r="T15" s="483"/>
      <c r="U15" s="483"/>
      <c r="V15" s="483"/>
      <c r="W15" s="1457"/>
      <c r="Y15" s="1426"/>
      <c r="Z15" s="1426"/>
      <c r="AA15" s="1426"/>
      <c r="AB15" s="1426"/>
      <c r="AC15" s="1426"/>
      <c r="AD15" s="1426"/>
      <c r="AE15" s="1426"/>
      <c r="AF15" s="1426"/>
      <c r="AG15" s="1426"/>
      <c r="AH15" s="1426"/>
      <c r="AI15" s="1426"/>
      <c r="AJ15" s="1426"/>
      <c r="AK15" s="1426"/>
      <c r="AL15" s="1426"/>
      <c r="AM15" s="1426"/>
      <c r="AN15" s="1426"/>
      <c r="AO15" s="1426"/>
      <c r="AP15" s="1426"/>
      <c r="AQ15" s="1426"/>
    </row>
    <row s="8239" customFormat="1" customHeight="1" ht="17.25" hidden="1">
      <c r="A16" s="475"/>
      <c r="C16" s="474"/>
      <c r="D16" s="2209"/>
      <c r="E16" s="2211"/>
      <c r="F16" s="2214"/>
      <c r="G16" s="2211"/>
      <c r="H16" s="2217"/>
      <c r="I16" s="2219"/>
      <c r="J16" s="2222"/>
      <c r="K16" s="2204"/>
      <c r="L16" s="1456"/>
      <c r="M16" s="1456"/>
      <c r="N16" s="1456"/>
      <c r="O16" s="1456"/>
      <c r="P16" s="1456"/>
      <c r="Q16" s="1456"/>
      <c r="R16" s="1456"/>
      <c r="S16" s="483"/>
      <c r="T16" s="483"/>
      <c r="U16" s="483"/>
      <c r="V16" s="483"/>
      <c r="W16" s="1457"/>
      <c r="Y16" s="1418"/>
      <c r="Z16" s="1418"/>
      <c r="AA16" s="1418"/>
      <c r="AB16" s="1418"/>
      <c r="AC16" s="1418"/>
      <c r="AD16" s="1418"/>
      <c r="AE16" s="1418"/>
      <c r="AF16" s="1418"/>
      <c r="AG16" s="1418"/>
      <c r="AH16" s="1418"/>
      <c r="AI16" s="1418"/>
      <c r="AJ16" s="1418"/>
      <c r="AK16" s="1418"/>
      <c r="AL16" s="1418"/>
      <c r="AM16" s="1418"/>
      <c r="AN16" s="1418"/>
      <c r="AO16" s="1418"/>
      <c r="AP16" s="1418"/>
      <c r="AQ16" s="1418"/>
    </row>
    <row s="8214" customFormat="1" customHeight="1" ht="17.25" hidden="1">
      <c r="A17" s="475"/>
      <c r="C17" s="474"/>
      <c r="D17" s="2210"/>
      <c r="E17" s="2212"/>
      <c r="F17" s="2215"/>
      <c r="G17" s="2212"/>
      <c r="H17" s="1458"/>
      <c r="I17" s="1459"/>
      <c r="J17" s="1459"/>
      <c r="K17" s="1459"/>
      <c r="L17" s="1459"/>
      <c r="M17" s="1459"/>
      <c r="N17" s="1459"/>
      <c r="O17" s="1459"/>
      <c r="P17" s="1459"/>
      <c r="Q17" s="1459"/>
      <c r="R17" s="1459"/>
      <c r="S17" s="1460"/>
      <c r="T17" s="1460"/>
      <c r="U17" s="1460"/>
      <c r="V17" s="1460"/>
      <c r="W17" s="1461"/>
      <c r="Y17" s="1418"/>
      <c r="Z17" s="1418"/>
      <c r="AA17" s="1418"/>
      <c r="AB17" s="1418"/>
      <c r="AC17" s="1418"/>
      <c r="AD17" s="1418"/>
      <c r="AE17" s="1418"/>
      <c r="AF17" s="1418"/>
      <c r="AG17" s="1418"/>
      <c r="AH17" s="1418"/>
      <c r="AI17" s="1418"/>
      <c r="AJ17" s="1418"/>
      <c r="AK17" s="1418"/>
      <c r="AL17" s="1418"/>
      <c r="AM17" s="1418"/>
      <c r="AN17" s="1418"/>
      <c r="AO17" s="1418"/>
      <c r="AP17" s="1418"/>
      <c r="AQ17" s="1418"/>
    </row>
    <row s="8250" customFormat="1" customHeight="1" ht="17.25" hidden="1">
      <c r="A18" s="475"/>
      <c r="C18" s="363"/>
      <c r="D18" s="2209">
        <v>2</v>
      </c>
      <c r="E18" s="2211" t="s">
        <v>157</v>
      </c>
      <c r="F18" s="2213" t="s">
        <v>54</v>
      </c>
      <c r="G18" s="2211"/>
      <c r="H18" s="2216"/>
      <c r="I18" s="2218"/>
      <c r="J18" s="2220"/>
      <c r="K18" s="2203"/>
      <c r="L18" s="2203"/>
      <c r="M18" s="2203"/>
      <c r="N18" s="2205"/>
      <c r="O18" s="2203"/>
      <c r="P18" s="2203"/>
      <c r="Q18" s="2203"/>
      <c r="R18" s="2208"/>
      <c r="S18" s="2203"/>
      <c r="T18" s="1579"/>
      <c r="U18" s="1579"/>
      <c r="V18" s="1578"/>
      <c r="W18" s="1455"/>
      <c r="X18" s="1426"/>
      <c r="Y18" s="1426"/>
      <c r="Z18" s="1426"/>
      <c r="AA18" s="1426"/>
      <c r="AB18" s="1426"/>
      <c r="AC18" s="1426" t="s">
        <v>158</v>
      </c>
      <c r="AD18" s="1426" t="s">
        <v>159</v>
      </c>
      <c r="AE18" s="1426" t="s">
        <v>160</v>
      </c>
      <c r="AF18" s="1426" t="s">
        <v>161</v>
      </c>
      <c r="AG18" s="1426" t="s">
        <v>162</v>
      </c>
      <c r="AH18" s="1426" t="str">
        <f>IF($E$18=0,"",$E$18)</f>
        <v>Тарифы на тепловую энергию (мощность), поставляемую теплоснабжающими организациями потребителям, другим теплоснабжающим организациям</v>
      </c>
      <c r="AI18" s="1426" t="str">
        <f>IF($G$18=0,"",$G$18)</f>
        <v/>
      </c>
      <c r="AJ18" s="1426" t="str">
        <f>IF($J$18=0,"",$J$18)</f>
        <v/>
      </c>
      <c r="AK18" s="1426" t="str">
        <f>IF($K$18="нет","без дифференциации",IF($N$18=0,"",$N$18))</f>
        <v/>
      </c>
      <c r="AL18" s="1426" t="str">
        <f>IF($O$18="нет","без дифференциации",IF($R$18=0,"",$R$18))</f>
        <v/>
      </c>
      <c r="AM18" s="1426" t="str">
        <f>IF($S$18="нет","без дифференциации",IF($V$18=0,"",$V$18))</f>
        <v/>
      </c>
      <c r="AN18" s="1931">
        <f>$I$18</f>
        <v>0</v>
      </c>
      <c r="AO18" s="1426" t="str">
        <f>$I$18&amp;"."&amp;$M$18</f>
        <v>.</v>
      </c>
      <c r="AP18" s="1418" t="str">
        <f>$I$18&amp;"."&amp;$M$18&amp;"."&amp;$Q$18</f>
        <v>..</v>
      </c>
      <c r="AQ18" s="1418" t="str">
        <f>$I$18&amp;"."&amp;$M$18&amp;"."&amp;$Q$18&amp;"."&amp;$U$18</f>
        <v>...</v>
      </c>
    </row>
    <row s="8250" customFormat="1" customHeight="1" ht="17.25" hidden="1">
      <c r="A19" s="475"/>
      <c r="C19" s="474"/>
      <c r="D19" s="2209"/>
      <c r="E19" s="2211"/>
      <c r="F19" s="2214"/>
      <c r="G19" s="2211"/>
      <c r="H19" s="2217"/>
      <c r="I19" s="2219"/>
      <c r="J19" s="2221"/>
      <c r="K19" s="2204"/>
      <c r="L19" s="2204"/>
      <c r="M19" s="2204"/>
      <c r="N19" s="2206"/>
      <c r="O19" s="2204"/>
      <c r="P19" s="2204"/>
      <c r="Q19" s="2204"/>
      <c r="R19" s="2207"/>
      <c r="S19" s="2204"/>
      <c r="T19" s="1456"/>
      <c r="U19" s="1456"/>
      <c r="V19" s="1456"/>
      <c r="W19" s="1457"/>
      <c r="X19" s="1418"/>
      <c r="Y19" s="1418"/>
      <c r="Z19" s="1418"/>
      <c r="AA19" s="1418"/>
      <c r="AB19" s="1418"/>
      <c r="AC19" s="1418"/>
      <c r="AD19" s="1418"/>
      <c r="AE19" s="1418"/>
      <c r="AF19" s="1418"/>
      <c r="AG19" s="1418"/>
      <c r="AH19" s="1418"/>
      <c r="AI19" s="1418"/>
      <c r="AJ19" s="1418"/>
      <c r="AK19" s="1418"/>
      <c r="AL19" s="1418"/>
      <c r="AM19" s="1418"/>
      <c r="AN19" s="1418"/>
      <c r="AO19" s="1418"/>
      <c r="AP19" s="1418"/>
      <c r="AQ19" s="1418"/>
    </row>
    <row s="8250" customFormat="1" customHeight="1" ht="17.25" hidden="1">
      <c r="A20" s="475"/>
      <c r="C20" s="474"/>
      <c r="D20" s="2210"/>
      <c r="E20" s="2212"/>
      <c r="F20" s="2214"/>
      <c r="G20" s="2212"/>
      <c r="H20" s="2217"/>
      <c r="I20" s="2219"/>
      <c r="J20" s="2222"/>
      <c r="K20" s="2204"/>
      <c r="L20" s="2204"/>
      <c r="M20" s="2204"/>
      <c r="N20" s="2207"/>
      <c r="O20" s="2204"/>
      <c r="P20" s="1577"/>
      <c r="Q20" s="1456"/>
      <c r="R20" s="1456"/>
      <c r="S20" s="483"/>
      <c r="T20" s="483"/>
      <c r="U20" s="483"/>
      <c r="V20" s="483"/>
      <c r="W20" s="1457"/>
      <c r="X20" s="1418"/>
      <c r="Y20" s="1418"/>
      <c r="Z20" s="1418"/>
      <c r="AA20" s="1418"/>
      <c r="AB20" s="1418"/>
      <c r="AC20" s="1418"/>
      <c r="AD20" s="1418"/>
      <c r="AE20" s="1418"/>
      <c r="AF20" s="1418"/>
      <c r="AG20" s="1418"/>
      <c r="AH20" s="1418"/>
      <c r="AI20" s="1418"/>
      <c r="AJ20" s="1418"/>
      <c r="AK20" s="1418"/>
      <c r="AL20" s="1418"/>
      <c r="AM20" s="1418"/>
      <c r="AN20" s="1418"/>
      <c r="AO20" s="1418"/>
      <c r="AP20" s="1418"/>
      <c r="AQ20" s="1418"/>
    </row>
    <row s="8250" customFormat="1" customHeight="1" ht="17.25" hidden="1">
      <c r="A21" s="475"/>
      <c r="C21" s="474"/>
      <c r="D21" s="2210"/>
      <c r="E21" s="2212"/>
      <c r="F21" s="2214"/>
      <c r="G21" s="2212"/>
      <c r="H21" s="2217"/>
      <c r="I21" s="2219"/>
      <c r="J21" s="2222"/>
      <c r="K21" s="2204"/>
      <c r="L21" s="1456"/>
      <c r="M21" s="1456"/>
      <c r="N21" s="1456"/>
      <c r="O21" s="1456"/>
      <c r="P21" s="1456"/>
      <c r="Q21" s="1456"/>
      <c r="R21" s="1456"/>
      <c r="S21" s="483"/>
      <c r="T21" s="483"/>
      <c r="U21" s="483"/>
      <c r="V21" s="483"/>
      <c r="W21" s="1457"/>
      <c r="X21" s="1418"/>
      <c r="Y21" s="1418"/>
      <c r="Z21" s="1418"/>
      <c r="AA21" s="1418"/>
      <c r="AB21" s="1418"/>
      <c r="AC21" s="1418"/>
      <c r="AD21" s="1418"/>
      <c r="AE21" s="1418"/>
      <c r="AF21" s="1418"/>
      <c r="AG21" s="1418"/>
      <c r="AH21" s="1418"/>
      <c r="AI21" s="1418"/>
      <c r="AJ21" s="1418"/>
      <c r="AK21" s="1418"/>
      <c r="AL21" s="1418"/>
      <c r="AM21" s="1418"/>
      <c r="AN21" s="1418"/>
      <c r="AO21" s="1418"/>
      <c r="AP21" s="1418"/>
      <c r="AQ21" s="1418"/>
    </row>
    <row s="8250" customFormat="1" customHeight="1" ht="17.25" hidden="1">
      <c r="A22" s="475"/>
      <c r="C22" s="474"/>
      <c r="D22" s="2210"/>
      <c r="E22" s="2212"/>
      <c r="F22" s="2215"/>
      <c r="G22" s="2212"/>
      <c r="H22" s="1458"/>
      <c r="I22" s="1459"/>
      <c r="J22" s="1459"/>
      <c r="K22" s="1459"/>
      <c r="L22" s="1459"/>
      <c r="M22" s="1459"/>
      <c r="N22" s="1459"/>
      <c r="O22" s="1459"/>
      <c r="P22" s="1459"/>
      <c r="Q22" s="1459"/>
      <c r="R22" s="1459"/>
      <c r="S22" s="1460"/>
      <c r="T22" s="1460"/>
      <c r="U22" s="1460"/>
      <c r="V22" s="1460"/>
      <c r="W22" s="1461"/>
      <c r="X22" s="1418"/>
      <c r="Y22" s="1418"/>
      <c r="Z22" s="1418"/>
      <c r="AA22" s="1418"/>
      <c r="AB22" s="1418"/>
      <c r="AC22" s="1418"/>
      <c r="AD22" s="1418"/>
      <c r="AE22" s="1418"/>
      <c r="AF22" s="1418"/>
      <c r="AG22" s="1418"/>
      <c r="AH22" s="1418"/>
      <c r="AI22" s="1418"/>
      <c r="AJ22" s="1418"/>
      <c r="AK22" s="1418"/>
      <c r="AL22" s="1418"/>
      <c r="AM22" s="1418"/>
      <c r="AN22" s="1418"/>
      <c r="AO22" s="1418"/>
      <c r="AP22" s="1418"/>
      <c r="AQ22" s="1418"/>
    </row>
    <row s="8250" customFormat="1" customHeight="1" ht="17.25" hidden="1">
      <c r="A23" s="475"/>
      <c r="C23" s="363"/>
      <c r="D23" s="2209">
        <v>3</v>
      </c>
      <c r="E23" s="2211" t="s">
        <v>163</v>
      </c>
      <c r="F23" s="2213" t="s">
        <v>54</v>
      </c>
      <c r="G23" s="2211"/>
      <c r="H23" s="2216"/>
      <c r="I23" s="2218"/>
      <c r="J23" s="2220"/>
      <c r="K23" s="2203"/>
      <c r="L23" s="2203"/>
      <c r="M23" s="2203"/>
      <c r="N23" s="2205"/>
      <c r="O23" s="2203"/>
      <c r="P23" s="2203"/>
      <c r="Q23" s="2203"/>
      <c r="R23" s="2208"/>
      <c r="S23" s="2203"/>
      <c r="T23" s="1579"/>
      <c r="U23" s="1579"/>
      <c r="V23" s="1578"/>
      <c r="W23" s="1455"/>
      <c r="X23" s="1426"/>
      <c r="Y23" s="1426"/>
      <c r="Z23" s="1426"/>
      <c r="AA23" s="1426"/>
      <c r="AB23" s="1426"/>
      <c r="AC23" s="1426" t="s">
        <v>164</v>
      </c>
      <c r="AD23" s="1426" t="s">
        <v>165</v>
      </c>
      <c r="AE23" s="1426" t="s">
        <v>166</v>
      </c>
      <c r="AF23" s="1426" t="s">
        <v>167</v>
      </c>
      <c r="AG23" s="1426" t="s">
        <v>168</v>
      </c>
      <c r="AH23" s="1426" t="str">
        <f>IF($E$23=0,"",$E$23)</f>
        <v>Тарифы на теплоноситель, поставляемый теплоснабжающими организациями потребителям, другим теплоснабжающим организациям</v>
      </c>
      <c r="AI23" s="1426" t="str">
        <f>IF($G$23=0,"",$G$23)</f>
        <v/>
      </c>
      <c r="AJ23" s="1426" t="str">
        <f>IF($J$23=0,"",$J$23)</f>
        <v/>
      </c>
      <c r="AK23" s="1426" t="str">
        <f>IF($K$23="нет","без дифференциации",IF($N$23=0,"",$N$23))</f>
        <v/>
      </c>
      <c r="AL23" s="1426" t="str">
        <f>IF($O$23="нет","без дифференциации",IF($R$23=0,"",$R$23))</f>
        <v/>
      </c>
      <c r="AM23" s="1426" t="str">
        <f>IF($S$23="нет","без дифференциации",IF($V$23=0,"",$V$23))</f>
        <v/>
      </c>
      <c r="AN23" s="1931">
        <f>$I$23</f>
        <v>0</v>
      </c>
      <c r="AO23" s="1426" t="str">
        <f>$I$23&amp;"."&amp;$M$23</f>
        <v>.</v>
      </c>
      <c r="AP23" s="1418" t="str">
        <f>$I$23&amp;"."&amp;$M$23&amp;"."&amp;$Q$23</f>
        <v>..</v>
      </c>
      <c r="AQ23" s="1418" t="str">
        <f>$I$23&amp;"."&amp;$M$23&amp;"."&amp;$Q$23&amp;"."&amp;$U$23</f>
        <v>...</v>
      </c>
    </row>
    <row s="8250" customFormat="1" customHeight="1" ht="17.25" hidden="1">
      <c r="A24" s="475"/>
      <c r="C24" s="474"/>
      <c r="D24" s="2209"/>
      <c r="E24" s="2211"/>
      <c r="F24" s="2214"/>
      <c r="G24" s="2211"/>
      <c r="H24" s="2217"/>
      <c r="I24" s="2219"/>
      <c r="J24" s="2221"/>
      <c r="K24" s="2204"/>
      <c r="L24" s="2204"/>
      <c r="M24" s="2204"/>
      <c r="N24" s="2206"/>
      <c r="O24" s="2204"/>
      <c r="P24" s="2204"/>
      <c r="Q24" s="2204"/>
      <c r="R24" s="2207"/>
      <c r="S24" s="2204"/>
      <c r="T24" s="1456"/>
      <c r="U24" s="1456"/>
      <c r="V24" s="1456"/>
      <c r="W24" s="1457"/>
      <c r="X24" s="1418"/>
      <c r="Y24" s="1418"/>
      <c r="Z24" s="1418"/>
      <c r="AA24" s="1418"/>
      <c r="AB24" s="1418"/>
      <c r="AC24" s="1418"/>
      <c r="AD24" s="1418"/>
      <c r="AE24" s="1418"/>
      <c r="AF24" s="1418"/>
      <c r="AG24" s="1418"/>
      <c r="AH24" s="1418"/>
      <c r="AI24" s="1418"/>
      <c r="AJ24" s="1418"/>
      <c r="AK24" s="1418"/>
      <c r="AL24" s="1418"/>
      <c r="AM24" s="1418"/>
      <c r="AN24" s="1418"/>
      <c r="AO24" s="1418"/>
      <c r="AP24" s="1418"/>
      <c r="AQ24" s="1418"/>
    </row>
    <row s="8250" customFormat="1" customHeight="1" ht="17.25" hidden="1">
      <c r="A25" s="475"/>
      <c r="C25" s="474"/>
      <c r="D25" s="2210"/>
      <c r="E25" s="2212"/>
      <c r="F25" s="2214"/>
      <c r="G25" s="2212"/>
      <c r="H25" s="2217"/>
      <c r="I25" s="2219"/>
      <c r="J25" s="2222"/>
      <c r="K25" s="2204"/>
      <c r="L25" s="2204"/>
      <c r="M25" s="2204"/>
      <c r="N25" s="2207"/>
      <c r="O25" s="2204"/>
      <c r="P25" s="1577"/>
      <c r="Q25" s="1456"/>
      <c r="R25" s="1456"/>
      <c r="S25" s="483"/>
      <c r="T25" s="483"/>
      <c r="U25" s="483"/>
      <c r="V25" s="483"/>
      <c r="W25" s="1457"/>
      <c r="X25" s="1418"/>
      <c r="Y25" s="1418"/>
      <c r="Z25" s="1418"/>
      <c r="AA25" s="1418"/>
      <c r="AB25" s="1418"/>
      <c r="AC25" s="1418"/>
      <c r="AD25" s="1418"/>
      <c r="AE25" s="1418"/>
      <c r="AF25" s="1418"/>
      <c r="AG25" s="1418"/>
      <c r="AH25" s="1418"/>
      <c r="AI25" s="1418"/>
      <c r="AJ25" s="1418"/>
      <c r="AK25" s="1418"/>
      <c r="AL25" s="1418"/>
      <c r="AM25" s="1418"/>
      <c r="AN25" s="1418"/>
      <c r="AO25" s="1418"/>
      <c r="AP25" s="1418"/>
      <c r="AQ25" s="1418"/>
    </row>
    <row s="8250" customFormat="1" customHeight="1" ht="17.25" hidden="1">
      <c r="A26" s="475"/>
      <c r="C26" s="474"/>
      <c r="D26" s="2210"/>
      <c r="E26" s="2212"/>
      <c r="F26" s="2214"/>
      <c r="G26" s="2212"/>
      <c r="H26" s="2217"/>
      <c r="I26" s="2219"/>
      <c r="J26" s="2222"/>
      <c r="K26" s="2204"/>
      <c r="L26" s="1456"/>
      <c r="M26" s="1456"/>
      <c r="N26" s="1456"/>
      <c r="O26" s="1456"/>
      <c r="P26" s="1456"/>
      <c r="Q26" s="1456"/>
      <c r="R26" s="1456"/>
      <c r="S26" s="483"/>
      <c r="T26" s="483"/>
      <c r="U26" s="483"/>
      <c r="V26" s="483"/>
      <c r="W26" s="1457"/>
      <c r="X26" s="1418"/>
      <c r="Y26" s="1418"/>
      <c r="Z26" s="1418"/>
      <c r="AA26" s="1418"/>
      <c r="AB26" s="1418"/>
      <c r="AC26" s="1418"/>
      <c r="AD26" s="1418"/>
      <c r="AE26" s="1418"/>
      <c r="AF26" s="1418"/>
      <c r="AG26" s="1418"/>
      <c r="AH26" s="1418"/>
      <c r="AI26" s="1418"/>
      <c r="AJ26" s="1418"/>
      <c r="AK26" s="1418"/>
      <c r="AL26" s="1418"/>
      <c r="AM26" s="1418"/>
      <c r="AN26" s="1418"/>
      <c r="AO26" s="1418"/>
      <c r="AP26" s="1418"/>
      <c r="AQ26" s="1418"/>
    </row>
    <row s="8250" customFormat="1" customHeight="1" ht="17.25" hidden="1">
      <c r="A27" s="475"/>
      <c r="C27" s="474"/>
      <c r="D27" s="2210"/>
      <c r="E27" s="2212"/>
      <c r="F27" s="2215"/>
      <c r="G27" s="2212"/>
      <c r="H27" s="1458"/>
      <c r="I27" s="1459"/>
      <c r="J27" s="1459"/>
      <c r="K27" s="1459"/>
      <c r="L27" s="1459"/>
      <c r="M27" s="1459"/>
      <c r="N27" s="1459"/>
      <c r="O27" s="1459"/>
      <c r="P27" s="1459"/>
      <c r="Q27" s="1459"/>
      <c r="R27" s="1459"/>
      <c r="S27" s="1460"/>
      <c r="T27" s="1460"/>
      <c r="U27" s="1460"/>
      <c r="V27" s="1460"/>
      <c r="W27" s="1461"/>
      <c r="X27" s="1418"/>
      <c r="Y27" s="1418"/>
      <c r="Z27" s="1418"/>
      <c r="AA27" s="1418"/>
      <c r="AB27" s="1418"/>
      <c r="AC27" s="1418"/>
      <c r="AD27" s="1418"/>
      <c r="AE27" s="1418"/>
      <c r="AF27" s="1418"/>
      <c r="AG27" s="1418"/>
      <c r="AH27" s="1418"/>
      <c r="AI27" s="1418"/>
      <c r="AJ27" s="1418"/>
      <c r="AK27" s="1418"/>
      <c r="AL27" s="1418"/>
      <c r="AM27" s="1418"/>
      <c r="AN27" s="1418"/>
      <c r="AO27" s="1418"/>
      <c r="AP27" s="1418"/>
      <c r="AQ27" s="1418"/>
    </row>
    <row s="8250" customFormat="1" customHeight="1" ht="17.25" hidden="1">
      <c r="A28" s="475"/>
      <c r="C28" s="363"/>
      <c r="D28" s="2209">
        <v>4</v>
      </c>
      <c r="E28" s="2211" t="s">
        <v>169</v>
      </c>
      <c r="F28" s="2213" t="s">
        <v>54</v>
      </c>
      <c r="G28" s="2211"/>
      <c r="H28" s="2216"/>
      <c r="I28" s="2218"/>
      <c r="J28" s="2220"/>
      <c r="K28" s="2203"/>
      <c r="L28" s="2203"/>
      <c r="M28" s="2203"/>
      <c r="N28" s="2205"/>
      <c r="O28" s="2203"/>
      <c r="P28" s="2203"/>
      <c r="Q28" s="2203"/>
      <c r="R28" s="2208"/>
      <c r="S28" s="2203"/>
      <c r="T28" s="1579"/>
      <c r="U28" s="1579"/>
      <c r="V28" s="1578"/>
      <c r="W28" s="1455"/>
      <c r="X28" s="1426"/>
      <c r="Y28" s="1426"/>
      <c r="Z28" s="1426"/>
      <c r="AA28" s="1426"/>
      <c r="AB28" s="1426"/>
      <c r="AC28" s="1426" t="s">
        <v>170</v>
      </c>
      <c r="AD28" s="1426" t="s">
        <v>171</v>
      </c>
      <c r="AE28" s="1426" t="s">
        <v>172</v>
      </c>
      <c r="AF28" s="1426" t="s">
        <v>173</v>
      </c>
      <c r="AG28" s="1426" t="s">
        <v>174</v>
      </c>
      <c r="AH28" s="1426" t="str">
        <f>IF($E$28=0,"",$E$28)</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AI28" s="1426" t="str">
        <f>IF($G$28=0,"",$G$28)</f>
        <v/>
      </c>
      <c r="AJ28" s="1426" t="str">
        <f>IF($J$28=0,"",$J$28)</f>
        <v/>
      </c>
      <c r="AK28" s="1426" t="str">
        <f>IF($K$28="нет","без дифференциации",IF($N$28=0,"",$N$28))</f>
        <v/>
      </c>
      <c r="AL28" s="1426" t="str">
        <f>IF($O$28="нет","без дифференциации",IF($R$28=0,"",$R$28))</f>
        <v/>
      </c>
      <c r="AM28" s="1426" t="str">
        <f>IF($S$28="нет","без дифференциации",IF($V$28=0,"",$V$28))</f>
        <v/>
      </c>
      <c r="AN28" s="1931">
        <f>$I$28</f>
        <v>0</v>
      </c>
      <c r="AO28" s="1426" t="str">
        <f>$I$28&amp;"."&amp;$M$28</f>
        <v>.</v>
      </c>
      <c r="AP28" s="1418" t="str">
        <f>$I$28&amp;"."&amp;$M$28&amp;"."&amp;$Q$28</f>
        <v>..</v>
      </c>
      <c r="AQ28" s="1418" t="str">
        <f>$I$28&amp;"."&amp;$M$28&amp;"."&amp;$Q$28&amp;"."&amp;$U$28</f>
        <v>...</v>
      </c>
    </row>
    <row s="8250" customFormat="1" customHeight="1" ht="17.25" hidden="1">
      <c r="A29" s="475"/>
      <c r="C29" s="474"/>
      <c r="D29" s="2209"/>
      <c r="E29" s="2211"/>
      <c r="F29" s="2214"/>
      <c r="G29" s="2211"/>
      <c r="H29" s="2217"/>
      <c r="I29" s="2219"/>
      <c r="J29" s="2221"/>
      <c r="K29" s="2204"/>
      <c r="L29" s="2204"/>
      <c r="M29" s="2204"/>
      <c r="N29" s="2206"/>
      <c r="O29" s="2204"/>
      <c r="P29" s="2204"/>
      <c r="Q29" s="2204"/>
      <c r="R29" s="2207"/>
      <c r="S29" s="2204"/>
      <c r="T29" s="1456"/>
      <c r="U29" s="1456"/>
      <c r="V29" s="1456"/>
      <c r="W29" s="1457"/>
      <c r="X29" s="1418"/>
      <c r="Y29" s="1418"/>
      <c r="Z29" s="1418"/>
      <c r="AA29" s="1418"/>
      <c r="AB29" s="1418"/>
      <c r="AC29" s="1418"/>
      <c r="AD29" s="1418"/>
      <c r="AE29" s="1418"/>
      <c r="AF29" s="1418"/>
      <c r="AG29" s="1418"/>
      <c r="AH29" s="1418"/>
      <c r="AI29" s="1418"/>
      <c r="AJ29" s="1418"/>
      <c r="AK29" s="1418"/>
      <c r="AL29" s="1418"/>
      <c r="AM29" s="1418"/>
      <c r="AN29" s="1418"/>
      <c r="AO29" s="1418"/>
      <c r="AP29" s="1418"/>
      <c r="AQ29" s="1418"/>
    </row>
    <row s="8250" customFormat="1" customHeight="1" ht="17.25" hidden="1">
      <c r="A30" s="475"/>
      <c r="C30" s="474"/>
      <c r="D30" s="2210"/>
      <c r="E30" s="2212"/>
      <c r="F30" s="2214"/>
      <c r="G30" s="2212"/>
      <c r="H30" s="2217"/>
      <c r="I30" s="2219"/>
      <c r="J30" s="2222"/>
      <c r="K30" s="2204"/>
      <c r="L30" s="2204"/>
      <c r="M30" s="2204"/>
      <c r="N30" s="2207"/>
      <c r="O30" s="2204"/>
      <c r="P30" s="1577"/>
      <c r="Q30" s="1456"/>
      <c r="R30" s="1456"/>
      <c r="S30" s="483"/>
      <c r="T30" s="483"/>
      <c r="U30" s="483"/>
      <c r="V30" s="483"/>
      <c r="W30" s="1457"/>
      <c r="X30" s="1418"/>
      <c r="Y30" s="1418"/>
      <c r="Z30" s="1418"/>
      <c r="AA30" s="1418"/>
      <c r="AB30" s="1418"/>
      <c r="AC30" s="1418"/>
      <c r="AD30" s="1418"/>
      <c r="AE30" s="1418"/>
      <c r="AF30" s="1418"/>
      <c r="AG30" s="1418"/>
      <c r="AH30" s="1418"/>
      <c r="AI30" s="1418"/>
      <c r="AJ30" s="1418"/>
      <c r="AK30" s="1418"/>
      <c r="AL30" s="1418"/>
      <c r="AM30" s="1418"/>
      <c r="AN30" s="1418"/>
      <c r="AO30" s="1418"/>
      <c r="AP30" s="1418"/>
      <c r="AQ30" s="1418"/>
    </row>
    <row s="8250" customFormat="1" customHeight="1" ht="17.25" hidden="1">
      <c r="A31" s="475"/>
      <c r="C31" s="474"/>
      <c r="D31" s="2210"/>
      <c r="E31" s="2212"/>
      <c r="F31" s="2214"/>
      <c r="G31" s="2212"/>
      <c r="H31" s="2217"/>
      <c r="I31" s="2219"/>
      <c r="J31" s="2222"/>
      <c r="K31" s="2204"/>
      <c r="L31" s="1456"/>
      <c r="M31" s="1456"/>
      <c r="N31" s="1456"/>
      <c r="O31" s="1456"/>
      <c r="P31" s="1456"/>
      <c r="Q31" s="1456"/>
      <c r="R31" s="1456"/>
      <c r="S31" s="483"/>
      <c r="T31" s="483"/>
      <c r="U31" s="483"/>
      <c r="V31" s="483"/>
      <c r="W31" s="1457"/>
      <c r="X31" s="1418"/>
      <c r="Y31" s="1418"/>
      <c r="Z31" s="1418"/>
      <c r="AA31" s="1418"/>
      <c r="AB31" s="1418"/>
      <c r="AC31" s="1418"/>
      <c r="AD31" s="1418"/>
      <c r="AE31" s="1418"/>
      <c r="AF31" s="1418"/>
      <c r="AG31" s="1418"/>
      <c r="AH31" s="1418"/>
      <c r="AI31" s="1418"/>
      <c r="AJ31" s="1418"/>
      <c r="AK31" s="1418"/>
      <c r="AL31" s="1418"/>
      <c r="AM31" s="1418"/>
      <c r="AN31" s="1418"/>
      <c r="AO31" s="1418"/>
      <c r="AP31" s="1418"/>
      <c r="AQ31" s="1418"/>
    </row>
    <row s="8250" customFormat="1" customHeight="1" ht="17.25" hidden="1">
      <c r="A32" s="475"/>
      <c r="C32" s="474"/>
      <c r="D32" s="2210"/>
      <c r="E32" s="2212"/>
      <c r="F32" s="2215"/>
      <c r="G32" s="2212"/>
      <c r="H32" s="1458"/>
      <c r="I32" s="1459"/>
      <c r="J32" s="1459"/>
      <c r="K32" s="1459"/>
      <c r="L32" s="1459"/>
      <c r="M32" s="1459"/>
      <c r="N32" s="1459"/>
      <c r="O32" s="1459"/>
      <c r="P32" s="1459"/>
      <c r="Q32" s="1459"/>
      <c r="R32" s="1459"/>
      <c r="S32" s="1460"/>
      <c r="T32" s="1460"/>
      <c r="U32" s="1460"/>
      <c r="V32" s="1460"/>
      <c r="W32" s="1461"/>
      <c r="X32" s="1418"/>
      <c r="Y32" s="1418"/>
      <c r="Z32" s="1418"/>
      <c r="AA32" s="1418"/>
      <c r="AB32" s="1418"/>
      <c r="AC32" s="1418"/>
      <c r="AD32" s="1418"/>
      <c r="AE32" s="1418"/>
      <c r="AF32" s="1418"/>
      <c r="AG32" s="1418"/>
      <c r="AH32" s="1418"/>
      <c r="AI32" s="1418"/>
      <c r="AJ32" s="1418"/>
      <c r="AK32" s="1418"/>
      <c r="AL32" s="1418"/>
      <c r="AM32" s="1418"/>
      <c r="AN32" s="1418"/>
      <c r="AO32" s="1418"/>
      <c r="AP32" s="1418"/>
      <c r="AQ32" s="1418"/>
    </row>
    <row s="8250" customFormat="1" customHeight="1" ht="17.25" hidden="1">
      <c r="A33" s="475"/>
      <c r="C33" s="363"/>
      <c r="D33" s="2209">
        <v>5</v>
      </c>
      <c r="E33" s="2211" t="s">
        <v>175</v>
      </c>
      <c r="F33" s="2213" t="s">
        <v>54</v>
      </c>
      <c r="G33" s="2211"/>
      <c r="H33" s="2216"/>
      <c r="I33" s="2218"/>
      <c r="J33" s="2220"/>
      <c r="K33" s="2203"/>
      <c r="L33" s="2203"/>
      <c r="M33" s="2203"/>
      <c r="N33" s="2205"/>
      <c r="O33" s="2203"/>
      <c r="P33" s="2203"/>
      <c r="Q33" s="2203"/>
      <c r="R33" s="2208"/>
      <c r="S33" s="2203"/>
      <c r="T33" s="1579"/>
      <c r="U33" s="1579"/>
      <c r="V33" s="1578"/>
      <c r="W33" s="1455"/>
      <c r="X33" s="1426"/>
      <c r="Y33" s="1426"/>
      <c r="Z33" s="1426"/>
      <c r="AA33" s="1426"/>
      <c r="AB33" s="1426"/>
      <c r="AC33" s="1426" t="s">
        <v>176</v>
      </c>
      <c r="AD33" s="1426" t="s">
        <v>177</v>
      </c>
      <c r="AE33" s="1426" t="s">
        <v>178</v>
      </c>
      <c r="AF33" s="1426" t="s">
        <v>179</v>
      </c>
      <c r="AG33" s="1426" t="s">
        <v>180</v>
      </c>
      <c r="AH33" s="1426" t="str">
        <f>IF($E$33=0,"",$E$33)</f>
        <v>Тарифы на услуги по передаче тепловой энергии</v>
      </c>
      <c r="AI33" s="1426" t="str">
        <f>IF($G$33=0,"",$G$33)</f>
        <v/>
      </c>
      <c r="AJ33" s="1426" t="str">
        <f>IF($J$33=0,"",$J$33)</f>
        <v/>
      </c>
      <c r="AK33" s="1426" t="str">
        <f>IF($K$33="нет","без дифференциации",IF($N$33=0,"",$N$33))</f>
        <v/>
      </c>
      <c r="AL33" s="1426" t="str">
        <f>IF($O$33="нет","без дифференциации",IF($R$33=0,"",$R$33))</f>
        <v/>
      </c>
      <c r="AM33" s="1426" t="str">
        <f>IF($S$33="нет","без дифференциации",IF($V$33=0,"",$V$33))</f>
        <v/>
      </c>
      <c r="AN33" s="1931">
        <f>$I$33</f>
        <v>0</v>
      </c>
      <c r="AO33" s="1426" t="str">
        <f>$I$33&amp;"."&amp;$M$33</f>
        <v>.</v>
      </c>
      <c r="AP33" s="1418" t="str">
        <f>$I$33&amp;"."&amp;$M$33&amp;"."&amp;$Q$33</f>
        <v>..</v>
      </c>
      <c r="AQ33" s="1418" t="str">
        <f>$I$33&amp;"."&amp;$M$33&amp;"."&amp;$Q$33&amp;"."&amp;$U$33</f>
        <v>...</v>
      </c>
    </row>
    <row s="8250" customFormat="1" customHeight="1" ht="17.25" hidden="1">
      <c r="A34" s="475"/>
      <c r="C34" s="474"/>
      <c r="D34" s="2209"/>
      <c r="E34" s="2211"/>
      <c r="F34" s="2214"/>
      <c r="G34" s="2211"/>
      <c r="H34" s="2217"/>
      <c r="I34" s="2219"/>
      <c r="J34" s="2221"/>
      <c r="K34" s="2204"/>
      <c r="L34" s="2204"/>
      <c r="M34" s="2204"/>
      <c r="N34" s="2206"/>
      <c r="O34" s="2204"/>
      <c r="P34" s="2204"/>
      <c r="Q34" s="2204"/>
      <c r="R34" s="2207"/>
      <c r="S34" s="2204"/>
      <c r="T34" s="1456"/>
      <c r="U34" s="1456"/>
      <c r="V34" s="1456"/>
      <c r="W34" s="1457"/>
      <c r="X34" s="1418"/>
      <c r="Y34" s="1418"/>
      <c r="Z34" s="1418"/>
      <c r="AA34" s="1418"/>
      <c r="AB34" s="1418"/>
      <c r="AC34" s="1418"/>
      <c r="AD34" s="1418"/>
      <c r="AE34" s="1418"/>
      <c r="AF34" s="1418"/>
      <c r="AG34" s="1418"/>
      <c r="AH34" s="1418"/>
      <c r="AI34" s="1418"/>
      <c r="AJ34" s="1418"/>
      <c r="AK34" s="1418"/>
      <c r="AL34" s="1418"/>
      <c r="AM34" s="1418"/>
      <c r="AN34" s="1418"/>
      <c r="AO34" s="1418"/>
      <c r="AP34" s="1418"/>
      <c r="AQ34" s="1418"/>
    </row>
    <row s="8250" customFormat="1" customHeight="1" ht="17.25" hidden="1">
      <c r="A35" s="475"/>
      <c r="C35" s="474"/>
      <c r="D35" s="2210"/>
      <c r="E35" s="2212"/>
      <c r="F35" s="2214"/>
      <c r="G35" s="2212"/>
      <c r="H35" s="2217"/>
      <c r="I35" s="2219"/>
      <c r="J35" s="2222"/>
      <c r="K35" s="2204"/>
      <c r="L35" s="2204"/>
      <c r="M35" s="2204"/>
      <c r="N35" s="2207"/>
      <c r="O35" s="2204"/>
      <c r="P35" s="1577"/>
      <c r="Q35" s="1456"/>
      <c r="R35" s="1456"/>
      <c r="S35" s="483"/>
      <c r="T35" s="483"/>
      <c r="U35" s="483"/>
      <c r="V35" s="483"/>
      <c r="W35" s="1457"/>
      <c r="X35" s="1418"/>
      <c r="Y35" s="1418"/>
      <c r="Z35" s="1418"/>
      <c r="AA35" s="1418"/>
      <c r="AB35" s="1418"/>
      <c r="AC35" s="1418"/>
      <c r="AD35" s="1418"/>
      <c r="AE35" s="1418"/>
      <c r="AF35" s="1418"/>
      <c r="AG35" s="1418"/>
      <c r="AH35" s="1418"/>
      <c r="AI35" s="1418"/>
      <c r="AJ35" s="1418"/>
      <c r="AK35" s="1418"/>
      <c r="AL35" s="1418"/>
      <c r="AM35" s="1418"/>
      <c r="AN35" s="1418"/>
      <c r="AO35" s="1418"/>
      <c r="AP35" s="1418"/>
      <c r="AQ35" s="1418"/>
    </row>
    <row s="8250" customFormat="1" customHeight="1" ht="17.25" hidden="1">
      <c r="A36" s="475"/>
      <c r="C36" s="474"/>
      <c r="D36" s="2210"/>
      <c r="E36" s="2212"/>
      <c r="F36" s="2214"/>
      <c r="G36" s="2212"/>
      <c r="H36" s="2217"/>
      <c r="I36" s="2219"/>
      <c r="J36" s="2222"/>
      <c r="K36" s="2204"/>
      <c r="L36" s="1456"/>
      <c r="M36" s="1456"/>
      <c r="N36" s="1456"/>
      <c r="O36" s="1456"/>
      <c r="P36" s="1456"/>
      <c r="Q36" s="1456"/>
      <c r="R36" s="1456"/>
      <c r="S36" s="483"/>
      <c r="T36" s="483"/>
      <c r="U36" s="483"/>
      <c r="V36" s="483"/>
      <c r="W36" s="1457"/>
      <c r="X36" s="1418"/>
      <c r="Y36" s="1418"/>
      <c r="Z36" s="1418"/>
      <c r="AA36" s="1418"/>
      <c r="AB36" s="1418"/>
      <c r="AC36" s="1418"/>
      <c r="AD36" s="1418"/>
      <c r="AE36" s="1418"/>
      <c r="AF36" s="1418"/>
      <c r="AG36" s="1418"/>
      <c r="AH36" s="1418"/>
      <c r="AI36" s="1418"/>
      <c r="AJ36" s="1418"/>
      <c r="AK36" s="1418"/>
      <c r="AL36" s="1418"/>
      <c r="AM36" s="1418"/>
      <c r="AN36" s="1418"/>
      <c r="AO36" s="1418"/>
      <c r="AP36" s="1418"/>
      <c r="AQ36" s="1418"/>
    </row>
    <row s="8250" customFormat="1" customHeight="1" ht="17.25" hidden="1">
      <c r="A37" s="475"/>
      <c r="C37" s="474"/>
      <c r="D37" s="2210"/>
      <c r="E37" s="2212"/>
      <c r="F37" s="2215"/>
      <c r="G37" s="2212"/>
      <c r="H37" s="1458"/>
      <c r="I37" s="1459"/>
      <c r="J37" s="1459"/>
      <c r="K37" s="1459"/>
      <c r="L37" s="1459"/>
      <c r="M37" s="1459"/>
      <c r="N37" s="1459"/>
      <c r="O37" s="1459"/>
      <c r="P37" s="1459"/>
      <c r="Q37" s="1459"/>
      <c r="R37" s="1459"/>
      <c r="S37" s="1460"/>
      <c r="T37" s="1460"/>
      <c r="U37" s="1460"/>
      <c r="V37" s="1460"/>
      <c r="W37" s="1461"/>
      <c r="X37" s="1418"/>
      <c r="Y37" s="1418"/>
      <c r="Z37" s="1418"/>
      <c r="AA37" s="1418"/>
      <c r="AB37" s="1418"/>
      <c r="AC37" s="1418"/>
      <c r="AD37" s="1418"/>
      <c r="AE37" s="1418"/>
      <c r="AF37" s="1418"/>
      <c r="AG37" s="1418"/>
      <c r="AH37" s="1418"/>
      <c r="AI37" s="1418"/>
      <c r="AJ37" s="1418"/>
      <c r="AK37" s="1418"/>
      <c r="AL37" s="1418"/>
      <c r="AM37" s="1418"/>
      <c r="AN37" s="1418"/>
      <c r="AO37" s="1418"/>
      <c r="AP37" s="1418"/>
      <c r="AQ37" s="1418"/>
    </row>
    <row s="8250" customFormat="1" customHeight="1" ht="17.25" hidden="1">
      <c r="A38" s="475"/>
      <c r="C38" s="363"/>
      <c r="D38" s="2209">
        <v>6</v>
      </c>
      <c r="E38" s="2211" t="s">
        <v>181</v>
      </c>
      <c r="F38" s="2213" t="s">
        <v>54</v>
      </c>
      <c r="G38" s="2211"/>
      <c r="H38" s="2216"/>
      <c r="I38" s="2218"/>
      <c r="J38" s="2220"/>
      <c r="K38" s="2203"/>
      <c r="L38" s="2203"/>
      <c r="M38" s="2203"/>
      <c r="N38" s="2205"/>
      <c r="O38" s="2203"/>
      <c r="P38" s="2203"/>
      <c r="Q38" s="2203"/>
      <c r="R38" s="2208"/>
      <c r="S38" s="2203"/>
      <c r="T38" s="1579"/>
      <c r="U38" s="1579"/>
      <c r="V38" s="1578"/>
      <c r="W38" s="1455"/>
      <c r="X38" s="1426"/>
      <c r="Y38" s="1426"/>
      <c r="Z38" s="1426"/>
      <c r="AA38" s="1426"/>
      <c r="AB38" s="1426"/>
      <c r="AC38" s="1426" t="s">
        <v>182</v>
      </c>
      <c r="AD38" s="1426" t="s">
        <v>183</v>
      </c>
      <c r="AE38" s="1426" t="s">
        <v>184</v>
      </c>
      <c r="AF38" s="1426" t="s">
        <v>185</v>
      </c>
      <c r="AG38" s="1426" t="s">
        <v>186</v>
      </c>
      <c r="AH38" s="1426" t="str">
        <f>IF($E$38=0,"",$E$38)</f>
        <v>Тарифы на услуги по передаче теплоносителя</v>
      </c>
      <c r="AI38" s="1426" t="str">
        <f>IF($G$38=0,"",$G$38)</f>
        <v/>
      </c>
      <c r="AJ38" s="1426" t="str">
        <f>IF($J$38=0,"",$J$38)</f>
        <v/>
      </c>
      <c r="AK38" s="1426" t="str">
        <f>IF($K$38="нет","без дифференциации",IF($N$38=0,"",$N$38))</f>
        <v/>
      </c>
      <c r="AL38" s="1426" t="str">
        <f>IF($O$38="нет","без дифференциации",IF($R$38=0,"",$R$38))</f>
        <v/>
      </c>
      <c r="AM38" s="1426" t="str">
        <f>IF($S$38="нет","без дифференциации",IF($V$38=0,"",$V$38))</f>
        <v/>
      </c>
      <c r="AN38" s="1931">
        <f>$I$38</f>
        <v>0</v>
      </c>
      <c r="AO38" s="1426" t="str">
        <f>$I$38&amp;"."&amp;$M$38</f>
        <v>.</v>
      </c>
      <c r="AP38" s="1418" t="str">
        <f>$I$38&amp;"."&amp;$M$38&amp;"."&amp;$Q$38</f>
        <v>..</v>
      </c>
      <c r="AQ38" s="1418" t="str">
        <f>$I$38&amp;"."&amp;$M$38&amp;"."&amp;$Q$38&amp;"."&amp;$U$38</f>
        <v>...</v>
      </c>
    </row>
    <row s="8250" customFormat="1" customHeight="1" ht="17.25" hidden="1">
      <c r="A39" s="475"/>
      <c r="C39" s="474"/>
      <c r="D39" s="2209"/>
      <c r="E39" s="2211"/>
      <c r="F39" s="2214"/>
      <c r="G39" s="2211"/>
      <c r="H39" s="2217"/>
      <c r="I39" s="2219"/>
      <c r="J39" s="2221"/>
      <c r="K39" s="2204"/>
      <c r="L39" s="2204"/>
      <c r="M39" s="2204"/>
      <c r="N39" s="2206"/>
      <c r="O39" s="2204"/>
      <c r="P39" s="2204"/>
      <c r="Q39" s="2204"/>
      <c r="R39" s="2207"/>
      <c r="S39" s="2204"/>
      <c r="T39" s="1456"/>
      <c r="U39" s="1456"/>
      <c r="V39" s="1456"/>
      <c r="W39" s="1457"/>
      <c r="X39" s="1418"/>
      <c r="Y39" s="1418"/>
      <c r="Z39" s="1418"/>
      <c r="AA39" s="1418"/>
      <c r="AB39" s="1418"/>
      <c r="AC39" s="1418"/>
      <c r="AD39" s="1418"/>
      <c r="AE39" s="1418"/>
      <c r="AF39" s="1418"/>
      <c r="AG39" s="1418"/>
      <c r="AH39" s="1418"/>
      <c r="AI39" s="1418"/>
      <c r="AJ39" s="1418"/>
      <c r="AK39" s="1418"/>
      <c r="AL39" s="1418"/>
      <c r="AM39" s="1418"/>
      <c r="AN39" s="1418"/>
      <c r="AO39" s="1418"/>
      <c r="AP39" s="1418"/>
      <c r="AQ39" s="1418"/>
    </row>
    <row s="8250" customFormat="1" customHeight="1" ht="17.25" hidden="1">
      <c r="A40" s="475"/>
      <c r="C40" s="474"/>
      <c r="D40" s="2210"/>
      <c r="E40" s="2212"/>
      <c r="F40" s="2214"/>
      <c r="G40" s="2212"/>
      <c r="H40" s="2217"/>
      <c r="I40" s="2219"/>
      <c r="J40" s="2222"/>
      <c r="K40" s="2204"/>
      <c r="L40" s="2204"/>
      <c r="M40" s="2204"/>
      <c r="N40" s="2207"/>
      <c r="O40" s="2204"/>
      <c r="P40" s="1577"/>
      <c r="Q40" s="1456"/>
      <c r="R40" s="1456"/>
      <c r="S40" s="483"/>
      <c r="T40" s="483"/>
      <c r="U40" s="483"/>
      <c r="V40" s="483"/>
      <c r="W40" s="1457"/>
      <c r="X40" s="1418"/>
      <c r="Y40" s="1418"/>
      <c r="Z40" s="1418"/>
      <c r="AA40" s="1418"/>
      <c r="AB40" s="1418"/>
      <c r="AC40" s="1418"/>
      <c r="AD40" s="1418"/>
      <c r="AE40" s="1418"/>
      <c r="AF40" s="1418"/>
      <c r="AG40" s="1418"/>
      <c r="AH40" s="1418"/>
      <c r="AI40" s="1418"/>
      <c r="AJ40" s="1418"/>
      <c r="AK40" s="1418"/>
      <c r="AL40" s="1418"/>
      <c r="AM40" s="1418"/>
      <c r="AN40" s="1418"/>
      <c r="AO40" s="1418"/>
      <c r="AP40" s="1418"/>
      <c r="AQ40" s="1418"/>
    </row>
    <row s="8252" customFormat="1" customHeight="1" ht="17.25" hidden="1">
      <c r="A41" s="475"/>
      <c r="C41" s="363"/>
      <c r="D41" s="2210"/>
      <c r="E41" s="2212"/>
      <c r="F41" s="2214"/>
      <c r="G41" s="2212"/>
      <c r="H41" s="2217"/>
      <c r="I41" s="2219"/>
      <c r="J41" s="2222"/>
      <c r="K41" s="2204"/>
      <c r="L41" s="1456"/>
      <c r="M41" s="1456"/>
      <c r="N41" s="1456"/>
      <c r="O41" s="1456"/>
      <c r="P41" s="1456"/>
      <c r="Q41" s="1456"/>
      <c r="R41" s="1456"/>
      <c r="S41" s="483"/>
      <c r="T41" s="483"/>
      <c r="U41" s="483"/>
      <c r="V41" s="483"/>
      <c r="W41" s="1457"/>
      <c r="Y41" s="1426"/>
      <c r="Z41" s="1426"/>
      <c r="AA41" s="1426"/>
      <c r="AB41" s="1426"/>
      <c r="AC41" s="1426"/>
      <c r="AD41" s="1426"/>
      <c r="AE41" s="1426"/>
      <c r="AF41" s="1426"/>
      <c r="AG41" s="1426"/>
      <c r="AH41" s="1426"/>
      <c r="AI41" s="1426"/>
      <c r="AJ41" s="1426"/>
      <c r="AK41" s="1426"/>
      <c r="AL41" s="1426"/>
      <c r="AM41" s="1426"/>
      <c r="AN41" s="1426"/>
      <c r="AO41" s="1426"/>
      <c r="AP41" s="1426"/>
      <c r="AQ41" s="1426"/>
    </row>
    <row s="8250" customFormat="1" customHeight="1" ht="17.25" hidden="1">
      <c r="A42" s="475"/>
      <c r="C42" s="474"/>
      <c r="D42" s="2210"/>
      <c r="E42" s="2212"/>
      <c r="F42" s="2215"/>
      <c r="G42" s="2212"/>
      <c r="H42" s="1458"/>
      <c r="I42" s="1459"/>
      <c r="J42" s="1459"/>
      <c r="K42" s="1459"/>
      <c r="L42" s="1459"/>
      <c r="M42" s="1459"/>
      <c r="N42" s="1459"/>
      <c r="O42" s="1459"/>
      <c r="P42" s="1459"/>
      <c r="Q42" s="1459"/>
      <c r="R42" s="1459"/>
      <c r="S42" s="1460"/>
      <c r="T42" s="1460"/>
      <c r="U42" s="1460"/>
      <c r="V42" s="1460"/>
      <c r="W42" s="1461"/>
      <c r="X42" s="1418"/>
      <c r="Y42" s="1418"/>
      <c r="Z42" s="1418"/>
      <c r="AA42" s="1418"/>
      <c r="AB42" s="1418"/>
      <c r="AC42" s="1418"/>
      <c r="AD42" s="1418"/>
      <c r="AE42" s="1418"/>
      <c r="AF42" s="1418"/>
      <c r="AG42" s="1418"/>
      <c r="AH42" s="1418"/>
      <c r="AI42" s="1418"/>
      <c r="AJ42" s="1418"/>
      <c r="AK42" s="1418"/>
      <c r="AL42" s="1418"/>
      <c r="AM42" s="1418"/>
      <c r="AN42" s="1418"/>
      <c r="AO42" s="1418"/>
      <c r="AP42" s="1418"/>
      <c r="AQ42" s="1418"/>
    </row>
    <row s="8253" customFormat="1" customHeight="1" ht="17.25" hidden="1">
      <c r="A43" s="475"/>
      <c r="C43" s="363"/>
      <c r="D43" s="2226">
        <v>7</v>
      </c>
      <c r="E43" s="2229" t="s">
        <v>187</v>
      </c>
      <c r="F43" s="2213" t="s">
        <v>54</v>
      </c>
      <c r="G43" s="2229"/>
      <c r="H43" s="2216"/>
      <c r="I43" s="2218"/>
      <c r="J43" s="2220"/>
      <c r="K43" s="2203"/>
      <c r="L43" s="2203"/>
      <c r="M43" s="2203"/>
      <c r="N43" s="2205"/>
      <c r="O43" s="2203"/>
      <c r="P43" s="2203"/>
      <c r="Q43" s="2203"/>
      <c r="R43" s="2208"/>
      <c r="S43" s="2203"/>
      <c r="T43" s="1579"/>
      <c r="U43" s="1579"/>
      <c r="V43" s="1578"/>
      <c r="W43" s="1455"/>
      <c r="X43" s="1426"/>
      <c r="Y43" s="1426"/>
      <c r="Z43" s="1426"/>
      <c r="AA43" s="1426"/>
      <c r="AB43" s="1426"/>
      <c r="AC43" s="1426" t="s">
        <v>188</v>
      </c>
      <c r="AD43" s="1426" t="s">
        <v>189</v>
      </c>
      <c r="AE43" s="1426" t="s">
        <v>190</v>
      </c>
      <c r="AF43" s="1426" t="s">
        <v>191</v>
      </c>
      <c r="AG43" s="1426" t="s">
        <v>192</v>
      </c>
      <c r="AH43" s="1426" t="str">
        <f>IF($E$43=0,"",$E$43)</f>
        <v>Плата за услуги по поддержанию резервной тепловой мощности при отсутствии потребления тепловой энергии</v>
      </c>
      <c r="AI43" s="1426" t="str">
        <f>IF($G$43=0,"",$G$43)</f>
        <v/>
      </c>
      <c r="AJ43" s="1426" t="str">
        <f>IF($J$43=0,"",$J$43)</f>
        <v/>
      </c>
      <c r="AK43" s="1426" t="str">
        <f>IF($K$43="нет","без дифференциации",IF($N$43=0,"",$N$43))</f>
        <v/>
      </c>
      <c r="AL43" s="1426" t="str">
        <f>IF($O$43="нет","без дифференциации",IF($R$43=0,"",$R$43))</f>
        <v/>
      </c>
      <c r="AM43" s="1426" t="str">
        <f>IF($S$43="нет","без дифференциации",IF($V$43=0,"",$V$43))</f>
        <v/>
      </c>
      <c r="AN43" s="1931">
        <f>$I$43</f>
        <v>0</v>
      </c>
      <c r="AO43" s="1426" t="str">
        <f>$I$43&amp;"."&amp;$M$43</f>
        <v>.</v>
      </c>
      <c r="AP43" s="1418" t="str">
        <f>$I$43&amp;"."&amp;$M$43&amp;"."&amp;$Q$43</f>
        <v>..</v>
      </c>
      <c r="AQ43" s="1418" t="str">
        <f>$I$43&amp;"."&amp;$M$43&amp;"."&amp;$Q$43&amp;"."&amp;$U$43</f>
        <v>...</v>
      </c>
    </row>
    <row s="8253" customFormat="1" customHeight="1" ht="17.25" hidden="1">
      <c r="A44" s="475"/>
      <c r="C44" s="474"/>
      <c r="D44" s="2227"/>
      <c r="E44" s="2230"/>
      <c r="F44" s="2214"/>
      <c r="G44" s="2230"/>
      <c r="H44" s="2217"/>
      <c r="I44" s="2219"/>
      <c r="J44" s="2221"/>
      <c r="K44" s="2204"/>
      <c r="L44" s="2204"/>
      <c r="M44" s="2204"/>
      <c r="N44" s="2206"/>
      <c r="O44" s="2204"/>
      <c r="P44" s="2204"/>
      <c r="Q44" s="2204"/>
      <c r="R44" s="2207"/>
      <c r="S44" s="2204"/>
      <c r="T44" s="1456"/>
      <c r="U44" s="1456"/>
      <c r="V44" s="1456"/>
      <c r="W44" s="1457"/>
      <c r="X44" s="1418"/>
      <c r="Y44" s="1418"/>
      <c r="Z44" s="1418"/>
      <c r="AA44" s="1418"/>
      <c r="AB44" s="1418"/>
      <c r="AC44" s="1418"/>
      <c r="AD44" s="1418"/>
      <c r="AE44" s="1418"/>
      <c r="AF44" s="1418"/>
      <c r="AG44" s="1418"/>
      <c r="AH44" s="1418"/>
      <c r="AI44" s="1418"/>
      <c r="AJ44" s="1418"/>
      <c r="AK44" s="1418"/>
      <c r="AL44" s="1418"/>
      <c r="AM44" s="1418"/>
      <c r="AN44" s="1418"/>
      <c r="AO44" s="1418"/>
      <c r="AP44" s="1418"/>
      <c r="AQ44" s="1418"/>
    </row>
    <row s="8253" customFormat="1" customHeight="1" ht="17.25" hidden="1">
      <c r="A45" s="475"/>
      <c r="C45" s="474"/>
      <c r="D45" s="2227"/>
      <c r="E45" s="2230"/>
      <c r="F45" s="2214"/>
      <c r="G45" s="2230"/>
      <c r="H45" s="2217"/>
      <c r="I45" s="2219"/>
      <c r="J45" s="2222"/>
      <c r="K45" s="2204"/>
      <c r="L45" s="2204"/>
      <c r="M45" s="2204"/>
      <c r="N45" s="2207"/>
      <c r="O45" s="2204"/>
      <c r="P45" s="1577"/>
      <c r="Q45" s="1456"/>
      <c r="R45" s="1456"/>
      <c r="S45" s="483"/>
      <c r="T45" s="483"/>
      <c r="U45" s="483"/>
      <c r="V45" s="483"/>
      <c r="W45" s="1457"/>
      <c r="X45" s="1418"/>
      <c r="Y45" s="1418"/>
      <c r="Z45" s="1418"/>
      <c r="AA45" s="1418"/>
      <c r="AB45" s="1418"/>
      <c r="AC45" s="1418"/>
      <c r="AD45" s="1418"/>
      <c r="AE45" s="1418"/>
      <c r="AF45" s="1418"/>
      <c r="AG45" s="1418"/>
      <c r="AH45" s="1418"/>
      <c r="AI45" s="1418"/>
      <c r="AJ45" s="1418"/>
      <c r="AK45" s="1418"/>
      <c r="AL45" s="1418"/>
      <c r="AM45" s="1418"/>
      <c r="AN45" s="1418"/>
      <c r="AO45" s="1418"/>
      <c r="AP45" s="1418"/>
      <c r="AQ45" s="1418"/>
    </row>
    <row s="8252" customFormat="1" customHeight="1" ht="17.25" hidden="1">
      <c r="A46" s="475"/>
      <c r="C46" s="363"/>
      <c r="D46" s="2227"/>
      <c r="E46" s="2230"/>
      <c r="F46" s="2214"/>
      <c r="G46" s="2230"/>
      <c r="H46" s="2217"/>
      <c r="I46" s="2219"/>
      <c r="J46" s="2222"/>
      <c r="K46" s="2204"/>
      <c r="L46" s="1456"/>
      <c r="M46" s="1456"/>
      <c r="N46" s="1456"/>
      <c r="O46" s="1456"/>
      <c r="P46" s="1456"/>
      <c r="Q46" s="1456"/>
      <c r="R46" s="1456"/>
      <c r="S46" s="483"/>
      <c r="T46" s="483"/>
      <c r="U46" s="483"/>
      <c r="V46" s="483"/>
      <c r="W46" s="1457"/>
      <c r="Y46" s="1426"/>
      <c r="Z46" s="1426"/>
      <c r="AA46" s="1426"/>
      <c r="AB46" s="1426"/>
      <c r="AC46" s="1426"/>
      <c r="AD46" s="1426"/>
      <c r="AE46" s="1426"/>
      <c r="AF46" s="1426"/>
      <c r="AG46" s="1426"/>
      <c r="AH46" s="1426"/>
      <c r="AI46" s="1426"/>
      <c r="AJ46" s="1426"/>
      <c r="AK46" s="1426"/>
      <c r="AL46" s="1426"/>
      <c r="AM46" s="1426"/>
      <c r="AN46" s="1426"/>
      <c r="AO46" s="1426"/>
      <c r="AP46" s="1426"/>
      <c r="AQ46" s="1426"/>
    </row>
    <row s="8253" customFormat="1" customHeight="1" ht="17.25" hidden="1">
      <c r="A47" s="475"/>
      <c r="C47" s="474"/>
      <c r="D47" s="2228"/>
      <c r="E47" s="2231"/>
      <c r="F47" s="2215"/>
      <c r="G47" s="2231"/>
      <c r="H47" s="1458"/>
      <c r="I47" s="1459"/>
      <c r="J47" s="1459"/>
      <c r="K47" s="1459"/>
      <c r="L47" s="1459"/>
      <c r="M47" s="1459"/>
      <c r="N47" s="1459"/>
      <c r="O47" s="1459"/>
      <c r="P47" s="1459"/>
      <c r="Q47" s="1459"/>
      <c r="R47" s="1459"/>
      <c r="S47" s="1460"/>
      <c r="T47" s="1460"/>
      <c r="U47" s="1460"/>
      <c r="V47" s="1460"/>
      <c r="W47" s="1461"/>
      <c r="X47" s="1418"/>
      <c r="Y47" s="1418"/>
      <c r="Z47" s="1418"/>
      <c r="AA47" s="1418"/>
      <c r="AB47" s="1418"/>
      <c r="AC47" s="1418"/>
      <c r="AD47" s="1418"/>
      <c r="AE47" s="1418"/>
      <c r="AF47" s="1418"/>
      <c r="AG47" s="1418"/>
      <c r="AH47" s="1418"/>
      <c r="AI47" s="1418"/>
      <c r="AJ47" s="1418"/>
      <c r="AK47" s="1418"/>
      <c r="AL47" s="1418"/>
      <c r="AM47" s="1418"/>
      <c r="AN47" s="1418"/>
      <c r="AO47" s="1418"/>
      <c r="AP47" s="1418"/>
      <c r="AQ47" s="1418"/>
    </row>
    <row s="8253" customFormat="1" customHeight="1" ht="17.25" hidden="1">
      <c r="A48" s="475"/>
      <c r="C48" s="363"/>
      <c r="D48" s="2209">
        <v>8</v>
      </c>
      <c r="E48" s="2211" t="s">
        <v>193</v>
      </c>
      <c r="F48" s="2213" t="s">
        <v>54</v>
      </c>
      <c r="G48" s="2211"/>
      <c r="H48" s="2216"/>
      <c r="I48" s="2218"/>
      <c r="J48" s="2220"/>
      <c r="K48" s="2203"/>
      <c r="L48" s="2203"/>
      <c r="M48" s="2203"/>
      <c r="N48" s="2205"/>
      <c r="O48" s="2203"/>
      <c r="P48" s="2203"/>
      <c r="Q48" s="2203"/>
      <c r="R48" s="2208"/>
      <c r="S48" s="2203"/>
      <c r="T48" s="1629"/>
      <c r="U48" s="1629"/>
      <c r="V48" s="1631"/>
      <c r="W48" s="1455"/>
      <c r="X48" s="1426"/>
      <c r="Y48" s="1426"/>
      <c r="Z48" s="1426"/>
      <c r="AA48" s="1426"/>
      <c r="AB48" s="1426"/>
      <c r="AC48" s="1426" t="s">
        <v>194</v>
      </c>
      <c r="AD48" s="1426" t="s">
        <v>195</v>
      </c>
      <c r="AE48" s="1426" t="s">
        <v>196</v>
      </c>
      <c r="AF48" s="1426" t="s">
        <v>197</v>
      </c>
      <c r="AG48" s="1426" t="s">
        <v>198</v>
      </c>
      <c r="AH48" s="1426" t="str">
        <f>IF($E$48=0,"",$E$48)</f>
        <v>Плата за подключение (технологическое присоединение) к системе теплоснабжения</v>
      </c>
      <c r="AI48" s="1426" t="str">
        <f>IF($G$48=0,"",$G$48)</f>
        <v/>
      </c>
      <c r="AJ48" s="1426" t="str">
        <f>IF($J$48=0,"",$J$48)</f>
        <v/>
      </c>
      <c r="AK48" s="1426" t="str">
        <f>IF($K$48="нет","без дифференциации",IF($N$48=0,"",$N$48))</f>
        <v/>
      </c>
      <c r="AL48" s="1426" t="str">
        <f>IF($O$48="нет","без дифференциации",IF($R$48=0,"",$R$48))</f>
        <v/>
      </c>
      <c r="AM48" s="1426" t="str">
        <f>IF($S$48="нет","без дифференциации",IF($V$48=0,"",$V$48))</f>
        <v/>
      </c>
      <c r="AN48" s="1931">
        <f>$I$48</f>
        <v>0</v>
      </c>
      <c r="AO48" s="1426" t="str">
        <f>$I$48&amp;"."&amp;$M$48</f>
        <v>.</v>
      </c>
      <c r="AP48" s="1418" t="str">
        <f>$I$48&amp;"."&amp;$M$48&amp;"."&amp;$Q$48</f>
        <v>..</v>
      </c>
      <c r="AQ48" s="1418" t="str">
        <f>$I$48&amp;"."&amp;$M$48&amp;"."&amp;$Q$48&amp;"."&amp;$U$48</f>
        <v>...</v>
      </c>
    </row>
    <row s="8253" customFormat="1" customHeight="1" ht="17.25" hidden="1">
      <c r="A49" s="475"/>
      <c r="C49" s="474"/>
      <c r="D49" s="2209"/>
      <c r="E49" s="2211"/>
      <c r="F49" s="2214"/>
      <c r="G49" s="2211"/>
      <c r="H49" s="2217"/>
      <c r="I49" s="2219"/>
      <c r="J49" s="2221"/>
      <c r="K49" s="2204"/>
      <c r="L49" s="2204"/>
      <c r="M49" s="2204"/>
      <c r="N49" s="2206"/>
      <c r="O49" s="2204"/>
      <c r="P49" s="2204"/>
      <c r="Q49" s="2204"/>
      <c r="R49" s="2207"/>
      <c r="S49" s="2204"/>
      <c r="T49" s="1456"/>
      <c r="U49" s="1456"/>
      <c r="V49" s="1456"/>
      <c r="W49" s="1457"/>
      <c r="X49" s="1418"/>
      <c r="Y49" s="1418"/>
      <c r="Z49" s="1418"/>
      <c r="AA49" s="1418"/>
      <c r="AB49" s="1418"/>
      <c r="AC49" s="1418"/>
      <c r="AD49" s="1418"/>
      <c r="AE49" s="1418"/>
      <c r="AF49" s="1418"/>
      <c r="AG49" s="1418"/>
      <c r="AH49" s="1418"/>
      <c r="AI49" s="1418"/>
      <c r="AJ49" s="1418"/>
      <c r="AK49" s="1418"/>
      <c r="AL49" s="1418"/>
      <c r="AM49" s="1418"/>
      <c r="AN49" s="1418"/>
      <c r="AO49" s="1418"/>
      <c r="AP49" s="1418"/>
      <c r="AQ49" s="1418"/>
    </row>
    <row s="8253" customFormat="1" customHeight="1" ht="17.25" hidden="1">
      <c r="A50" s="475"/>
      <c r="C50" s="474"/>
      <c r="D50" s="2210"/>
      <c r="E50" s="2212"/>
      <c r="F50" s="2214"/>
      <c r="G50" s="2212"/>
      <c r="H50" s="2217"/>
      <c r="I50" s="2219"/>
      <c r="J50" s="2222"/>
      <c r="K50" s="2204"/>
      <c r="L50" s="2204"/>
      <c r="M50" s="2204"/>
      <c r="N50" s="2207"/>
      <c r="O50" s="2204"/>
      <c r="P50" s="1630"/>
      <c r="Q50" s="1456"/>
      <c r="R50" s="1456"/>
      <c r="S50" s="483"/>
      <c r="T50" s="483"/>
      <c r="U50" s="483"/>
      <c r="V50" s="483"/>
      <c r="W50" s="1457"/>
      <c r="X50" s="1418"/>
      <c r="Y50" s="1418"/>
      <c r="Z50" s="1418"/>
      <c r="AA50" s="1418"/>
      <c r="AB50" s="1418"/>
      <c r="AC50" s="1418"/>
      <c r="AD50" s="1418"/>
      <c r="AE50" s="1418"/>
      <c r="AF50" s="1418"/>
      <c r="AG50" s="1418"/>
      <c r="AH50" s="1418"/>
      <c r="AI50" s="1418"/>
      <c r="AJ50" s="1418"/>
      <c r="AK50" s="1418"/>
      <c r="AL50" s="1418"/>
      <c r="AM50" s="1418"/>
      <c r="AN50" s="1418"/>
      <c r="AO50" s="1418"/>
      <c r="AP50" s="1418"/>
      <c r="AQ50" s="1418"/>
    </row>
    <row s="8252" customFormat="1" customHeight="1" ht="17.25" hidden="1">
      <c r="A51" s="475"/>
      <c r="C51" s="363"/>
      <c r="D51" s="2210"/>
      <c r="E51" s="2212"/>
      <c r="F51" s="2214"/>
      <c r="G51" s="2212"/>
      <c r="H51" s="2217"/>
      <c r="I51" s="2219"/>
      <c r="J51" s="2222"/>
      <c r="K51" s="2204"/>
      <c r="L51" s="1456"/>
      <c r="M51" s="1456"/>
      <c r="N51" s="1456"/>
      <c r="O51" s="1456"/>
      <c r="P51" s="1456"/>
      <c r="Q51" s="1456"/>
      <c r="R51" s="1456"/>
      <c r="S51" s="483"/>
      <c r="T51" s="483"/>
      <c r="U51" s="483"/>
      <c r="V51" s="483"/>
      <c r="W51" s="1457"/>
      <c r="Y51" s="1426"/>
      <c r="Z51" s="1426"/>
      <c r="AA51" s="1426"/>
      <c r="AB51" s="1426"/>
      <c r="AC51" s="1426"/>
      <c r="AD51" s="1426"/>
      <c r="AE51" s="1426"/>
      <c r="AF51" s="1426"/>
      <c r="AG51" s="1426"/>
      <c r="AH51" s="1426"/>
      <c r="AI51" s="1426"/>
      <c r="AJ51" s="1426"/>
      <c r="AK51" s="1426"/>
      <c r="AL51" s="1426"/>
      <c r="AM51" s="1426"/>
      <c r="AN51" s="1426"/>
      <c r="AO51" s="1426"/>
      <c r="AP51" s="1426"/>
      <c r="AQ51" s="1426"/>
    </row>
    <row s="8253" customFormat="1" customHeight="1" ht="17.25" hidden="1">
      <c r="A52" s="475"/>
      <c r="C52" s="474"/>
      <c r="D52" s="2210"/>
      <c r="E52" s="2212"/>
      <c r="F52" s="2215"/>
      <c r="G52" s="2212"/>
      <c r="H52" s="1458"/>
      <c r="I52" s="1459"/>
      <c r="J52" s="1459"/>
      <c r="K52" s="1459"/>
      <c r="L52" s="1459"/>
      <c r="M52" s="1459"/>
      <c r="N52" s="1459"/>
      <c r="O52" s="1459"/>
      <c r="P52" s="1459"/>
      <c r="Q52" s="1459"/>
      <c r="R52" s="1459"/>
      <c r="S52" s="1460"/>
      <c r="T52" s="1460"/>
      <c r="U52" s="1460"/>
      <c r="V52" s="1460"/>
      <c r="W52" s="1461"/>
      <c r="X52" s="1418"/>
      <c r="Y52" s="1418"/>
      <c r="Z52" s="1418"/>
      <c r="AA52" s="1418"/>
      <c r="AB52" s="1418"/>
      <c r="AC52" s="1418"/>
      <c r="AD52" s="1418"/>
      <c r="AE52" s="1418"/>
      <c r="AF52" s="1418"/>
      <c r="AG52" s="1418"/>
      <c r="AH52" s="1418"/>
      <c r="AI52" s="1418"/>
      <c r="AJ52" s="1418"/>
      <c r="AK52" s="1418"/>
      <c r="AL52" s="1418"/>
      <c r="AM52" s="1418"/>
      <c r="AN52" s="1418"/>
      <c r="AO52" s="1418"/>
      <c r="AP52" s="1418"/>
      <c r="AQ52" s="1418"/>
    </row>
    <row s="8263" customFormat="1" customHeight="1" ht="17.25" hidden="1">
      <c r="A53" s="475"/>
      <c r="C53" s="363"/>
      <c r="D53" s="2209">
        <v>9</v>
      </c>
      <c r="E53" s="2211" t="s">
        <v>199</v>
      </c>
      <c r="F53" s="2213" t="s">
        <v>54</v>
      </c>
      <c r="G53" s="2211"/>
      <c r="H53" s="2216"/>
      <c r="I53" s="2218"/>
      <c r="J53" s="2220"/>
      <c r="K53" s="2203"/>
      <c r="L53" s="2203"/>
      <c r="M53" s="2203"/>
      <c r="N53" s="2205"/>
      <c r="O53" s="2203"/>
      <c r="P53" s="2203"/>
      <c r="Q53" s="2203"/>
      <c r="R53" s="2208"/>
      <c r="S53" s="2203"/>
      <c r="T53" s="2091"/>
      <c r="U53" s="2091"/>
      <c r="V53" s="2093"/>
      <c r="W53" s="1455"/>
      <c r="X53" s="1426"/>
      <c r="Y53" s="1426"/>
      <c r="Z53" s="1426"/>
      <c r="AA53" s="1426"/>
      <c r="AB53" s="1426"/>
      <c r="AC53" s="1426" t="s">
        <v>200</v>
      </c>
      <c r="AD53" s="1426" t="s">
        <v>201</v>
      </c>
      <c r="AE53" s="1426" t="s">
        <v>202</v>
      </c>
      <c r="AF53" s="1426" t="s">
        <v>203</v>
      </c>
      <c r="AG53" s="1426" t="s">
        <v>204</v>
      </c>
      <c r="AH53" s="1426" t="str">
        <f>IF($E$53=0,"",$E$53)</f>
        <v>Плата за подключение к системе теплоснабжения (индивидуальная)</v>
      </c>
      <c r="AI53" s="1426" t="str">
        <f>IF($G$53=0,"",$G$53)</f>
        <v/>
      </c>
      <c r="AJ53" s="1426" t="str">
        <f>IF($J$53=0,"",$J$53)</f>
        <v/>
      </c>
      <c r="AK53" s="1426" t="str">
        <f>IF($K$53="нет","без дифференциации",IF($N$53=0,"",$N$53))</f>
        <v/>
      </c>
      <c r="AL53" s="1426" t="str">
        <f>IF($O$53="нет","без дифференциации",IF($R$53=0,"",$R$53))</f>
        <v/>
      </c>
      <c r="AM53" s="1426" t="str">
        <f>IF($S$53="нет","без дифференциации",IF($V$53=0,"",$V$53))</f>
        <v/>
      </c>
      <c r="AN53" s="1931">
        <f>$I$53</f>
        <v>0</v>
      </c>
      <c r="AO53" s="1426" t="str">
        <f>$I$53&amp;"."&amp;$M$53</f>
        <v>.</v>
      </c>
      <c r="AP53" s="1425" t="str">
        <f>$I$53&amp;"."&amp;$M$53&amp;"."&amp;$Q$53</f>
        <v>..</v>
      </c>
      <c r="AQ53" s="1425" t="str">
        <f>$I$53&amp;"."&amp;$M$53&amp;"."&amp;$Q$53&amp;"."&amp;$U$53</f>
        <v>...</v>
      </c>
    </row>
    <row s="8263" customFormat="1" customHeight="1" ht="17.25" hidden="1">
      <c r="A54" s="475"/>
      <c r="C54" s="474"/>
      <c r="D54" s="2209"/>
      <c r="E54" s="2211"/>
      <c r="F54" s="2214"/>
      <c r="G54" s="2211"/>
      <c r="H54" s="2217"/>
      <c r="I54" s="2219"/>
      <c r="J54" s="2221"/>
      <c r="K54" s="2204"/>
      <c r="L54" s="2204"/>
      <c r="M54" s="2204"/>
      <c r="N54" s="2206"/>
      <c r="O54" s="2204"/>
      <c r="P54" s="2204"/>
      <c r="Q54" s="2204"/>
      <c r="R54" s="2207"/>
      <c r="S54" s="2204"/>
      <c r="T54" s="2094"/>
      <c r="U54" s="2094"/>
      <c r="V54" s="2094"/>
      <c r="W54" s="2095"/>
      <c r="X54" s="1425"/>
      <c r="Y54" s="1425"/>
      <c r="Z54" s="1425"/>
      <c r="AA54" s="1425"/>
      <c r="AB54" s="1425"/>
      <c r="AC54" s="1425"/>
      <c r="AD54" s="1425"/>
      <c r="AE54" s="1425"/>
      <c r="AF54" s="1425"/>
      <c r="AG54" s="1425"/>
      <c r="AH54" s="1425"/>
      <c r="AI54" s="1425"/>
      <c r="AJ54" s="1425"/>
      <c r="AK54" s="1425"/>
      <c r="AL54" s="1425"/>
      <c r="AM54" s="1425"/>
      <c r="AN54" s="1425"/>
      <c r="AO54" s="1425"/>
      <c r="AP54" s="1425"/>
      <c r="AQ54" s="1425"/>
    </row>
    <row s="8263" customFormat="1" customHeight="1" ht="17.25" hidden="1">
      <c r="A55" s="475"/>
      <c r="C55" s="474"/>
      <c r="D55" s="2210"/>
      <c r="E55" s="2212"/>
      <c r="F55" s="2214"/>
      <c r="G55" s="2212"/>
      <c r="H55" s="2217"/>
      <c r="I55" s="2219"/>
      <c r="J55" s="2222"/>
      <c r="K55" s="2204"/>
      <c r="L55" s="2204"/>
      <c r="M55" s="2204"/>
      <c r="N55" s="2207"/>
      <c r="O55" s="2204"/>
      <c r="P55" s="2092"/>
      <c r="Q55" s="2094"/>
      <c r="R55" s="2094"/>
      <c r="S55" s="483"/>
      <c r="T55" s="483"/>
      <c r="U55" s="483"/>
      <c r="V55" s="483"/>
      <c r="W55" s="2095"/>
      <c r="X55" s="1425"/>
      <c r="Y55" s="1425"/>
      <c r="Z55" s="1425"/>
      <c r="AA55" s="1425"/>
      <c r="AB55" s="1425"/>
      <c r="AC55" s="1425"/>
      <c r="AD55" s="1425"/>
      <c r="AE55" s="1425"/>
      <c r="AF55" s="1425"/>
      <c r="AG55" s="1425"/>
      <c r="AH55" s="1425"/>
      <c r="AI55" s="1425"/>
      <c r="AJ55" s="1425"/>
      <c r="AK55" s="1425"/>
      <c r="AL55" s="1425"/>
      <c r="AM55" s="1425"/>
      <c r="AN55" s="1425"/>
      <c r="AO55" s="1425"/>
      <c r="AP55" s="1425"/>
      <c r="AQ55" s="1425"/>
    </row>
    <row s="8263" customFormat="1" customHeight="1" ht="17.25" hidden="1">
      <c r="A56" s="475"/>
      <c r="C56" s="363"/>
      <c r="D56" s="2210"/>
      <c r="E56" s="2212"/>
      <c r="F56" s="2214"/>
      <c r="G56" s="2212"/>
      <c r="H56" s="2217"/>
      <c r="I56" s="2219"/>
      <c r="J56" s="2222"/>
      <c r="K56" s="2204"/>
      <c r="L56" s="2094"/>
      <c r="M56" s="2094"/>
      <c r="N56" s="2094"/>
      <c r="O56" s="2094"/>
      <c r="P56" s="2094"/>
      <c r="Q56" s="2094"/>
      <c r="R56" s="2094"/>
      <c r="S56" s="483"/>
      <c r="T56" s="483"/>
      <c r="U56" s="483"/>
      <c r="V56" s="483"/>
      <c r="W56" s="2095"/>
      <c r="Y56" s="1426"/>
      <c r="Z56" s="1426"/>
      <c r="AA56" s="1426"/>
      <c r="AB56" s="1426"/>
      <c r="AC56" s="1426"/>
      <c r="AD56" s="1426"/>
      <c r="AE56" s="1426"/>
      <c r="AF56" s="1426"/>
      <c r="AG56" s="1426"/>
      <c r="AH56" s="1426"/>
      <c r="AI56" s="1426"/>
      <c r="AJ56" s="1426"/>
      <c r="AK56" s="1426"/>
      <c r="AL56" s="1426"/>
      <c r="AM56" s="1426"/>
      <c r="AN56" s="1426"/>
      <c r="AO56" s="1426"/>
      <c r="AP56" s="1426"/>
      <c r="AQ56" s="1426"/>
    </row>
    <row s="8263" customFormat="1" customHeight="1" ht="17.25" hidden="1">
      <c r="A57" s="475"/>
      <c r="C57" s="474"/>
      <c r="D57" s="2210"/>
      <c r="E57" s="2212"/>
      <c r="F57" s="2215"/>
      <c r="G57" s="2212"/>
      <c r="H57" s="1458"/>
      <c r="I57" s="2096"/>
      <c r="J57" s="2096"/>
      <c r="K57" s="2096"/>
      <c r="L57" s="2096"/>
      <c r="M57" s="2096"/>
      <c r="N57" s="2096"/>
      <c r="O57" s="2096"/>
      <c r="P57" s="2096"/>
      <c r="Q57" s="2096"/>
      <c r="R57" s="2096"/>
      <c r="S57" s="1460"/>
      <c r="T57" s="1460"/>
      <c r="U57" s="1460"/>
      <c r="V57" s="1460"/>
      <c r="W57" s="2097"/>
      <c r="X57" s="1425"/>
      <c r="Y57" s="1425"/>
      <c r="Z57" s="1425"/>
      <c r="AA57" s="1425"/>
      <c r="AB57" s="1425"/>
      <c r="AC57" s="1425"/>
      <c r="AD57" s="1425"/>
      <c r="AE57" s="1425"/>
      <c r="AF57" s="1425"/>
      <c r="AG57" s="1425"/>
      <c r="AH57" s="1425"/>
      <c r="AI57" s="1425"/>
      <c r="AJ57" s="1425"/>
      <c r="AK57" s="1425"/>
      <c r="AL57" s="1425"/>
      <c r="AM57" s="1425"/>
      <c r="AN57" s="1425"/>
      <c r="AO57" s="1425"/>
      <c r="AP57" s="1425"/>
      <c r="AQ57" s="1425"/>
    </row>
    <row s="8263" customFormat="1" customHeight="1" ht="17.25" hidden="1">
      <c r="A58" s="475"/>
      <c r="C58" s="363"/>
      <c r="D58" s="2209">
        <v>10</v>
      </c>
      <c r="E58" s="2211" t="s">
        <v>205</v>
      </c>
      <c r="F58" s="2213" t="s">
        <v>54</v>
      </c>
      <c r="G58" s="2211"/>
      <c r="H58" s="2216"/>
      <c r="I58" s="2218"/>
      <c r="J58" s="2220"/>
      <c r="K58" s="2203"/>
      <c r="L58" s="2203"/>
      <c r="M58" s="2203"/>
      <c r="N58" s="2205"/>
      <c r="O58" s="2203"/>
      <c r="P58" s="2203"/>
      <c r="Q58" s="2203"/>
      <c r="R58" s="2208"/>
      <c r="S58" s="2203"/>
      <c r="T58" s="2091"/>
      <c r="U58" s="2091"/>
      <c r="V58" s="2093"/>
      <c r="W58" s="1455"/>
      <c r="X58" s="1426"/>
      <c r="Y58" s="1426"/>
      <c r="Z58" s="1426"/>
      <c r="AA58" s="1426"/>
      <c r="AB58" s="1426"/>
      <c r="AC58" s="1426" t="s">
        <v>206</v>
      </c>
      <c r="AD58" s="1426" t="s">
        <v>207</v>
      </c>
      <c r="AE58" s="1426" t="s">
        <v>208</v>
      </c>
      <c r="AF58" s="1426" t="s">
        <v>209</v>
      </c>
      <c r="AG58" s="1426" t="s">
        <v>210</v>
      </c>
      <c r="AH58" s="1426" t="str">
        <f>IF($E$58=0,"",$E$58)</f>
        <v>Предельный уровень цены на тепловую энергию (мощность), поставляемую теплоснабжающими организациями потребителям</v>
      </c>
      <c r="AI58" s="1426" t="str">
        <f>IF($G$58=0,"",$G$58)</f>
        <v/>
      </c>
      <c r="AJ58" s="1426" t="str">
        <f>IF($J$58=0,"",$J$58)</f>
        <v/>
      </c>
      <c r="AK58" s="1426" t="str">
        <f>IF($K$58="нет","без дифференциации",IF($N$58=0,"",$N$58))</f>
        <v/>
      </c>
      <c r="AL58" s="1426" t="str">
        <f>IF($O$58="нет","без дифференциации",IF($R$58=0,"",$R$58))</f>
        <v/>
      </c>
      <c r="AM58" s="1426" t="str">
        <f>IF($S$58="нет","без дифференциации",IF($V$58=0,"",$V$58))</f>
        <v/>
      </c>
      <c r="AN58" s="1931">
        <f>$I$58</f>
        <v>0</v>
      </c>
      <c r="AO58" s="1426" t="str">
        <f>$I$58&amp;"."&amp;$M$58</f>
        <v>.</v>
      </c>
      <c r="AP58" s="1425" t="str">
        <f>$I$58&amp;"."&amp;$M$58&amp;"."&amp;$Q$58</f>
        <v>..</v>
      </c>
      <c r="AQ58" s="1425" t="str">
        <f>$I$58&amp;"."&amp;$M$58&amp;"."&amp;$Q$58&amp;"."&amp;$U$58</f>
        <v>...</v>
      </c>
    </row>
    <row s="8263" customFormat="1" customHeight="1" ht="17.25" hidden="1">
      <c r="A59" s="475"/>
      <c r="C59" s="474"/>
      <c r="D59" s="2209"/>
      <c r="E59" s="2211"/>
      <c r="F59" s="2214"/>
      <c r="G59" s="2211"/>
      <c r="H59" s="2217"/>
      <c r="I59" s="2219"/>
      <c r="J59" s="2221"/>
      <c r="K59" s="2204"/>
      <c r="L59" s="2204"/>
      <c r="M59" s="2204"/>
      <c r="N59" s="2206"/>
      <c r="O59" s="2204"/>
      <c r="P59" s="2204"/>
      <c r="Q59" s="2204"/>
      <c r="R59" s="2207"/>
      <c r="S59" s="2204"/>
      <c r="T59" s="2094"/>
      <c r="U59" s="2094"/>
      <c r="V59" s="2094"/>
      <c r="W59" s="2095"/>
      <c r="X59" s="1425"/>
      <c r="Y59" s="1425"/>
      <c r="Z59" s="1425"/>
      <c r="AA59" s="1425"/>
      <c r="AB59" s="1425"/>
      <c r="AC59" s="1425"/>
      <c r="AD59" s="1425"/>
      <c r="AE59" s="1425"/>
      <c r="AF59" s="1425"/>
      <c r="AG59" s="1425"/>
      <c r="AH59" s="1425"/>
      <c r="AI59" s="1425"/>
      <c r="AJ59" s="1425"/>
      <c r="AK59" s="1425"/>
      <c r="AL59" s="1425"/>
      <c r="AM59" s="1425"/>
      <c r="AN59" s="1425"/>
      <c r="AO59" s="1425"/>
      <c r="AP59" s="1425"/>
      <c r="AQ59" s="1425"/>
    </row>
    <row s="8263" customFormat="1" customHeight="1" ht="17.25" hidden="1">
      <c r="A60" s="475"/>
      <c r="C60" s="474"/>
      <c r="D60" s="2210"/>
      <c r="E60" s="2212"/>
      <c r="F60" s="2214"/>
      <c r="G60" s="2212"/>
      <c r="H60" s="2217"/>
      <c r="I60" s="2219"/>
      <c r="J60" s="2222"/>
      <c r="K60" s="2204"/>
      <c r="L60" s="2204"/>
      <c r="M60" s="2204"/>
      <c r="N60" s="2207"/>
      <c r="O60" s="2204"/>
      <c r="P60" s="2092"/>
      <c r="Q60" s="2094"/>
      <c r="R60" s="2094"/>
      <c r="S60" s="483"/>
      <c r="T60" s="483"/>
      <c r="U60" s="483"/>
      <c r="V60" s="483"/>
      <c r="W60" s="2095"/>
      <c r="X60" s="1425"/>
      <c r="Y60" s="1425"/>
      <c r="Z60" s="1425"/>
      <c r="AA60" s="1425"/>
      <c r="AB60" s="1425"/>
      <c r="AC60" s="1425"/>
      <c r="AD60" s="1425"/>
      <c r="AE60" s="1425"/>
      <c r="AF60" s="1425"/>
      <c r="AG60" s="1425"/>
      <c r="AH60" s="1425"/>
      <c r="AI60" s="1425"/>
      <c r="AJ60" s="1425"/>
      <c r="AK60" s="1425"/>
      <c r="AL60" s="1425"/>
      <c r="AM60" s="1425"/>
      <c r="AN60" s="1425"/>
      <c r="AO60" s="1425"/>
      <c r="AP60" s="1425"/>
      <c r="AQ60" s="1425"/>
    </row>
    <row s="8263" customFormat="1" customHeight="1" ht="17.25" hidden="1">
      <c r="A61" s="475"/>
      <c r="C61" s="363"/>
      <c r="D61" s="2210"/>
      <c r="E61" s="2212"/>
      <c r="F61" s="2214"/>
      <c r="G61" s="2212"/>
      <c r="H61" s="2217"/>
      <c r="I61" s="2219"/>
      <c r="J61" s="2222"/>
      <c r="K61" s="2204"/>
      <c r="L61" s="2094"/>
      <c r="M61" s="2094"/>
      <c r="N61" s="2094"/>
      <c r="O61" s="2094"/>
      <c r="P61" s="2094"/>
      <c r="Q61" s="2094"/>
      <c r="R61" s="2094"/>
      <c r="S61" s="483"/>
      <c r="T61" s="483"/>
      <c r="U61" s="483"/>
      <c r="V61" s="483"/>
      <c r="W61" s="2095"/>
      <c r="Y61" s="1426"/>
      <c r="Z61" s="1426"/>
      <c r="AA61" s="1426"/>
      <c r="AB61" s="1426"/>
      <c r="AC61" s="1426"/>
      <c r="AD61" s="1426"/>
      <c r="AE61" s="1426"/>
      <c r="AF61" s="1426"/>
      <c r="AG61" s="1426"/>
      <c r="AH61" s="1426"/>
      <c r="AI61" s="1426"/>
      <c r="AJ61" s="1426"/>
      <c r="AK61" s="1426"/>
      <c r="AL61" s="1426"/>
      <c r="AM61" s="1426"/>
      <c r="AN61" s="1426"/>
      <c r="AO61" s="1426"/>
      <c r="AP61" s="1426"/>
      <c r="AQ61" s="1426"/>
    </row>
    <row s="8263" customFormat="1" customHeight="1" ht="17.25" hidden="1">
      <c r="A62" s="475"/>
      <c r="C62" s="474"/>
      <c r="D62" s="2210"/>
      <c r="E62" s="2212"/>
      <c r="F62" s="2215"/>
      <c r="G62" s="2212"/>
      <c r="H62" s="1458"/>
      <c r="I62" s="2096"/>
      <c r="J62" s="2096"/>
      <c r="K62" s="2096"/>
      <c r="L62" s="2096"/>
      <c r="M62" s="2096"/>
      <c r="N62" s="2096"/>
      <c r="O62" s="2096"/>
      <c r="P62" s="2096"/>
      <c r="Q62" s="2096"/>
      <c r="R62" s="2096"/>
      <c r="S62" s="1460"/>
      <c r="T62" s="1460"/>
      <c r="U62" s="1460"/>
      <c r="V62" s="1460"/>
      <c r="W62" s="2097"/>
      <c r="X62" s="1425"/>
      <c r="Y62" s="1425"/>
      <c r="Z62" s="1425"/>
      <c r="AA62" s="1425"/>
      <c r="AB62" s="1425"/>
      <c r="AC62" s="1425"/>
      <c r="AD62" s="1425"/>
      <c r="AE62" s="1425"/>
      <c r="AF62" s="1425"/>
      <c r="AG62" s="1425"/>
      <c r="AH62" s="1425"/>
      <c r="AI62" s="1425"/>
      <c r="AJ62" s="1425"/>
      <c r="AK62" s="1425"/>
      <c r="AL62" s="1425"/>
      <c r="AM62" s="1425"/>
      <c r="AN62" s="1425"/>
      <c r="AO62" s="1425"/>
      <c r="AP62" s="1425"/>
      <c r="AQ62" s="1425"/>
    </row>
    <row customHeight="1" ht="11.25" hidden="1"/>
    <row customHeight="1" ht="11.25" hidden="1">
      <c r="E64" s="2225" t="s">
        <v>211</v>
      </c>
      <c r="F64" s="2225"/>
      <c r="G64" s="2225"/>
      <c r="H64" s="2225"/>
      <c r="I64" s="2225"/>
      <c r="J64" s="2225"/>
      <c r="K64" s="2225"/>
      <c r="L64" s="2225"/>
      <c r="M64" s="2225"/>
      <c r="N64" s="2225"/>
      <c r="O64" s="2225"/>
      <c r="P64" s="2225"/>
      <c r="Q64" s="2225"/>
      <c r="R64" s="2225"/>
      <c r="S64" s="2225"/>
      <c r="T64" s="2225"/>
      <c r="U64" s="2225"/>
      <c r="V64" s="2225"/>
      <c r="W64" s="2225"/>
    </row>
    <row customHeight="1" ht="36.75" hidden="1">
      <c r="E65" s="2223" t="s">
        <v>212</v>
      </c>
      <c r="F65" s="2223"/>
      <c r="G65" s="2224"/>
      <c r="H65" s="2224"/>
      <c r="I65" s="2224"/>
      <c r="J65" s="2224"/>
      <c r="K65" s="2224"/>
      <c r="L65" s="2224"/>
      <c r="M65" s="2224"/>
      <c r="N65" s="2224"/>
      <c r="O65" s="2224"/>
      <c r="P65" s="2224"/>
      <c r="Q65" s="2224"/>
      <c r="R65" s="2224"/>
      <c r="S65" s="2224"/>
      <c r="T65" s="2224"/>
      <c r="U65" s="2224"/>
      <c r="V65" s="2224"/>
      <c r="W65" s="2224"/>
    </row>
    <row customHeight="1" ht="28.5" hidden="1">
      <c r="E66" s="2223" t="s">
        <v>213</v>
      </c>
      <c r="F66" s="2223"/>
      <c r="G66" s="2224"/>
      <c r="H66" s="2224"/>
      <c r="I66" s="2224"/>
      <c r="J66" s="2224"/>
      <c r="K66" s="2224"/>
      <c r="L66" s="2224"/>
      <c r="M66" s="2224"/>
      <c r="N66" s="2224"/>
      <c r="O66" s="2224"/>
      <c r="P66" s="2224"/>
      <c r="Q66" s="2224"/>
      <c r="R66" s="2224"/>
      <c r="S66" s="2224"/>
      <c r="T66" s="2224"/>
      <c r="U66" s="2224"/>
      <c r="V66" s="2224"/>
      <c r="W66" s="2224"/>
    </row>
    <row customHeight="1" ht="27" hidden="1">
      <c r="E67" s="2223" t="s">
        <v>214</v>
      </c>
      <c r="F67" s="2223"/>
      <c r="G67" s="2224"/>
      <c r="H67" s="2224"/>
      <c r="I67" s="2224"/>
      <c r="J67" s="2224"/>
      <c r="K67" s="2224"/>
      <c r="L67" s="2224"/>
      <c r="M67" s="2224"/>
      <c r="N67" s="2224"/>
      <c r="O67" s="2224"/>
      <c r="P67" s="2224"/>
      <c r="Q67" s="2224"/>
      <c r="R67" s="2224"/>
      <c r="S67" s="2224"/>
      <c r="T67" s="2224"/>
      <c r="U67" s="2224"/>
      <c r="V67" s="2224"/>
      <c r="W67" s="2224"/>
    </row>
    <row customHeight="1" ht="17.25" hidden="1">
      <c r="E68" s="2223" t="s">
        <v>215</v>
      </c>
      <c r="F68" s="2223"/>
      <c r="G68" s="2224"/>
      <c r="H68" s="2224"/>
      <c r="I68" s="2224"/>
      <c r="J68" s="2224"/>
      <c r="K68" s="2224"/>
      <c r="L68" s="2224"/>
      <c r="M68" s="2224"/>
      <c r="N68" s="2224"/>
      <c r="O68" s="2224"/>
      <c r="P68" s="2224"/>
      <c r="Q68" s="2224"/>
      <c r="R68" s="2224"/>
      <c r="S68" s="2224"/>
      <c r="T68" s="2224"/>
      <c r="U68" s="2224"/>
      <c r="V68" s="2224"/>
      <c r="W68" s="2224"/>
    </row>
    <row customHeight="1" ht="15" hidden="1">
      <c r="E69" s="494"/>
      <c r="F69" s="1444"/>
      <c r="G69" s="312"/>
      <c r="H69" s="312"/>
      <c r="I69" s="312"/>
      <c r="J69" s="312"/>
      <c r="K69" s="312"/>
      <c r="L69" s="312"/>
      <c r="M69" s="312"/>
      <c r="N69" s="312"/>
      <c r="O69" s="312"/>
      <c r="P69" s="312"/>
      <c r="Q69" s="312"/>
      <c r="R69" s="312"/>
      <c r="S69" s="312"/>
      <c r="T69" s="312"/>
      <c r="U69" s="312"/>
      <c r="V69" s="312"/>
      <c r="W69" s="312"/>
    </row>
    <row customHeight="1" ht="15" hidden="1">
      <c r="E70" s="2225" t="s">
        <v>216</v>
      </c>
      <c r="F70" s="2225"/>
      <c r="G70" s="2225"/>
      <c r="H70" s="2225"/>
      <c r="I70" s="2225"/>
      <c r="J70" s="2225"/>
      <c r="K70" s="2225"/>
      <c r="L70" s="2225"/>
      <c r="M70" s="2225"/>
      <c r="N70" s="2225"/>
      <c r="O70" s="2225"/>
      <c r="P70" s="2225"/>
      <c r="Q70" s="2225"/>
      <c r="R70" s="2225"/>
      <c r="S70" s="2225"/>
      <c r="T70" s="2225"/>
      <c r="U70" s="2225"/>
      <c r="V70" s="2225"/>
      <c r="W70" s="2225"/>
    </row>
    <row customHeight="1" ht="17.25" hidden="1">
      <c r="E71" s="2223" t="s">
        <v>217</v>
      </c>
      <c r="F71" s="2223"/>
      <c r="G71" s="2224"/>
      <c r="H71" s="2224"/>
      <c r="I71" s="2224"/>
      <c r="J71" s="2224"/>
      <c r="K71" s="2224"/>
      <c r="L71" s="2224"/>
      <c r="M71" s="2224"/>
      <c r="N71" s="2224"/>
      <c r="O71" s="2224"/>
      <c r="P71" s="2224"/>
      <c r="Q71" s="2224"/>
      <c r="R71" s="2224"/>
      <c r="S71" s="2224"/>
      <c r="T71" s="2224"/>
      <c r="U71" s="2224"/>
      <c r="V71" s="2224"/>
      <c r="W71" s="2224"/>
    </row>
    <row customHeight="1" ht="17.25" hidden="1">
      <c r="E72" s="2223" t="s">
        <v>218</v>
      </c>
      <c r="F72" s="2223"/>
      <c r="G72" s="2224"/>
      <c r="H72" s="2224"/>
      <c r="I72" s="2224"/>
      <c r="J72" s="2224"/>
      <c r="K72" s="2224"/>
      <c r="L72" s="2224"/>
      <c r="M72" s="2224"/>
      <c r="N72" s="2224"/>
      <c r="O72" s="2224"/>
      <c r="P72" s="2224"/>
      <c r="Q72" s="2224"/>
      <c r="R72" s="2224"/>
      <c r="S72" s="2224"/>
      <c r="T72" s="2224"/>
      <c r="U72" s="2224"/>
      <c r="V72" s="2224"/>
      <c r="W72" s="2224"/>
    </row>
    <row s="8277" customFormat="1" customHeight="1" ht="11.25" hidden="1">
      <c r="A73" s="431"/>
      <c r="B73" s="431"/>
      <c r="Y73" s="1418"/>
      <c r="Z73" s="1418"/>
      <c r="AA73" s="1418"/>
      <c r="AB73" s="1418"/>
      <c r="AC73" s="1418"/>
      <c r="AD73" s="1418"/>
      <c r="AE73" s="1418"/>
      <c r="AF73" s="1418"/>
      <c r="AG73" s="1418"/>
      <c r="AH73" s="1418"/>
      <c r="AI73" s="1418"/>
      <c r="AJ73" s="1418"/>
      <c r="AK73" s="1418"/>
      <c r="AL73" s="1418"/>
      <c r="AM73" s="1418"/>
      <c r="AN73" s="1418"/>
      <c r="AO73" s="1418"/>
      <c r="AP73" s="1418"/>
      <c r="AQ73" s="1418"/>
    </row>
    <row s="8277" customFormat="1" customHeight="1" ht="17.25" hidden="1">
      <c r="A74" s="475"/>
      <c r="C74" s="363"/>
      <c r="D74" s="2209">
        <v>1</v>
      </c>
      <c r="E74" s="2211" t="s">
        <v>219</v>
      </c>
      <c r="F74" s="2213" t="s">
        <v>54</v>
      </c>
      <c r="G74" s="2211"/>
      <c r="H74" s="2216"/>
      <c r="I74" s="2218"/>
      <c r="J74" s="2220"/>
      <c r="K74" s="2203"/>
      <c r="L74" s="2203"/>
      <c r="M74" s="2203"/>
      <c r="N74" s="2205"/>
      <c r="O74" s="2203"/>
      <c r="P74" s="2203"/>
      <c r="Q74" s="2203"/>
      <c r="R74" s="2208"/>
      <c r="S74" s="2203"/>
      <c r="T74" s="1629"/>
      <c r="U74" s="1629"/>
      <c r="V74" s="1631"/>
      <c r="W74" s="1455"/>
      <c r="Y74" s="1426"/>
      <c r="Z74" s="1426"/>
      <c r="AA74" s="1426"/>
      <c r="AB74" s="1426"/>
      <c r="AC74" s="1426" t="s">
        <v>220</v>
      </c>
      <c r="AD74" s="1426" t="s">
        <v>221</v>
      </c>
      <c r="AE74" s="1426" t="s">
        <v>222</v>
      </c>
      <c r="AF74" s="1426" t="s">
        <v>223</v>
      </c>
      <c r="AG74" s="1426"/>
      <c r="AH74" s="1426" t="str">
        <f>IF($E$74=0,"",$E$74)</f>
        <v>Тариф на питьевую воду (питьевое водоснабжение)</v>
      </c>
      <c r="AI74" s="1426" t="str">
        <f>IF($G$74=0,"",$G$74)</f>
        <v/>
      </c>
      <c r="AJ74" s="1426" t="str">
        <f>IF($J$74=0,"",$J$74)</f>
        <v/>
      </c>
      <c r="AK74" s="1426" t="str">
        <f>IF($K$74="нет","без дифференциации",IF($N$74=0,"",$N$74))</f>
        <v/>
      </c>
      <c r="AL74" s="1426" t="str">
        <f>IF($O$74="нет","без дифференциации",IF($R$74=0,"",$R$74))</f>
        <v/>
      </c>
      <c r="AM74" s="1426" t="str">
        <f>IF($S$74="нет","без дифференциации",IF($V$74=0,"",$V$74))</f>
        <v/>
      </c>
      <c r="AN74" s="1426">
        <f>$I$74</f>
        <v>0</v>
      </c>
      <c r="AO74" s="1426" t="str">
        <f>$I$74&amp;"."&amp;$M$74</f>
        <v>.</v>
      </c>
      <c r="AP74" s="1426" t="str">
        <f>$I$74&amp;"."&amp;$M$74&amp;"."&amp;$Q$74</f>
        <v>..</v>
      </c>
      <c r="AQ74" s="1426" t="str">
        <f>$I$74&amp;"."&amp;$M$74&amp;"."&amp;$Q$74&amp;"."&amp;$U$74</f>
        <v>...</v>
      </c>
    </row>
    <row s="8277" customFormat="1" customHeight="1" ht="17.25" hidden="1">
      <c r="A75" s="475"/>
      <c r="C75" s="474"/>
      <c r="D75" s="2209"/>
      <c r="E75" s="2211"/>
      <c r="F75" s="2214"/>
      <c r="G75" s="2211"/>
      <c r="H75" s="2217"/>
      <c r="I75" s="2219"/>
      <c r="J75" s="2221"/>
      <c r="K75" s="2204"/>
      <c r="L75" s="2204"/>
      <c r="M75" s="2204"/>
      <c r="N75" s="2206"/>
      <c r="O75" s="2204"/>
      <c r="P75" s="2204"/>
      <c r="Q75" s="2204"/>
      <c r="R75" s="2207"/>
      <c r="S75" s="2204"/>
      <c r="T75" s="1456"/>
      <c r="U75" s="1456"/>
      <c r="V75" s="1456"/>
      <c r="W75" s="1457"/>
      <c r="Y75" s="1418"/>
      <c r="Z75" s="1418"/>
      <c r="AA75" s="1418"/>
      <c r="AB75" s="1418"/>
      <c r="AC75" s="1418"/>
      <c r="AD75" s="1418"/>
      <c r="AE75" s="1418"/>
      <c r="AF75" s="1418"/>
      <c r="AG75" s="1418"/>
      <c r="AH75" s="1418"/>
      <c r="AI75" s="1418"/>
      <c r="AJ75" s="1418"/>
      <c r="AK75" s="1418"/>
      <c r="AL75" s="1418"/>
      <c r="AM75" s="1418"/>
      <c r="AN75" s="1418"/>
      <c r="AO75" s="1418"/>
      <c r="AP75" s="1418"/>
      <c r="AQ75" s="1418"/>
    </row>
    <row s="8279" customFormat="1" customHeight="1" ht="17.25" hidden="1">
      <c r="A76" s="475"/>
      <c r="C76" s="363"/>
      <c r="D76" s="2209"/>
      <c r="E76" s="2211"/>
      <c r="F76" s="2214"/>
      <c r="G76" s="2211"/>
      <c r="H76" s="2217"/>
      <c r="I76" s="2219"/>
      <c r="J76" s="2222"/>
      <c r="K76" s="2204"/>
      <c r="L76" s="2204"/>
      <c r="M76" s="2204"/>
      <c r="N76" s="2207"/>
      <c r="O76" s="2204"/>
      <c r="P76" s="1630"/>
      <c r="Q76" s="1456"/>
      <c r="R76" s="1456"/>
      <c r="S76" s="483"/>
      <c r="T76" s="483"/>
      <c r="U76" s="483"/>
      <c r="V76" s="483"/>
      <c r="W76" s="1457"/>
      <c r="Y76" s="1426"/>
      <c r="Z76" s="1426"/>
      <c r="AA76" s="1426"/>
      <c r="AB76" s="1426"/>
      <c r="AC76" s="1426"/>
      <c r="AD76" s="1426"/>
      <c r="AE76" s="1426"/>
      <c r="AF76" s="1426"/>
      <c r="AG76" s="1426"/>
      <c r="AH76" s="1426"/>
      <c r="AI76" s="1426"/>
      <c r="AJ76" s="1426"/>
      <c r="AK76" s="1426"/>
      <c r="AL76" s="1426"/>
      <c r="AM76" s="1426"/>
      <c r="AN76" s="1426"/>
      <c r="AO76" s="1426"/>
      <c r="AP76" s="1426"/>
      <c r="AQ76" s="1426"/>
    </row>
    <row s="8279" customFormat="1" customHeight="1" ht="17.25" hidden="1">
      <c r="A77" s="475"/>
      <c r="C77" s="474"/>
      <c r="D77" s="2209"/>
      <c r="E77" s="2211"/>
      <c r="F77" s="2214"/>
      <c r="G77" s="2211"/>
      <c r="H77" s="2217"/>
      <c r="I77" s="2219"/>
      <c r="J77" s="2222"/>
      <c r="K77" s="2204"/>
      <c r="L77" s="1456"/>
      <c r="M77" s="1456"/>
      <c r="N77" s="1456"/>
      <c r="O77" s="1456"/>
      <c r="P77" s="1456"/>
      <c r="Q77" s="1456"/>
      <c r="R77" s="1456"/>
      <c r="S77" s="483"/>
      <c r="T77" s="483"/>
      <c r="U77" s="483"/>
      <c r="V77" s="483"/>
      <c r="W77" s="1457"/>
      <c r="Y77" s="1418"/>
      <c r="Z77" s="1418"/>
      <c r="AA77" s="1418"/>
      <c r="AB77" s="1418"/>
      <c r="AC77" s="1418"/>
      <c r="AD77" s="1418"/>
      <c r="AE77" s="1418"/>
      <c r="AF77" s="1418"/>
      <c r="AG77" s="1418"/>
      <c r="AH77" s="1418"/>
      <c r="AI77" s="1418"/>
      <c r="AJ77" s="1418"/>
      <c r="AK77" s="1418"/>
      <c r="AL77" s="1418"/>
      <c r="AM77" s="1418"/>
      <c r="AN77" s="1418"/>
      <c r="AO77" s="1418"/>
      <c r="AP77" s="1418"/>
      <c r="AQ77" s="1418"/>
    </row>
    <row s="8277" customFormat="1" customHeight="1" ht="17.25" hidden="1">
      <c r="A78" s="475"/>
      <c r="C78" s="474"/>
      <c r="D78" s="2210"/>
      <c r="E78" s="2212"/>
      <c r="F78" s="2215"/>
      <c r="G78" s="2212"/>
      <c r="H78" s="1458"/>
      <c r="I78" s="1459"/>
      <c r="J78" s="1459"/>
      <c r="K78" s="1459"/>
      <c r="L78" s="1459"/>
      <c r="M78" s="1459"/>
      <c r="N78" s="1459"/>
      <c r="O78" s="1459"/>
      <c r="P78" s="1459"/>
      <c r="Q78" s="1459"/>
      <c r="R78" s="1459"/>
      <c r="S78" s="1460"/>
      <c r="T78" s="1460"/>
      <c r="U78" s="1460"/>
      <c r="V78" s="1460"/>
      <c r="W78" s="1461"/>
      <c r="Y78" s="1418"/>
      <c r="Z78" s="1418"/>
      <c r="AA78" s="1418"/>
      <c r="AB78" s="1418"/>
      <c r="AC78" s="1418"/>
      <c r="AD78" s="1418"/>
      <c r="AE78" s="1418"/>
      <c r="AF78" s="1418"/>
      <c r="AG78" s="1418"/>
      <c r="AH78" s="1418"/>
      <c r="AI78" s="1418"/>
      <c r="AJ78" s="1418"/>
      <c r="AK78" s="1418"/>
      <c r="AL78" s="1418"/>
      <c r="AM78" s="1418"/>
      <c r="AN78" s="1418"/>
      <c r="AO78" s="1418"/>
      <c r="AP78" s="1418"/>
      <c r="AQ78" s="1418"/>
    </row>
    <row s="8277" customFormat="1" customHeight="1" ht="17.25" hidden="1">
      <c r="A79" s="475"/>
      <c r="C79" s="363"/>
      <c r="D79" s="2209">
        <v>2</v>
      </c>
      <c r="E79" s="2211" t="s">
        <v>224</v>
      </c>
      <c r="F79" s="2213" t="s">
        <v>54</v>
      </c>
      <c r="G79" s="2211"/>
      <c r="H79" s="2216"/>
      <c r="I79" s="2218"/>
      <c r="J79" s="2220"/>
      <c r="K79" s="2203"/>
      <c r="L79" s="2203"/>
      <c r="M79" s="2203"/>
      <c r="N79" s="2205"/>
      <c r="O79" s="2203"/>
      <c r="P79" s="2203"/>
      <c r="Q79" s="2203"/>
      <c r="R79" s="2208"/>
      <c r="S79" s="2203"/>
      <c r="T79" s="1602"/>
      <c r="U79" s="1602"/>
      <c r="V79" s="1604"/>
      <c r="W79" s="1455"/>
      <c r="X79" s="1426"/>
      <c r="Y79" s="1426"/>
      <c r="Z79" s="1426"/>
      <c r="AA79" s="1426"/>
      <c r="AB79" s="1426"/>
      <c r="AC79" s="1426" t="s">
        <v>225</v>
      </c>
      <c r="AD79" s="1426" t="s">
        <v>226</v>
      </c>
      <c r="AE79" s="1426" t="s">
        <v>227</v>
      </c>
      <c r="AF79" s="1426" t="s">
        <v>228</v>
      </c>
      <c r="AG79" s="1426"/>
      <c r="AH79" s="1426" t="str">
        <f>IF($E$79=0,"",$E$79)</f>
        <v>Тариф на техническую воду</v>
      </c>
      <c r="AI79" s="1426" t="str">
        <f>IF($G$79=0,"",$G$79)</f>
        <v/>
      </c>
      <c r="AJ79" s="1426" t="str">
        <f>IF($J$79=0,"",$J$79)</f>
        <v/>
      </c>
      <c r="AK79" s="1426" t="str">
        <f>IF($K$79="нет","без дифференциации",IF($N$79=0,"",$N$79))</f>
        <v/>
      </c>
      <c r="AL79" s="1426" t="str">
        <f>IF($O$79="нет","без дифференциации",IF($R$79=0,"",$R$79))</f>
        <v/>
      </c>
      <c r="AM79" s="1426" t="str">
        <f>IF($S$79="нет","без дифференциации",IF($V$79=0,"",$V$79))</f>
        <v/>
      </c>
      <c r="AN79" s="1931">
        <f>$I$79</f>
        <v>0</v>
      </c>
      <c r="AO79" s="1426" t="str">
        <f>$I$79&amp;"."&amp;$M$79</f>
        <v>.</v>
      </c>
      <c r="AP79" s="1418" t="str">
        <f>$I$79&amp;"."&amp;$M$79&amp;"."&amp;$Q$79</f>
        <v>..</v>
      </c>
      <c r="AQ79" s="1418" t="str">
        <f>$I$79&amp;"."&amp;$M$79&amp;"."&amp;$Q$79&amp;"."&amp;$U$79</f>
        <v>...</v>
      </c>
    </row>
    <row s="8277" customFormat="1" customHeight="1" ht="17.25" hidden="1">
      <c r="A80" s="475"/>
      <c r="C80" s="474"/>
      <c r="D80" s="2209"/>
      <c r="E80" s="2211"/>
      <c r="F80" s="2214"/>
      <c r="G80" s="2211"/>
      <c r="H80" s="2217"/>
      <c r="I80" s="2219"/>
      <c r="J80" s="2221"/>
      <c r="K80" s="2204"/>
      <c r="L80" s="2204"/>
      <c r="M80" s="2204"/>
      <c r="N80" s="2206"/>
      <c r="O80" s="2204"/>
      <c r="P80" s="2204"/>
      <c r="Q80" s="2204"/>
      <c r="R80" s="2207"/>
      <c r="S80" s="2204"/>
      <c r="T80" s="1456"/>
      <c r="U80" s="1456"/>
      <c r="V80" s="1456"/>
      <c r="W80" s="1457"/>
      <c r="X80" s="1418"/>
      <c r="Y80" s="1418"/>
      <c r="Z80" s="1418"/>
      <c r="AA80" s="1418"/>
      <c r="AB80" s="1418"/>
      <c r="AC80" s="1418"/>
      <c r="AD80" s="1418"/>
      <c r="AE80" s="1418"/>
      <c r="AF80" s="1418"/>
      <c r="AG80" s="1418"/>
      <c r="AH80" s="1418"/>
      <c r="AI80" s="1418"/>
      <c r="AJ80" s="1418"/>
      <c r="AK80" s="1418"/>
      <c r="AL80" s="1418"/>
      <c r="AM80" s="1418"/>
      <c r="AN80" s="1418"/>
      <c r="AO80" s="1418"/>
      <c r="AP80" s="1418"/>
      <c r="AQ80" s="1418"/>
    </row>
    <row s="8277" customFormat="1" customHeight="1" ht="17.25" hidden="1">
      <c r="A81" s="475"/>
      <c r="C81" s="474"/>
      <c r="D81" s="2210"/>
      <c r="E81" s="2212"/>
      <c r="F81" s="2214"/>
      <c r="G81" s="2212"/>
      <c r="H81" s="2217"/>
      <c r="I81" s="2219"/>
      <c r="J81" s="2222"/>
      <c r="K81" s="2204"/>
      <c r="L81" s="2204"/>
      <c r="M81" s="2204"/>
      <c r="N81" s="2207"/>
      <c r="O81" s="2204"/>
      <c r="P81" s="1603"/>
      <c r="Q81" s="1456"/>
      <c r="R81" s="1456"/>
      <c r="S81" s="483"/>
      <c r="T81" s="483"/>
      <c r="U81" s="483"/>
      <c r="V81" s="483"/>
      <c r="W81" s="1457"/>
      <c r="X81" s="1418"/>
      <c r="Y81" s="1418"/>
      <c r="Z81" s="1418"/>
      <c r="AA81" s="1418"/>
      <c r="AB81" s="1418"/>
      <c r="AC81" s="1418"/>
      <c r="AD81" s="1418"/>
      <c r="AE81" s="1418"/>
      <c r="AF81" s="1418"/>
      <c r="AG81" s="1418"/>
      <c r="AH81" s="1418"/>
      <c r="AI81" s="1418"/>
      <c r="AJ81" s="1418"/>
      <c r="AK81" s="1418"/>
      <c r="AL81" s="1418"/>
      <c r="AM81" s="1418"/>
      <c r="AN81" s="1418"/>
      <c r="AO81" s="1418"/>
      <c r="AP81" s="1418"/>
      <c r="AQ81" s="1418"/>
    </row>
    <row s="8277" customFormat="1" customHeight="1" ht="17.25" hidden="1">
      <c r="A82" s="475"/>
      <c r="C82" s="474"/>
      <c r="D82" s="2210"/>
      <c r="E82" s="2212"/>
      <c r="F82" s="2214"/>
      <c r="G82" s="2212"/>
      <c r="H82" s="2217"/>
      <c r="I82" s="2219"/>
      <c r="J82" s="2222"/>
      <c r="K82" s="2204"/>
      <c r="L82" s="1456"/>
      <c r="M82" s="1456"/>
      <c r="N82" s="1456"/>
      <c r="O82" s="1456"/>
      <c r="P82" s="1456"/>
      <c r="Q82" s="1456"/>
      <c r="R82" s="1456"/>
      <c r="S82" s="483"/>
      <c r="T82" s="483"/>
      <c r="U82" s="483"/>
      <c r="V82" s="483"/>
      <c r="W82" s="1457"/>
      <c r="X82" s="1418"/>
      <c r="Y82" s="1418"/>
      <c r="Z82" s="1418"/>
      <c r="AA82" s="1418"/>
      <c r="AB82" s="1418"/>
      <c r="AC82" s="1418"/>
      <c r="AD82" s="1418"/>
      <c r="AE82" s="1418"/>
      <c r="AF82" s="1418"/>
      <c r="AG82" s="1418"/>
      <c r="AH82" s="1418"/>
      <c r="AI82" s="1418"/>
      <c r="AJ82" s="1418"/>
      <c r="AK82" s="1418"/>
      <c r="AL82" s="1418"/>
      <c r="AM82" s="1418"/>
      <c r="AN82" s="1418"/>
      <c r="AO82" s="1418"/>
      <c r="AP82" s="1418"/>
      <c r="AQ82" s="1418"/>
    </row>
    <row s="8277" customFormat="1" customHeight="1" ht="17.25" hidden="1">
      <c r="A83" s="475"/>
      <c r="C83" s="474"/>
      <c r="D83" s="2210"/>
      <c r="E83" s="2212"/>
      <c r="F83" s="2215"/>
      <c r="G83" s="2212"/>
      <c r="H83" s="1458"/>
      <c r="I83" s="1459"/>
      <c r="J83" s="1459"/>
      <c r="K83" s="1459"/>
      <c r="L83" s="1459"/>
      <c r="M83" s="1459"/>
      <c r="N83" s="1459"/>
      <c r="O83" s="1459"/>
      <c r="P83" s="1459"/>
      <c r="Q83" s="1459"/>
      <c r="R83" s="1459"/>
      <c r="S83" s="1460"/>
      <c r="T83" s="1460"/>
      <c r="U83" s="1460"/>
      <c r="V83" s="1460"/>
      <c r="W83" s="1461"/>
      <c r="X83" s="1418"/>
      <c r="Y83" s="1418"/>
      <c r="Z83" s="1418"/>
      <c r="AA83" s="1418"/>
      <c r="AB83" s="1418"/>
      <c r="AC83" s="1418"/>
      <c r="AD83" s="1418"/>
      <c r="AE83" s="1418"/>
      <c r="AF83" s="1418"/>
      <c r="AG83" s="1418"/>
      <c r="AH83" s="1418"/>
      <c r="AI83" s="1418"/>
      <c r="AJ83" s="1418"/>
      <c r="AK83" s="1418"/>
      <c r="AL83" s="1418"/>
      <c r="AM83" s="1418"/>
      <c r="AN83" s="1418"/>
      <c r="AO83" s="1418"/>
      <c r="AP83" s="1418"/>
      <c r="AQ83" s="1418"/>
    </row>
    <row s="8277" customFormat="1" customHeight="1" ht="17.25" hidden="1">
      <c r="A84" s="475"/>
      <c r="C84" s="363"/>
      <c r="D84" s="2209">
        <v>3</v>
      </c>
      <c r="E84" s="2211" t="s">
        <v>229</v>
      </c>
      <c r="F84" s="2213" t="s">
        <v>54</v>
      </c>
      <c r="G84" s="2211"/>
      <c r="H84" s="2216"/>
      <c r="I84" s="2218"/>
      <c r="J84" s="2220"/>
      <c r="K84" s="2203"/>
      <c r="L84" s="2203"/>
      <c r="M84" s="2203"/>
      <c r="N84" s="2205"/>
      <c r="O84" s="2203"/>
      <c r="P84" s="2203"/>
      <c r="Q84" s="2203"/>
      <c r="R84" s="2208"/>
      <c r="S84" s="2203"/>
      <c r="T84" s="1602"/>
      <c r="U84" s="1602"/>
      <c r="V84" s="1604"/>
      <c r="W84" s="1455"/>
      <c r="X84" s="1426"/>
      <c r="Y84" s="1426"/>
      <c r="Z84" s="1426"/>
      <c r="AA84" s="1426"/>
      <c r="AB84" s="1426"/>
      <c r="AC84" s="1426" t="s">
        <v>230</v>
      </c>
      <c r="AD84" s="1426" t="s">
        <v>231</v>
      </c>
      <c r="AE84" s="1426" t="s">
        <v>232</v>
      </c>
      <c r="AF84" s="1426" t="s">
        <v>233</v>
      </c>
      <c r="AG84" s="1426"/>
      <c r="AH84" s="1426" t="str">
        <f>IF($E$84=0,"",$E$84)</f>
        <v>Тариф на транспортировку воды</v>
      </c>
      <c r="AI84" s="1426" t="str">
        <f>IF($G$84=0,"",$G$84)</f>
        <v/>
      </c>
      <c r="AJ84" s="1426" t="str">
        <f>IF($J$84=0,"",$J$84)</f>
        <v/>
      </c>
      <c r="AK84" s="1426" t="str">
        <f>IF($K$84="нет","без дифференциации",IF($N$84=0,"",$N$84))</f>
        <v/>
      </c>
      <c r="AL84" s="1426" t="str">
        <f>IF($O$84="нет","без дифференциации",IF($R$84=0,"",$R$84))</f>
        <v/>
      </c>
      <c r="AM84" s="1426" t="str">
        <f>IF($S$84="нет","без дифференциации",IF($V$84=0,"",$V$84))</f>
        <v/>
      </c>
      <c r="AN84" s="1931">
        <f>$I$84</f>
        <v>0</v>
      </c>
      <c r="AO84" s="1426" t="str">
        <f>$I$84&amp;"."&amp;$M$84</f>
        <v>.</v>
      </c>
      <c r="AP84" s="1418" t="str">
        <f>$I$84&amp;"."&amp;$M$84&amp;"."&amp;$Q$84</f>
        <v>..</v>
      </c>
      <c r="AQ84" s="1418" t="str">
        <f>$I$84&amp;"."&amp;$M$84&amp;"."&amp;$Q$84&amp;"."&amp;$U$84</f>
        <v>...</v>
      </c>
    </row>
    <row s="8277" customFormat="1" customHeight="1" ht="17.25" hidden="1">
      <c r="A85" s="475"/>
      <c r="C85" s="474"/>
      <c r="D85" s="2209"/>
      <c r="E85" s="2211"/>
      <c r="F85" s="2214"/>
      <c r="G85" s="2211"/>
      <c r="H85" s="2217"/>
      <c r="I85" s="2219"/>
      <c r="J85" s="2221"/>
      <c r="K85" s="2204"/>
      <c r="L85" s="2204"/>
      <c r="M85" s="2204"/>
      <c r="N85" s="2206"/>
      <c r="O85" s="2204"/>
      <c r="P85" s="2204"/>
      <c r="Q85" s="2204"/>
      <c r="R85" s="2207"/>
      <c r="S85" s="2204"/>
      <c r="T85" s="1456"/>
      <c r="U85" s="1456"/>
      <c r="V85" s="1456"/>
      <c r="W85" s="1457"/>
      <c r="X85" s="1418"/>
      <c r="Y85" s="1418"/>
      <c r="Z85" s="1418"/>
      <c r="AA85" s="1418"/>
      <c r="AB85" s="1418"/>
      <c r="AC85" s="1418"/>
      <c r="AD85" s="1418"/>
      <c r="AE85" s="1418"/>
      <c r="AF85" s="1418"/>
      <c r="AG85" s="1418"/>
      <c r="AH85" s="1418"/>
      <c r="AI85" s="1418"/>
      <c r="AJ85" s="1418"/>
      <c r="AK85" s="1418"/>
      <c r="AL85" s="1418"/>
      <c r="AM85" s="1418"/>
      <c r="AN85" s="1418"/>
      <c r="AO85" s="1418"/>
      <c r="AP85" s="1418"/>
      <c r="AQ85" s="1418"/>
    </row>
    <row s="8277" customFormat="1" customHeight="1" ht="17.25" hidden="1">
      <c r="A86" s="475"/>
      <c r="C86" s="474"/>
      <c r="D86" s="2210"/>
      <c r="E86" s="2212"/>
      <c r="F86" s="2214"/>
      <c r="G86" s="2212"/>
      <c r="H86" s="2217"/>
      <c r="I86" s="2219"/>
      <c r="J86" s="2222"/>
      <c r="K86" s="2204"/>
      <c r="L86" s="2204"/>
      <c r="M86" s="2204"/>
      <c r="N86" s="2207"/>
      <c r="O86" s="2204"/>
      <c r="P86" s="1603"/>
      <c r="Q86" s="1456"/>
      <c r="R86" s="1456"/>
      <c r="S86" s="483"/>
      <c r="T86" s="483"/>
      <c r="U86" s="483"/>
      <c r="V86" s="483"/>
      <c r="W86" s="1457"/>
      <c r="X86" s="1418"/>
      <c r="Y86" s="1418"/>
      <c r="Z86" s="1418"/>
      <c r="AA86" s="1418"/>
      <c r="AB86" s="1418"/>
      <c r="AC86" s="1418"/>
      <c r="AD86" s="1418"/>
      <c r="AE86" s="1418"/>
      <c r="AF86" s="1418"/>
      <c r="AG86" s="1418"/>
      <c r="AH86" s="1418"/>
      <c r="AI86" s="1418"/>
      <c r="AJ86" s="1418"/>
      <c r="AK86" s="1418"/>
      <c r="AL86" s="1418"/>
      <c r="AM86" s="1418"/>
      <c r="AN86" s="1418"/>
      <c r="AO86" s="1418"/>
      <c r="AP86" s="1418"/>
      <c r="AQ86" s="1418"/>
    </row>
    <row s="8277" customFormat="1" customHeight="1" ht="17.25" hidden="1">
      <c r="A87" s="475"/>
      <c r="C87" s="474"/>
      <c r="D87" s="2210"/>
      <c r="E87" s="2212"/>
      <c r="F87" s="2214"/>
      <c r="G87" s="2212"/>
      <c r="H87" s="2217"/>
      <c r="I87" s="2219"/>
      <c r="J87" s="2222"/>
      <c r="K87" s="2204"/>
      <c r="L87" s="1456"/>
      <c r="M87" s="1456"/>
      <c r="N87" s="1456"/>
      <c r="O87" s="1456"/>
      <c r="P87" s="1456"/>
      <c r="Q87" s="1456"/>
      <c r="R87" s="1456"/>
      <c r="S87" s="483"/>
      <c r="T87" s="483"/>
      <c r="U87" s="483"/>
      <c r="V87" s="483"/>
      <c r="W87" s="1457"/>
      <c r="X87" s="1418"/>
      <c r="Y87" s="1418"/>
      <c r="Z87" s="1418"/>
      <c r="AA87" s="1418"/>
      <c r="AB87" s="1418"/>
      <c r="AC87" s="1418"/>
      <c r="AD87" s="1418"/>
      <c r="AE87" s="1418"/>
      <c r="AF87" s="1418"/>
      <c r="AG87" s="1418"/>
      <c r="AH87" s="1418"/>
      <c r="AI87" s="1418"/>
      <c r="AJ87" s="1418"/>
      <c r="AK87" s="1418"/>
      <c r="AL87" s="1418"/>
      <c r="AM87" s="1418"/>
      <c r="AN87" s="1418"/>
      <c r="AO87" s="1418"/>
      <c r="AP87" s="1418"/>
      <c r="AQ87" s="1418"/>
    </row>
    <row s="8277" customFormat="1" customHeight="1" ht="17.25" hidden="1">
      <c r="A88" s="475"/>
      <c r="C88" s="474"/>
      <c r="D88" s="2210"/>
      <c r="E88" s="2212"/>
      <c r="F88" s="2215"/>
      <c r="G88" s="2212"/>
      <c r="H88" s="1458"/>
      <c r="I88" s="1459"/>
      <c r="J88" s="1459"/>
      <c r="K88" s="1459"/>
      <c r="L88" s="1459"/>
      <c r="M88" s="1459"/>
      <c r="N88" s="1459"/>
      <c r="O88" s="1459"/>
      <c r="P88" s="1459"/>
      <c r="Q88" s="1459"/>
      <c r="R88" s="1459"/>
      <c r="S88" s="1460"/>
      <c r="T88" s="1460"/>
      <c r="U88" s="1460"/>
      <c r="V88" s="1460"/>
      <c r="W88" s="1461"/>
      <c r="X88" s="1418"/>
      <c r="Y88" s="1418"/>
      <c r="Z88" s="1418"/>
      <c r="AA88" s="1418"/>
      <c r="AB88" s="1418"/>
      <c r="AC88" s="1418"/>
      <c r="AD88" s="1418"/>
      <c r="AE88" s="1418"/>
      <c r="AF88" s="1418"/>
      <c r="AG88" s="1418"/>
      <c r="AH88" s="1418"/>
      <c r="AI88" s="1418"/>
      <c r="AJ88" s="1418"/>
      <c r="AK88" s="1418"/>
      <c r="AL88" s="1418"/>
      <c r="AM88" s="1418"/>
      <c r="AN88" s="1418"/>
      <c r="AO88" s="1418"/>
      <c r="AP88" s="1418"/>
      <c r="AQ88" s="1418"/>
    </row>
    <row s="8277" customFormat="1" customHeight="1" ht="17.25" hidden="1">
      <c r="A89" s="475"/>
      <c r="C89" s="363"/>
      <c r="D89" s="2209">
        <v>4</v>
      </c>
      <c r="E89" s="2211" t="s">
        <v>234</v>
      </c>
      <c r="F89" s="2213" t="s">
        <v>54</v>
      </c>
      <c r="G89" s="2211"/>
      <c r="H89" s="2216"/>
      <c r="I89" s="2218"/>
      <c r="J89" s="2220"/>
      <c r="K89" s="2203"/>
      <c r="L89" s="2203"/>
      <c r="M89" s="2203"/>
      <c r="N89" s="2205"/>
      <c r="O89" s="2203"/>
      <c r="P89" s="2203"/>
      <c r="Q89" s="2203"/>
      <c r="R89" s="2208"/>
      <c r="S89" s="2203"/>
      <c r="T89" s="1602"/>
      <c r="U89" s="1602"/>
      <c r="V89" s="1604"/>
      <c r="W89" s="1455"/>
      <c r="X89" s="1426"/>
      <c r="Y89" s="1426"/>
      <c r="Z89" s="1426"/>
      <c r="AA89" s="1426"/>
      <c r="AB89" s="1426"/>
      <c r="AC89" s="1426" t="s">
        <v>235</v>
      </c>
      <c r="AD89" s="1426" t="s">
        <v>236</v>
      </c>
      <c r="AE89" s="1426" t="s">
        <v>237</v>
      </c>
      <c r="AF89" s="1426" t="s">
        <v>238</v>
      </c>
      <c r="AG89" s="1426"/>
      <c r="AH89" s="1426" t="str">
        <f>IF($E$89=0,"",$E$89)</f>
        <v>Тариф на подвоз воды</v>
      </c>
      <c r="AI89" s="1426" t="str">
        <f>IF($G$89=0,"",$G$89)</f>
        <v/>
      </c>
      <c r="AJ89" s="1426" t="str">
        <f>IF($J$89=0,"",$J$89)</f>
        <v/>
      </c>
      <c r="AK89" s="1426" t="str">
        <f>IF($K$89="нет","без дифференциации",IF($N$89=0,"",$N$89))</f>
        <v/>
      </c>
      <c r="AL89" s="1426" t="str">
        <f>IF($O$89="нет","без дифференциации",IF($R$89=0,"",$R$89))</f>
        <v/>
      </c>
      <c r="AM89" s="1426" t="str">
        <f>IF($S$89="нет","без дифференциации",IF($V$89=0,"",$V$89))</f>
        <v/>
      </c>
      <c r="AN89" s="1931">
        <f>$I$89</f>
        <v>0</v>
      </c>
      <c r="AO89" s="1426" t="str">
        <f>$I$89&amp;"."&amp;$M$89</f>
        <v>.</v>
      </c>
      <c r="AP89" s="1418" t="str">
        <f>$I$89&amp;"."&amp;$M$89&amp;"."&amp;$Q$89</f>
        <v>..</v>
      </c>
      <c r="AQ89" s="1418" t="str">
        <f>$I$89&amp;"."&amp;$M$89&amp;"."&amp;$Q$89&amp;"."&amp;$U$89</f>
        <v>...</v>
      </c>
    </row>
    <row s="8277" customFormat="1" customHeight="1" ht="17.25" hidden="1">
      <c r="A90" s="475"/>
      <c r="C90" s="474"/>
      <c r="D90" s="2209"/>
      <c r="E90" s="2211"/>
      <c r="F90" s="2214"/>
      <c r="G90" s="2211"/>
      <c r="H90" s="2217"/>
      <c r="I90" s="2219"/>
      <c r="J90" s="2221"/>
      <c r="K90" s="2204"/>
      <c r="L90" s="2204"/>
      <c r="M90" s="2204"/>
      <c r="N90" s="2206"/>
      <c r="O90" s="2204"/>
      <c r="P90" s="2204"/>
      <c r="Q90" s="2204"/>
      <c r="R90" s="2207"/>
      <c r="S90" s="2204"/>
      <c r="T90" s="1456"/>
      <c r="U90" s="1456"/>
      <c r="V90" s="1456"/>
      <c r="W90" s="1457"/>
      <c r="X90" s="1418"/>
      <c r="Y90" s="1418"/>
      <c r="Z90" s="1418"/>
      <c r="AA90" s="1418"/>
      <c r="AB90" s="1418"/>
      <c r="AC90" s="1418"/>
      <c r="AD90" s="1418"/>
      <c r="AE90" s="1418"/>
      <c r="AF90" s="1418"/>
      <c r="AG90" s="1418"/>
      <c r="AH90" s="1418"/>
      <c r="AI90" s="1418"/>
      <c r="AJ90" s="1418"/>
      <c r="AK90" s="1418"/>
      <c r="AL90" s="1418"/>
      <c r="AM90" s="1418"/>
      <c r="AN90" s="1418"/>
      <c r="AO90" s="1418"/>
      <c r="AP90" s="1418"/>
      <c r="AQ90" s="1418"/>
    </row>
    <row s="8277" customFormat="1" customHeight="1" ht="17.25" hidden="1">
      <c r="A91" s="475"/>
      <c r="C91" s="474"/>
      <c r="D91" s="2210"/>
      <c r="E91" s="2212"/>
      <c r="F91" s="2214"/>
      <c r="G91" s="2212"/>
      <c r="H91" s="2217"/>
      <c r="I91" s="2219"/>
      <c r="J91" s="2222"/>
      <c r="K91" s="2204"/>
      <c r="L91" s="2204"/>
      <c r="M91" s="2204"/>
      <c r="N91" s="2207"/>
      <c r="O91" s="2204"/>
      <c r="P91" s="1603"/>
      <c r="Q91" s="1456"/>
      <c r="R91" s="1456"/>
      <c r="S91" s="483"/>
      <c r="T91" s="483"/>
      <c r="U91" s="483"/>
      <c r="V91" s="483"/>
      <c r="W91" s="1457"/>
      <c r="X91" s="1418"/>
      <c r="Y91" s="1418"/>
      <c r="Z91" s="1418"/>
      <c r="AA91" s="1418"/>
      <c r="AB91" s="1418"/>
      <c r="AC91" s="1418"/>
      <c r="AD91" s="1418"/>
      <c r="AE91" s="1418"/>
      <c r="AF91" s="1418"/>
      <c r="AG91" s="1418"/>
      <c r="AH91" s="1418"/>
      <c r="AI91" s="1418"/>
      <c r="AJ91" s="1418"/>
      <c r="AK91" s="1418"/>
      <c r="AL91" s="1418"/>
      <c r="AM91" s="1418"/>
      <c r="AN91" s="1418"/>
      <c r="AO91" s="1418"/>
      <c r="AP91" s="1418"/>
      <c r="AQ91" s="1418"/>
    </row>
    <row s="8277" customFormat="1" customHeight="1" ht="17.25" hidden="1">
      <c r="A92" s="475"/>
      <c r="C92" s="474"/>
      <c r="D92" s="2210"/>
      <c r="E92" s="2212"/>
      <c r="F92" s="2214"/>
      <c r="G92" s="2212"/>
      <c r="H92" s="2217"/>
      <c r="I92" s="2219"/>
      <c r="J92" s="2222"/>
      <c r="K92" s="2204"/>
      <c r="L92" s="1456"/>
      <c r="M92" s="1456"/>
      <c r="N92" s="1456"/>
      <c r="O92" s="1456"/>
      <c r="P92" s="1456"/>
      <c r="Q92" s="1456"/>
      <c r="R92" s="1456"/>
      <c r="S92" s="483"/>
      <c r="T92" s="483"/>
      <c r="U92" s="483"/>
      <c r="V92" s="483"/>
      <c r="W92" s="1457"/>
      <c r="X92" s="1418"/>
      <c r="Y92" s="1418"/>
      <c r="Z92" s="1418"/>
      <c r="AA92" s="1418"/>
      <c r="AB92" s="1418"/>
      <c r="AC92" s="1418"/>
      <c r="AD92" s="1418"/>
      <c r="AE92" s="1418"/>
      <c r="AF92" s="1418"/>
      <c r="AG92" s="1418"/>
      <c r="AH92" s="1418"/>
      <c r="AI92" s="1418"/>
      <c r="AJ92" s="1418"/>
      <c r="AK92" s="1418"/>
      <c r="AL92" s="1418"/>
      <c r="AM92" s="1418"/>
      <c r="AN92" s="1418"/>
      <c r="AO92" s="1418"/>
      <c r="AP92" s="1418"/>
      <c r="AQ92" s="1418"/>
    </row>
    <row s="8277" customFormat="1" customHeight="1" ht="17.25" hidden="1">
      <c r="A93" s="475"/>
      <c r="C93" s="474"/>
      <c r="D93" s="2210"/>
      <c r="E93" s="2212"/>
      <c r="F93" s="2215"/>
      <c r="G93" s="2212"/>
      <c r="H93" s="1458"/>
      <c r="I93" s="1459"/>
      <c r="J93" s="1459"/>
      <c r="K93" s="1459"/>
      <c r="L93" s="1459"/>
      <c r="M93" s="1459"/>
      <c r="N93" s="1459"/>
      <c r="O93" s="1459"/>
      <c r="P93" s="1459"/>
      <c r="Q93" s="1459"/>
      <c r="R93" s="1459"/>
      <c r="S93" s="1460"/>
      <c r="T93" s="1460"/>
      <c r="U93" s="1460"/>
      <c r="V93" s="1460"/>
      <c r="W93" s="1461"/>
      <c r="X93" s="1418"/>
      <c r="Y93" s="1418"/>
      <c r="Z93" s="1418"/>
      <c r="AA93" s="1418"/>
      <c r="AB93" s="1418"/>
      <c r="AC93" s="1418"/>
      <c r="AD93" s="1418"/>
      <c r="AE93" s="1418"/>
      <c r="AF93" s="1418"/>
      <c r="AG93" s="1418"/>
      <c r="AH93" s="1418"/>
      <c r="AI93" s="1418"/>
      <c r="AJ93" s="1418"/>
      <c r="AK93" s="1418"/>
      <c r="AL93" s="1418"/>
      <c r="AM93" s="1418"/>
      <c r="AN93" s="1418"/>
      <c r="AO93" s="1418"/>
      <c r="AP93" s="1418"/>
      <c r="AQ93" s="1418"/>
    </row>
    <row s="8263" customFormat="1" customHeight="1" ht="17.25" hidden="1">
      <c r="A94" s="475"/>
      <c r="C94" s="363"/>
      <c r="D94" s="2209">
        <v>5</v>
      </c>
      <c r="E94" s="2211" t="s">
        <v>239</v>
      </c>
      <c r="F94" s="2213" t="s">
        <v>54</v>
      </c>
      <c r="G94" s="2211"/>
      <c r="H94" s="2216"/>
      <c r="I94" s="2218"/>
      <c r="J94" s="2220"/>
      <c r="K94" s="2203"/>
      <c r="L94" s="2203"/>
      <c r="M94" s="2203"/>
      <c r="N94" s="2205"/>
      <c r="O94" s="2203"/>
      <c r="P94" s="2203"/>
      <c r="Q94" s="2203"/>
      <c r="R94" s="2208"/>
      <c r="S94" s="2203"/>
      <c r="T94" s="2103"/>
      <c r="U94" s="2103"/>
      <c r="V94" s="2105"/>
      <c r="W94" s="1455"/>
      <c r="X94" s="1426"/>
      <c r="Y94" s="1426"/>
      <c r="Z94" s="1426"/>
      <c r="AA94" s="1426"/>
      <c r="AB94" s="1426"/>
      <c r="AC94" s="1426" t="s">
        <v>240</v>
      </c>
      <c r="AD94" s="1426" t="s">
        <v>241</v>
      </c>
      <c r="AE94" s="1426" t="s">
        <v>242</v>
      </c>
      <c r="AF94" s="1426" t="s">
        <v>243</v>
      </c>
      <c r="AG94" s="1426"/>
      <c r="AH94" s="1426" t="str">
        <f>IF($E$94=0,"",$E$94)</f>
        <v>Тариф на подключение (технологическое присоединение) к централизованной системе холодного водоснабжения</v>
      </c>
      <c r="AI94" s="1426" t="str">
        <f>IF($G$94=0,"",$G$94)</f>
        <v/>
      </c>
      <c r="AJ94" s="1426" t="str">
        <f>IF($J$94=0,"",$J$94)</f>
        <v/>
      </c>
      <c r="AK94" s="1426" t="str">
        <f>IF($K$94="нет","без дифференциации",IF($N$94=0,"",$N$94))</f>
        <v/>
      </c>
      <c r="AL94" s="1426" t="str">
        <f>IF($O$94="нет","без дифференциации",IF($R$94=0,"",$R$94))</f>
        <v/>
      </c>
      <c r="AM94" s="1426" t="str">
        <f>IF($S$94="нет","без дифференциации",IF($V$94=0,"",$V$94))</f>
        <v/>
      </c>
      <c r="AN94" s="1931">
        <f>$I$94</f>
        <v>0</v>
      </c>
      <c r="AO94" s="1426" t="str">
        <f>$I$94&amp;"."&amp;$M$94</f>
        <v>.</v>
      </c>
      <c r="AP94" s="1425" t="str">
        <f>$I$94&amp;"."&amp;$M$94&amp;"."&amp;$Q$94</f>
        <v>..</v>
      </c>
      <c r="AQ94" s="1425" t="str">
        <f>$I$94&amp;"."&amp;$M$94&amp;"."&amp;$Q$94&amp;"."&amp;$U$94</f>
        <v>...</v>
      </c>
    </row>
    <row s="8263" customFormat="1" customHeight="1" ht="17.25" hidden="1">
      <c r="A95" s="475"/>
      <c r="C95" s="474"/>
      <c r="D95" s="2209"/>
      <c r="E95" s="2211"/>
      <c r="F95" s="2214"/>
      <c r="G95" s="2211"/>
      <c r="H95" s="2217"/>
      <c r="I95" s="2219"/>
      <c r="J95" s="2221"/>
      <c r="K95" s="2204"/>
      <c r="L95" s="2204"/>
      <c r="M95" s="2204"/>
      <c r="N95" s="2206"/>
      <c r="O95" s="2204"/>
      <c r="P95" s="2204"/>
      <c r="Q95" s="2204"/>
      <c r="R95" s="2207"/>
      <c r="S95" s="2204"/>
      <c r="T95" s="2108"/>
      <c r="U95" s="2108"/>
      <c r="V95" s="2108"/>
      <c r="W95" s="2109"/>
      <c r="X95" s="1425"/>
      <c r="Y95" s="1425"/>
      <c r="Z95" s="1425"/>
      <c r="AA95" s="1425"/>
      <c r="AB95" s="1425"/>
      <c r="AC95" s="1425"/>
      <c r="AD95" s="1425"/>
      <c r="AE95" s="1425"/>
      <c r="AF95" s="1425"/>
      <c r="AG95" s="1425"/>
      <c r="AH95" s="1425"/>
      <c r="AI95" s="1425"/>
      <c r="AJ95" s="1425"/>
      <c r="AK95" s="1425"/>
      <c r="AL95" s="1425"/>
      <c r="AM95" s="1425"/>
      <c r="AN95" s="1425"/>
      <c r="AO95" s="1425"/>
      <c r="AP95" s="1425"/>
      <c r="AQ95" s="1425"/>
    </row>
    <row s="8263" customFormat="1" customHeight="1" ht="17.25" hidden="1">
      <c r="A96" s="475"/>
      <c r="C96" s="474"/>
      <c r="D96" s="2210"/>
      <c r="E96" s="2212"/>
      <c r="F96" s="2214"/>
      <c r="G96" s="2212"/>
      <c r="H96" s="2217"/>
      <c r="I96" s="2219"/>
      <c r="J96" s="2222"/>
      <c r="K96" s="2204"/>
      <c r="L96" s="2204"/>
      <c r="M96" s="2204"/>
      <c r="N96" s="2207"/>
      <c r="O96" s="2204"/>
      <c r="P96" s="2104"/>
      <c r="Q96" s="2108"/>
      <c r="R96" s="2108"/>
      <c r="S96" s="483"/>
      <c r="T96" s="483"/>
      <c r="U96" s="483"/>
      <c r="V96" s="483"/>
      <c r="W96" s="2109"/>
      <c r="X96" s="1425"/>
      <c r="Y96" s="1425"/>
      <c r="Z96" s="1425"/>
      <c r="AA96" s="1425"/>
      <c r="AB96" s="1425"/>
      <c r="AC96" s="1425"/>
      <c r="AD96" s="1425"/>
      <c r="AE96" s="1425"/>
      <c r="AF96" s="1425"/>
      <c r="AG96" s="1425"/>
      <c r="AH96" s="1425"/>
      <c r="AI96" s="1425"/>
      <c r="AJ96" s="1425"/>
      <c r="AK96" s="1425"/>
      <c r="AL96" s="1425"/>
      <c r="AM96" s="1425"/>
      <c r="AN96" s="1425"/>
      <c r="AO96" s="1425"/>
      <c r="AP96" s="1425"/>
      <c r="AQ96" s="1425"/>
    </row>
    <row s="8263" customFormat="1" customHeight="1" ht="17.25" hidden="1">
      <c r="A97" s="475"/>
      <c r="C97" s="474"/>
      <c r="D97" s="2210"/>
      <c r="E97" s="2212"/>
      <c r="F97" s="2214"/>
      <c r="G97" s="2212"/>
      <c r="H97" s="2217"/>
      <c r="I97" s="2219"/>
      <c r="J97" s="2222"/>
      <c r="K97" s="2204"/>
      <c r="L97" s="2108"/>
      <c r="M97" s="2108"/>
      <c r="N97" s="2108"/>
      <c r="O97" s="2108"/>
      <c r="P97" s="2108"/>
      <c r="Q97" s="2108"/>
      <c r="R97" s="2108"/>
      <c r="S97" s="483"/>
      <c r="T97" s="483"/>
      <c r="U97" s="483"/>
      <c r="V97" s="483"/>
      <c r="W97" s="2109"/>
      <c r="X97" s="1425"/>
      <c r="Y97" s="1425"/>
      <c r="Z97" s="1425"/>
      <c r="AA97" s="1425"/>
      <c r="AB97" s="1425"/>
      <c r="AC97" s="1425"/>
      <c r="AD97" s="1425"/>
      <c r="AE97" s="1425"/>
      <c r="AF97" s="1425"/>
      <c r="AG97" s="1425"/>
      <c r="AH97" s="1425"/>
      <c r="AI97" s="1425"/>
      <c r="AJ97" s="1425"/>
      <c r="AK97" s="1425"/>
      <c r="AL97" s="1425"/>
      <c r="AM97" s="1425"/>
      <c r="AN97" s="1425"/>
      <c r="AO97" s="1425"/>
      <c r="AP97" s="1425"/>
      <c r="AQ97" s="1425"/>
    </row>
    <row s="8263" customFormat="1" customHeight="1" ht="17.25" hidden="1">
      <c r="A98" s="475"/>
      <c r="C98" s="474"/>
      <c r="D98" s="2210"/>
      <c r="E98" s="2212"/>
      <c r="F98" s="2215"/>
      <c r="G98" s="2212"/>
      <c r="H98" s="1458"/>
      <c r="I98" s="2106"/>
      <c r="J98" s="2106"/>
      <c r="K98" s="2106"/>
      <c r="L98" s="2106"/>
      <c r="M98" s="2106"/>
      <c r="N98" s="2106"/>
      <c r="O98" s="2106"/>
      <c r="P98" s="2106"/>
      <c r="Q98" s="2106"/>
      <c r="R98" s="2106"/>
      <c r="S98" s="1460"/>
      <c r="T98" s="1460"/>
      <c r="U98" s="1460"/>
      <c r="V98" s="1460"/>
      <c r="W98" s="2107"/>
      <c r="X98" s="1425"/>
      <c r="Y98" s="1425"/>
      <c r="Z98" s="1425"/>
      <c r="AA98" s="1425"/>
      <c r="AB98" s="1425"/>
      <c r="AC98" s="1425"/>
      <c r="AD98" s="1425"/>
      <c r="AE98" s="1425"/>
      <c r="AF98" s="1425"/>
      <c r="AG98" s="1425"/>
      <c r="AH98" s="1425"/>
      <c r="AI98" s="1425"/>
      <c r="AJ98" s="1425"/>
      <c r="AK98" s="1425"/>
      <c r="AL98" s="1425"/>
      <c r="AM98" s="1425"/>
      <c r="AN98" s="1425"/>
      <c r="AO98" s="1425"/>
      <c r="AP98" s="1425"/>
      <c r="AQ98" s="1425"/>
    </row>
    <row s="8263" customFormat="1" customHeight="1" ht="11.25" hidden="1">
      <c r="A99" s="431"/>
      <c r="B99" s="431"/>
      <c r="Y99" s="1418"/>
      <c r="Z99" s="1418"/>
      <c r="AA99" s="1418"/>
      <c r="AB99" s="1418"/>
      <c r="AC99" s="1418"/>
      <c r="AD99" s="1418"/>
      <c r="AE99" s="1418"/>
      <c r="AF99" s="1418"/>
      <c r="AG99" s="1418"/>
      <c r="AH99" s="1418"/>
      <c r="AI99" s="1418"/>
      <c r="AJ99" s="1418"/>
      <c r="AK99" s="1418"/>
      <c r="AL99" s="1418"/>
      <c r="AM99" s="1418"/>
      <c r="AN99" s="1418"/>
      <c r="AO99" s="1418"/>
      <c r="AP99" s="1418"/>
      <c r="AQ99" s="1418"/>
    </row>
    <row s="8263" customFormat="1" customHeight="1" ht="17.25">
      <c r="A100" s="475"/>
      <c r="C100" s="363"/>
      <c r="D100" s="2209">
        <v>1</v>
      </c>
      <c r="E100" s="2211" t="s">
        <v>244</v>
      </c>
      <c r="F100" s="2213" t="s">
        <v>64</v>
      </c>
      <c r="G100" s="5563" t="str">
        <f>INDEX(HOTVSNA_PT_VED_NAME,MATCH(4189706,HOTVSNA_PT_VED_ID,0))</f>
        <v>Горячее водоснабжение</v>
      </c>
      <c r="H100" s="5564"/>
      <c r="I100" s="5564">
        <v>1</v>
      </c>
      <c r="J100" s="5565" t="s">
        <v>245</v>
      </c>
      <c r="K100" s="5566" t="s">
        <v>54</v>
      </c>
      <c r="L100" s="5567"/>
      <c r="M100" s="5567" t="s">
        <v>106</v>
      </c>
      <c r="N100" s="5568" t="s">
        <v>24</v>
      </c>
      <c r="O100" s="5566" t="s">
        <v>54</v>
      </c>
      <c r="P100" s="5567"/>
      <c r="Q100" s="5567" t="s">
        <v>106</v>
      </c>
      <c r="R100" s="5569" t="s">
        <v>24</v>
      </c>
      <c r="S100" s="5570" t="s">
        <v>54</v>
      </c>
      <c r="T100" s="5570"/>
      <c r="U100" s="5570" t="s">
        <v>106</v>
      </c>
      <c r="V100" s="5571"/>
      <c r="W100" s="5565"/>
      <c r="Y100" s="1426"/>
      <c r="Z100" s="1426"/>
      <c r="AA100" s="1426"/>
      <c r="AB100" s="1426" t="s">
        <v>246</v>
      </c>
      <c r="AC100" s="1426" t="s">
        <v>247</v>
      </c>
      <c r="AD100" s="1426" t="s">
        <v>248</v>
      </c>
      <c r="AE100" s="1426" t="s">
        <v>249</v>
      </c>
      <c r="AF100" s="1426" t="s">
        <v>250</v>
      </c>
      <c r="AG100" s="1426"/>
      <c r="AH100" s="1426" t="str">
        <f>IF($E$100=0,"",$E$100)</f>
        <v>Тариф на горячую воду (горячее водоснабжение)</v>
      </c>
      <c r="AI100" s="1426" t="str">
        <f>IF($G$100=0,"",$G$100)</f>
        <v>Горячее водоснабжение</v>
      </c>
      <c r="AJ100" s="1426" t="str">
        <f>IF($J$100=0,"",$J$100)</f>
        <v>Тариф на горячую воду, поставляемую с использованием закрытой системы горячего водоснабжения АО "Теплокоммунэнерго" (ИНН 6165199445)</v>
      </c>
      <c r="AK100" s="1426" t="str">
        <f>IF($K$100="нет","без дифференциации",IF($N$100=0,"",$N$100))</f>
        <v>без дифференциации</v>
      </c>
      <c r="AL100" s="1426" t="str">
        <f>IF($O$100="нет","без дифференциации",IF($R$100=0,"",$R$100))</f>
        <v>без дифференциации</v>
      </c>
      <c r="AM100" s="1426" t="str">
        <f>IF($S$100="нет","без дифференциации",IF($V$100=0,"",$V$100))</f>
        <v>без дифференциации</v>
      </c>
      <c r="AN100" s="1426">
        <f>$I$100</f>
        <v>1</v>
      </c>
      <c r="AO100" s="1426" t="str">
        <f>$I$100&amp;"."&amp;$M$100</f>
        <v>1.1</v>
      </c>
      <c r="AP100" s="1426" t="str">
        <f>$I$100&amp;"."&amp;$M$100&amp;"."&amp;$Q$100</f>
        <v>1.1.1</v>
      </c>
      <c r="AQ100" s="1426" t="str">
        <f>$I$100&amp;"."&amp;$M$100&amp;"."&amp;$Q$100&amp;"."&amp;$U$100</f>
        <v>1.1.1.1</v>
      </c>
    </row>
    <row s="8263" customFormat="1" customHeight="1" ht="17.25">
      <c r="A101" s="475"/>
      <c r="C101" s="474"/>
      <c r="D101" s="2209"/>
      <c r="E101" s="2211"/>
      <c r="F101" s="2214"/>
      <c r="G101" s="5563"/>
      <c r="H101" s="5564"/>
      <c r="I101" s="5564"/>
      <c r="J101" s="5565"/>
      <c r="K101" s="5572"/>
      <c r="L101" s="5567"/>
      <c r="M101" s="5567"/>
      <c r="N101" s="5568" t="s">
        <v>24</v>
      </c>
      <c r="O101" s="5572"/>
      <c r="P101" s="5567"/>
      <c r="Q101" s="5567"/>
      <c r="R101" s="5569" t="s">
        <v>24</v>
      </c>
      <c r="S101" s="5570"/>
      <c r="T101" s="5573"/>
      <c r="U101" s="5574"/>
      <c r="V101" s="5574"/>
      <c r="W101" s="5565"/>
      <c r="Y101" s="1418"/>
      <c r="Z101" s="1418"/>
      <c r="AA101" s="1418"/>
      <c r="AB101" s="1418"/>
      <c r="AC101" s="1418"/>
      <c r="AD101" s="1418"/>
      <c r="AE101" s="1418"/>
      <c r="AF101" s="1418"/>
      <c r="AG101" s="1418"/>
      <c r="AH101" s="1418"/>
      <c r="AI101" s="1418"/>
      <c r="AJ101" s="1418"/>
      <c r="AK101" s="1418"/>
      <c r="AL101" s="1418"/>
      <c r="AM101" s="1418"/>
      <c r="AN101" s="1418"/>
      <c r="AO101" s="1418"/>
      <c r="AP101" s="1418"/>
      <c r="AQ101" s="1418"/>
    </row>
    <row s="8263" customFormat="1" customHeight="1" ht="17.25">
      <c r="A102" s="475"/>
      <c r="C102" s="363"/>
      <c r="D102" s="2209"/>
      <c r="E102" s="2211"/>
      <c r="F102" s="2214"/>
      <c r="G102" s="5563"/>
      <c r="H102" s="5575"/>
      <c r="I102" s="5575"/>
      <c r="J102" s="5576"/>
      <c r="K102" s="5572"/>
      <c r="L102" s="5575"/>
      <c r="M102" s="5575"/>
      <c r="N102" s="5569" t="s">
        <v>24</v>
      </c>
      <c r="O102" s="5577"/>
      <c r="P102" s="5578"/>
      <c r="Q102" s="5579"/>
      <c r="R102" s="5580" t="s">
        <v>251</v>
      </c>
      <c r="S102" s="5581"/>
      <c r="T102" s="5582"/>
      <c r="U102" s="5583"/>
      <c r="V102" s="5584"/>
      <c r="W102" s="5585"/>
      <c r="Y102" s="1426"/>
      <c r="Z102" s="1426"/>
      <c r="AA102" s="1426"/>
      <c r="AB102" s="1426"/>
      <c r="AC102" s="1426"/>
      <c r="AD102" s="1426"/>
      <c r="AE102" s="1426"/>
      <c r="AF102" s="1426"/>
      <c r="AG102" s="1426"/>
      <c r="AH102" s="1426"/>
      <c r="AI102" s="1426"/>
      <c r="AJ102" s="1426"/>
      <c r="AK102" s="1426"/>
      <c r="AL102" s="1426"/>
      <c r="AM102" s="1426"/>
      <c r="AN102" s="1426"/>
      <c r="AO102" s="1426"/>
      <c r="AP102" s="1426"/>
      <c r="AQ102" s="1426"/>
    </row>
    <row s="8263" customFormat="1" customHeight="1" ht="17.25">
      <c r="A103" s="475"/>
      <c r="C103" s="474"/>
      <c r="D103" s="2209"/>
      <c r="E103" s="2211"/>
      <c r="F103" s="2214"/>
      <c r="G103" s="5563"/>
      <c r="H103" s="5575"/>
      <c r="I103" s="5575"/>
      <c r="J103" s="5576"/>
      <c r="K103" s="5577"/>
      <c r="L103" s="5586"/>
      <c r="M103" s="5587"/>
      <c r="N103" s="5588" t="s">
        <v>252</v>
      </c>
      <c r="O103" s="5589"/>
      <c r="P103" s="5590"/>
      <c r="Q103" s="5591"/>
      <c r="R103" s="5592"/>
      <c r="S103" s="5593"/>
      <c r="T103" s="5594"/>
      <c r="U103" s="5595"/>
      <c r="V103" s="5596"/>
      <c r="W103" s="5597"/>
      <c r="Y103" s="1418"/>
      <c r="Z103" s="1418"/>
      <c r="AA103" s="1418"/>
      <c r="AB103" s="1418"/>
      <c r="AC103" s="1418"/>
      <c r="AD103" s="1418"/>
      <c r="AE103" s="1418"/>
      <c r="AF103" s="1418"/>
      <c r="AG103" s="1418"/>
      <c r="AH103" s="1418"/>
      <c r="AI103" s="1418"/>
      <c r="AJ103" s="1418"/>
      <c r="AK103" s="1418"/>
      <c r="AL103" s="1418"/>
      <c r="AM103" s="1418"/>
      <c r="AN103" s="1418"/>
      <c r="AO103" s="1418"/>
      <c r="AP103" s="1418"/>
      <c r="AQ103" s="1418"/>
    </row>
    <row s="8263" customFormat="1" customHeight="1" ht="17.25">
      <c r="A104" s="475"/>
      <c r="C104" s="474"/>
      <c r="D104" s="2210"/>
      <c r="E104" s="2212"/>
      <c r="F104" s="2215"/>
      <c r="G104" s="5598"/>
      <c r="H104" s="5599"/>
      <c r="I104" s="5600"/>
      <c r="J104" s="5601" t="s">
        <v>253</v>
      </c>
      <c r="K104" s="5602"/>
      <c r="L104" s="5603"/>
      <c r="M104" s="5604"/>
      <c r="N104" s="5605"/>
      <c r="O104" s="5606"/>
      <c r="P104" s="5607"/>
      <c r="Q104" s="5608"/>
      <c r="R104" s="5609"/>
      <c r="S104" s="5610"/>
      <c r="T104" s="5611"/>
      <c r="U104" s="5612"/>
      <c r="V104" s="5613"/>
      <c r="W104" s="5614"/>
      <c r="Y104" s="1418"/>
      <c r="Z104" s="1418"/>
      <c r="AA104" s="1418"/>
      <c r="AB104" s="1418"/>
      <c r="AC104" s="1418"/>
      <c r="AD104" s="1418"/>
      <c r="AE104" s="1418"/>
      <c r="AF104" s="1418"/>
      <c r="AG104" s="1418"/>
      <c r="AH104" s="1418"/>
      <c r="AI104" s="1418"/>
      <c r="AJ104" s="1418"/>
      <c r="AK104" s="1418"/>
      <c r="AL104" s="1418"/>
      <c r="AM104" s="1418"/>
      <c r="AN104" s="1418"/>
      <c r="AO104" s="1418"/>
      <c r="AP104" s="1418"/>
      <c r="AQ104" s="1418"/>
    </row>
    <row s="8263" customFormat="1" customHeight="1" ht="17.25">
      <c r="A105" s="475"/>
      <c r="C105" s="363"/>
      <c r="D105" s="2209">
        <v>2</v>
      </c>
      <c r="E105" s="2211" t="s">
        <v>254</v>
      </c>
      <c r="F105" s="2213" t="s">
        <v>54</v>
      </c>
      <c r="G105" s="2211"/>
      <c r="H105" s="2216"/>
      <c r="I105" s="2218"/>
      <c r="J105" s="2220"/>
      <c r="K105" s="2203"/>
      <c r="L105" s="2203"/>
      <c r="M105" s="2203"/>
      <c r="N105" s="2205"/>
      <c r="O105" s="2203"/>
      <c r="P105" s="2203"/>
      <c r="Q105" s="2203"/>
      <c r="R105" s="2208"/>
      <c r="S105" s="2203"/>
      <c r="T105" s="1629"/>
      <c r="U105" s="1629"/>
      <c r="V105" s="1631"/>
      <c r="W105" s="1455"/>
      <c r="X105" s="1426"/>
      <c r="Y105" s="1426"/>
      <c r="Z105" s="1426"/>
      <c r="AA105" s="1426"/>
      <c r="AB105" s="1426"/>
      <c r="AC105" s="1426" t="s">
        <v>255</v>
      </c>
      <c r="AD105" s="1426" t="s">
        <v>256</v>
      </c>
      <c r="AE105" s="1426" t="s">
        <v>257</v>
      </c>
      <c r="AF105" s="1426" t="s">
        <v>258</v>
      </c>
      <c r="AG105" s="1426"/>
      <c r="AH105" s="1426" t="str">
        <f>IF($E$105=0,"",$E$105)</f>
        <v>Тариф на транспортировку горячей воды</v>
      </c>
      <c r="AI105" s="1426" t="str">
        <f>IF($G$105=0,"",$G$105)</f>
        <v/>
      </c>
      <c r="AJ105" s="1426" t="str">
        <f>IF($J$105=0,"",$J$105)</f>
        <v/>
      </c>
      <c r="AK105" s="1426" t="str">
        <f>IF($K$105="нет","без дифференциации",IF($N$105=0,"",$N$105))</f>
        <v/>
      </c>
      <c r="AL105" s="1426" t="str">
        <f>IF($O$105="нет","без дифференциации",IF($R$105=0,"",$R$105))</f>
        <v/>
      </c>
      <c r="AM105" s="1426" t="str">
        <f>IF($S$105="нет","без дифференциации",IF($V$105=0,"",$V$105))</f>
        <v/>
      </c>
      <c r="AN105" s="1931">
        <f>$I$105</f>
        <v>0</v>
      </c>
      <c r="AO105" s="1426" t="str">
        <f>$I$105&amp;"."&amp;$M$105</f>
        <v>.</v>
      </c>
      <c r="AP105" s="1418" t="str">
        <f>$I$105&amp;"."&amp;$M$105&amp;"."&amp;$Q$105</f>
        <v>..</v>
      </c>
      <c r="AQ105" s="1418" t="str">
        <f>$I$105&amp;"."&amp;$M$105&amp;"."&amp;$Q$105&amp;"."&amp;$U$105</f>
        <v>...</v>
      </c>
    </row>
    <row s="8263" customFormat="1" customHeight="1" ht="17.25">
      <c r="A106" s="475"/>
      <c r="C106" s="474"/>
      <c r="D106" s="2209"/>
      <c r="E106" s="2211"/>
      <c r="F106" s="2214"/>
      <c r="G106" s="2211"/>
      <c r="H106" s="2217"/>
      <c r="I106" s="2219"/>
      <c r="J106" s="2221"/>
      <c r="K106" s="2204"/>
      <c r="L106" s="2204"/>
      <c r="M106" s="2204"/>
      <c r="N106" s="2206"/>
      <c r="O106" s="2204"/>
      <c r="P106" s="2204"/>
      <c r="Q106" s="2204"/>
      <c r="R106" s="2207"/>
      <c r="S106" s="2204"/>
      <c r="T106" s="1456"/>
      <c r="U106" s="1456"/>
      <c r="V106" s="1456"/>
      <c r="W106" s="1457"/>
      <c r="X106" s="1418"/>
      <c r="Y106" s="1418"/>
      <c r="Z106" s="1418"/>
      <c r="AA106" s="1418"/>
      <c r="AB106" s="1418"/>
      <c r="AC106" s="1418"/>
      <c r="AD106" s="1418"/>
      <c r="AE106" s="1418"/>
      <c r="AF106" s="1418"/>
      <c r="AG106" s="1418"/>
      <c r="AH106" s="1418"/>
      <c r="AI106" s="1418"/>
      <c r="AJ106" s="1418"/>
      <c r="AK106" s="1418"/>
      <c r="AL106" s="1418"/>
      <c r="AM106" s="1418"/>
      <c r="AN106" s="1418"/>
      <c r="AO106" s="1418"/>
      <c r="AP106" s="1418"/>
      <c r="AQ106" s="1418"/>
    </row>
    <row s="8263" customFormat="1" customHeight="1" ht="17.25">
      <c r="A107" s="475"/>
      <c r="C107" s="474"/>
      <c r="D107" s="2210"/>
      <c r="E107" s="2212"/>
      <c r="F107" s="2214"/>
      <c r="G107" s="2212"/>
      <c r="H107" s="2217"/>
      <c r="I107" s="2219"/>
      <c r="J107" s="2222"/>
      <c r="K107" s="2204"/>
      <c r="L107" s="2204"/>
      <c r="M107" s="2204"/>
      <c r="N107" s="2207"/>
      <c r="O107" s="2204"/>
      <c r="P107" s="1630"/>
      <c r="Q107" s="1456"/>
      <c r="R107" s="1456"/>
      <c r="S107" s="483"/>
      <c r="T107" s="483"/>
      <c r="U107" s="483"/>
      <c r="V107" s="483"/>
      <c r="W107" s="1457"/>
      <c r="X107" s="1418"/>
      <c r="Y107" s="1418"/>
      <c r="Z107" s="1418"/>
      <c r="AA107" s="1418"/>
      <c r="AB107" s="1418"/>
      <c r="AC107" s="1418"/>
      <c r="AD107" s="1418"/>
      <c r="AE107" s="1418"/>
      <c r="AF107" s="1418"/>
      <c r="AG107" s="1418"/>
      <c r="AH107" s="1418"/>
      <c r="AI107" s="1418"/>
      <c r="AJ107" s="1418"/>
      <c r="AK107" s="1418"/>
      <c r="AL107" s="1418"/>
      <c r="AM107" s="1418"/>
      <c r="AN107" s="1418"/>
      <c r="AO107" s="1418"/>
      <c r="AP107" s="1418"/>
      <c r="AQ107" s="1418"/>
    </row>
    <row s="8263" customFormat="1" customHeight="1" ht="17.25">
      <c r="A108" s="475"/>
      <c r="C108" s="474"/>
      <c r="D108" s="2210"/>
      <c r="E108" s="2212"/>
      <c r="F108" s="2214"/>
      <c r="G108" s="2212"/>
      <c r="H108" s="2217"/>
      <c r="I108" s="2219"/>
      <c r="J108" s="2222"/>
      <c r="K108" s="2204"/>
      <c r="L108" s="1456"/>
      <c r="M108" s="1456"/>
      <c r="N108" s="1456"/>
      <c r="O108" s="1456"/>
      <c r="P108" s="1456"/>
      <c r="Q108" s="1456"/>
      <c r="R108" s="1456"/>
      <c r="S108" s="483"/>
      <c r="T108" s="483"/>
      <c r="U108" s="483"/>
      <c r="V108" s="483"/>
      <c r="W108" s="1457"/>
      <c r="X108" s="1418"/>
      <c r="Y108" s="1418"/>
      <c r="Z108" s="1418"/>
      <c r="AA108" s="1418"/>
      <c r="AB108" s="1418"/>
      <c r="AC108" s="1418"/>
      <c r="AD108" s="1418"/>
      <c r="AE108" s="1418"/>
      <c r="AF108" s="1418"/>
      <c r="AG108" s="1418"/>
      <c r="AH108" s="1418"/>
      <c r="AI108" s="1418"/>
      <c r="AJ108" s="1418"/>
      <c r="AK108" s="1418"/>
      <c r="AL108" s="1418"/>
      <c r="AM108" s="1418"/>
      <c r="AN108" s="1418"/>
      <c r="AO108" s="1418"/>
      <c r="AP108" s="1418"/>
      <c r="AQ108" s="1418"/>
    </row>
    <row s="8263" customFormat="1" customHeight="1" ht="17.25">
      <c r="A109" s="475"/>
      <c r="C109" s="474"/>
      <c r="D109" s="2210"/>
      <c r="E109" s="2212"/>
      <c r="F109" s="2215"/>
      <c r="G109" s="2212"/>
      <c r="H109" s="1458"/>
      <c r="I109" s="1459"/>
      <c r="J109" s="1459"/>
      <c r="K109" s="1459"/>
      <c r="L109" s="1459"/>
      <c r="M109" s="1459"/>
      <c r="N109" s="1459"/>
      <c r="O109" s="1459"/>
      <c r="P109" s="1459"/>
      <c r="Q109" s="1459"/>
      <c r="R109" s="1459"/>
      <c r="S109" s="1460"/>
      <c r="T109" s="1460"/>
      <c r="U109" s="1460"/>
      <c r="V109" s="1460"/>
      <c r="W109" s="1461"/>
      <c r="X109" s="1418"/>
      <c r="Y109" s="1418"/>
      <c r="Z109" s="1418"/>
      <c r="AA109" s="1418"/>
      <c r="AB109" s="1418"/>
      <c r="AC109" s="1418"/>
      <c r="AD109" s="1418"/>
      <c r="AE109" s="1418"/>
      <c r="AF109" s="1418"/>
      <c r="AG109" s="1418"/>
      <c r="AH109" s="1418"/>
      <c r="AI109" s="1418"/>
      <c r="AJ109" s="1418"/>
      <c r="AK109" s="1418"/>
      <c r="AL109" s="1418"/>
      <c r="AM109" s="1418"/>
      <c r="AN109" s="1418"/>
      <c r="AO109" s="1418"/>
      <c r="AP109" s="1418"/>
      <c r="AQ109" s="1418"/>
    </row>
    <row s="8263" customFormat="1" customHeight="1" ht="17.25">
      <c r="A110" s="475"/>
      <c r="C110" s="363"/>
      <c r="D110" s="2209">
        <v>3</v>
      </c>
      <c r="E110" s="2211" t="s">
        <v>259</v>
      </c>
      <c r="F110" s="2213" t="s">
        <v>54</v>
      </c>
      <c r="G110" s="2211"/>
      <c r="H110" s="2216"/>
      <c r="I110" s="2218"/>
      <c r="J110" s="2220"/>
      <c r="K110" s="2203"/>
      <c r="L110" s="2203"/>
      <c r="M110" s="2203"/>
      <c r="N110" s="2205"/>
      <c r="O110" s="2203"/>
      <c r="P110" s="2203"/>
      <c r="Q110" s="2203"/>
      <c r="R110" s="2208"/>
      <c r="S110" s="2203"/>
      <c r="T110" s="2103"/>
      <c r="U110" s="2103"/>
      <c r="V110" s="2105"/>
      <c r="W110" s="1455"/>
      <c r="X110" s="1426"/>
      <c r="Y110" s="1426"/>
      <c r="Z110" s="1426"/>
      <c r="AA110" s="1426"/>
      <c r="AB110" s="1426"/>
      <c r="AC110" s="1426" t="s">
        <v>260</v>
      </c>
      <c r="AD110" s="1426" t="s">
        <v>261</v>
      </c>
      <c r="AE110" s="1426" t="s">
        <v>262</v>
      </c>
      <c r="AF110" s="1426" t="s">
        <v>263</v>
      </c>
      <c r="AG110" s="1426"/>
      <c r="AH110" s="1426" t="str">
        <f>IF($E$110=0,"",$E$110)</f>
        <v>Тариф на подключение (технологическое присоединение) к централизованной системе горячего водоснабжения</v>
      </c>
      <c r="AI110" s="1426" t="str">
        <f>IF($G$110=0,"",$G$110)</f>
        <v/>
      </c>
      <c r="AJ110" s="1426" t="str">
        <f>IF($J$110=0,"",$J$110)</f>
        <v/>
      </c>
      <c r="AK110" s="1426" t="str">
        <f>IF($K$110="нет","без дифференциации",IF($N$110=0,"",$N$110))</f>
        <v/>
      </c>
      <c r="AL110" s="1426" t="str">
        <f>IF($O$110="нет","без дифференциации",IF($R$110=0,"",$R$110))</f>
        <v/>
      </c>
      <c r="AM110" s="1426" t="str">
        <f>IF($S$110="нет","без дифференциации",IF($V$110=0,"",$V$110))</f>
        <v/>
      </c>
      <c r="AN110" s="1931">
        <f>$I$110</f>
        <v>0</v>
      </c>
      <c r="AO110" s="1426" t="str">
        <f>$I$110&amp;"."&amp;$M$110</f>
        <v>.</v>
      </c>
      <c r="AP110" s="1425" t="str">
        <f>$I$110&amp;"."&amp;$M$110&amp;"."&amp;$Q$110</f>
        <v>..</v>
      </c>
      <c r="AQ110" s="1425" t="str">
        <f>$I$110&amp;"."&amp;$M$110&amp;"."&amp;$Q$110&amp;"."&amp;$U$110</f>
        <v>...</v>
      </c>
    </row>
    <row s="8263" customFormat="1" customHeight="1" ht="17.25">
      <c r="A111" s="475"/>
      <c r="C111" s="474"/>
      <c r="D111" s="2209"/>
      <c r="E111" s="2211"/>
      <c r="F111" s="2214"/>
      <c r="G111" s="2211"/>
      <c r="H111" s="2217"/>
      <c r="I111" s="2219"/>
      <c r="J111" s="2221"/>
      <c r="K111" s="2204"/>
      <c r="L111" s="2204"/>
      <c r="M111" s="2204"/>
      <c r="N111" s="2206"/>
      <c r="O111" s="2204"/>
      <c r="P111" s="2204"/>
      <c r="Q111" s="2204"/>
      <c r="R111" s="2207"/>
      <c r="S111" s="2204"/>
      <c r="T111" s="2108"/>
      <c r="U111" s="2108"/>
      <c r="V111" s="2108"/>
      <c r="W111" s="2109"/>
      <c r="X111" s="1425"/>
      <c r="Y111" s="1425"/>
      <c r="Z111" s="1425"/>
      <c r="AA111" s="1425"/>
      <c r="AB111" s="1425"/>
      <c r="AC111" s="1425"/>
      <c r="AD111" s="1425"/>
      <c r="AE111" s="1425"/>
      <c r="AF111" s="1425"/>
      <c r="AG111" s="1425"/>
      <c r="AH111" s="1425"/>
      <c r="AI111" s="1425"/>
      <c r="AJ111" s="1425"/>
      <c r="AK111" s="1425"/>
      <c r="AL111" s="1425"/>
      <c r="AM111" s="1425"/>
      <c r="AN111" s="1425"/>
      <c r="AO111" s="1425"/>
      <c r="AP111" s="1425"/>
      <c r="AQ111" s="1425"/>
    </row>
    <row s="8263" customFormat="1" customHeight="1" ht="17.25">
      <c r="A112" s="475"/>
      <c r="C112" s="474"/>
      <c r="D112" s="2210"/>
      <c r="E112" s="2212"/>
      <c r="F112" s="2214"/>
      <c r="G112" s="2212"/>
      <c r="H112" s="2217"/>
      <c r="I112" s="2219"/>
      <c r="J112" s="2222"/>
      <c r="K112" s="2204"/>
      <c r="L112" s="2204"/>
      <c r="M112" s="2204"/>
      <c r="N112" s="2207"/>
      <c r="O112" s="2204"/>
      <c r="P112" s="2104"/>
      <c r="Q112" s="2108"/>
      <c r="R112" s="2108"/>
      <c r="S112" s="483"/>
      <c r="T112" s="483"/>
      <c r="U112" s="483"/>
      <c r="V112" s="483"/>
      <c r="W112" s="2109"/>
      <c r="X112" s="1425"/>
      <c r="Y112" s="1425"/>
      <c r="Z112" s="1425"/>
      <c r="AA112" s="1425"/>
      <c r="AB112" s="1425"/>
      <c r="AC112" s="1425"/>
      <c r="AD112" s="1425"/>
      <c r="AE112" s="1425"/>
      <c r="AF112" s="1425"/>
      <c r="AG112" s="1425"/>
      <c r="AH112" s="1425"/>
      <c r="AI112" s="1425"/>
      <c r="AJ112" s="1425"/>
      <c r="AK112" s="1425"/>
      <c r="AL112" s="1425"/>
      <c r="AM112" s="1425"/>
      <c r="AN112" s="1425"/>
      <c r="AO112" s="1425"/>
      <c r="AP112" s="1425"/>
      <c r="AQ112" s="1425"/>
    </row>
    <row s="8263" customFormat="1" customHeight="1" ht="17.25">
      <c r="A113" s="475"/>
      <c r="C113" s="474"/>
      <c r="D113" s="2210"/>
      <c r="E113" s="2212"/>
      <c r="F113" s="2214"/>
      <c r="G113" s="2212"/>
      <c r="H113" s="2217"/>
      <c r="I113" s="2219"/>
      <c r="J113" s="2222"/>
      <c r="K113" s="2204"/>
      <c r="L113" s="2108"/>
      <c r="M113" s="2108"/>
      <c r="N113" s="2108"/>
      <c r="O113" s="2108"/>
      <c r="P113" s="2108"/>
      <c r="Q113" s="2108"/>
      <c r="R113" s="2108"/>
      <c r="S113" s="483"/>
      <c r="T113" s="483"/>
      <c r="U113" s="483"/>
      <c r="V113" s="483"/>
      <c r="W113" s="2109"/>
      <c r="X113" s="1425"/>
      <c r="Y113" s="1425"/>
      <c r="Z113" s="1425"/>
      <c r="AA113" s="1425"/>
      <c r="AB113" s="1425"/>
      <c r="AC113" s="1425"/>
      <c r="AD113" s="1425"/>
      <c r="AE113" s="1425"/>
      <c r="AF113" s="1425"/>
      <c r="AG113" s="1425"/>
      <c r="AH113" s="1425"/>
      <c r="AI113" s="1425"/>
      <c r="AJ113" s="1425"/>
      <c r="AK113" s="1425"/>
      <c r="AL113" s="1425"/>
      <c r="AM113" s="1425"/>
      <c r="AN113" s="1425"/>
      <c r="AO113" s="1425"/>
      <c r="AP113" s="1425"/>
      <c r="AQ113" s="1425"/>
    </row>
    <row s="8263" customFormat="1" customHeight="1" ht="17.25">
      <c r="A114" s="475"/>
      <c r="C114" s="474"/>
      <c r="D114" s="2210"/>
      <c r="E114" s="2212"/>
      <c r="F114" s="2215"/>
      <c r="G114" s="2212"/>
      <c r="H114" s="1458"/>
      <c r="I114" s="2106"/>
      <c r="J114" s="2106"/>
      <c r="K114" s="2106"/>
      <c r="L114" s="2106"/>
      <c r="M114" s="2106"/>
      <c r="N114" s="2106"/>
      <c r="O114" s="2106"/>
      <c r="P114" s="2106"/>
      <c r="Q114" s="2106"/>
      <c r="R114" s="2106"/>
      <c r="S114" s="1460"/>
      <c r="T114" s="1460"/>
      <c r="U114" s="1460"/>
      <c r="V114" s="1460"/>
      <c r="W114" s="2107"/>
      <c r="X114" s="1425"/>
      <c r="Y114" s="1425"/>
      <c r="Z114" s="1425"/>
      <c r="AA114" s="1425"/>
      <c r="AB114" s="1425"/>
      <c r="AC114" s="1425"/>
      <c r="AD114" s="1425"/>
      <c r="AE114" s="1425"/>
      <c r="AF114" s="1425"/>
      <c r="AG114" s="1425"/>
      <c r="AH114" s="1425"/>
      <c r="AI114" s="1425"/>
      <c r="AJ114" s="1425"/>
      <c r="AK114" s="1425"/>
      <c r="AL114" s="1425"/>
      <c r="AM114" s="1425"/>
      <c r="AN114" s="1425"/>
      <c r="AO114" s="1425"/>
      <c r="AP114" s="1425"/>
      <c r="AQ114" s="1425"/>
    </row>
    <row s="8263" customFormat="1" customHeight="1" ht="11.25" hidden="1">
      <c r="A115" s="431"/>
      <c r="B115" s="431"/>
      <c r="Y115" s="1418"/>
      <c r="Z115" s="1418"/>
      <c r="AA115" s="1418"/>
      <c r="AB115" s="1418"/>
      <c r="AC115" s="1418"/>
      <c r="AD115" s="1418"/>
      <c r="AE115" s="1418"/>
      <c r="AF115" s="1418"/>
      <c r="AG115" s="1418"/>
      <c r="AH115" s="1418"/>
      <c r="AI115" s="1418"/>
      <c r="AJ115" s="1418"/>
      <c r="AK115" s="1418"/>
      <c r="AL115" s="1418"/>
      <c r="AM115" s="1418"/>
      <c r="AN115" s="1418"/>
      <c r="AO115" s="1418"/>
      <c r="AP115" s="1418"/>
      <c r="AQ115" s="1418"/>
    </row>
    <row s="8263" customFormat="1" customHeight="1" ht="17.25" hidden="1">
      <c r="A116" s="475"/>
      <c r="C116" s="363"/>
      <c r="D116" s="2209">
        <v>1</v>
      </c>
      <c r="E116" s="2211" t="s">
        <v>264</v>
      </c>
      <c r="F116" s="2213" t="s">
        <v>54</v>
      </c>
      <c r="G116" s="2211"/>
      <c r="H116" s="2216"/>
      <c r="I116" s="2218"/>
      <c r="J116" s="2220"/>
      <c r="K116" s="2203"/>
      <c r="L116" s="2203"/>
      <c r="M116" s="2203"/>
      <c r="N116" s="2205"/>
      <c r="O116" s="2203"/>
      <c r="P116" s="2203"/>
      <c r="Q116" s="2203"/>
      <c r="R116" s="2208"/>
      <c r="S116" s="2203"/>
      <c r="T116" s="1629"/>
      <c r="U116" s="1629"/>
      <c r="V116" s="1631"/>
      <c r="W116" s="1455"/>
      <c r="Y116" s="1426"/>
      <c r="Z116" s="1426"/>
      <c r="AA116" s="1426"/>
      <c r="AB116" s="1426"/>
      <c r="AC116" s="1426" t="s">
        <v>265</v>
      </c>
      <c r="AD116" s="1426" t="s">
        <v>266</v>
      </c>
      <c r="AE116" s="1426" t="s">
        <v>267</v>
      </c>
      <c r="AF116" s="1426" t="s">
        <v>268</v>
      </c>
      <c r="AG116" s="1426"/>
      <c r="AH116" s="1426" t="str">
        <f>IF($E$116=0,"",$E$116)</f>
        <v>Тариф на водоотведение</v>
      </c>
      <c r="AI116" s="1426" t="str">
        <f>IF($G$116=0,"",$G$116)</f>
        <v/>
      </c>
      <c r="AJ116" s="1426" t="str">
        <f>IF($J$116=0,"",$J$116)</f>
        <v/>
      </c>
      <c r="AK116" s="1426" t="str">
        <f>IF($K$116="нет","без дифференциации",IF($N$116=0,"",$N$116))</f>
        <v/>
      </c>
      <c r="AL116" s="1426" t="str">
        <f>IF($O$116="нет","без дифференциации",IF($R$116=0,"",$R$116))</f>
        <v/>
      </c>
      <c r="AM116" s="1426" t="str">
        <f>IF($S$116="нет","без дифференциации",IF($V$116=0,"",$V$116))</f>
        <v/>
      </c>
      <c r="AN116" s="1426">
        <f>$I$116</f>
        <v>0</v>
      </c>
      <c r="AO116" s="1426" t="str">
        <f>$I$116&amp;"."&amp;$M$116</f>
        <v>.</v>
      </c>
      <c r="AP116" s="1426" t="str">
        <f>$I$116&amp;"."&amp;$M$116&amp;"."&amp;$Q$116</f>
        <v>..</v>
      </c>
      <c r="AQ116" s="1426" t="str">
        <f>$I$116&amp;"."&amp;$M$116&amp;"."&amp;$Q$116&amp;"."&amp;$U$116</f>
        <v>...</v>
      </c>
    </row>
    <row s="8263" customFormat="1" customHeight="1" ht="17.25" hidden="1">
      <c r="A117" s="475"/>
      <c r="C117" s="474"/>
      <c r="D117" s="2209"/>
      <c r="E117" s="2211"/>
      <c r="F117" s="2214"/>
      <c r="G117" s="2211"/>
      <c r="H117" s="2217"/>
      <c r="I117" s="2219"/>
      <c r="J117" s="2221"/>
      <c r="K117" s="2204"/>
      <c r="L117" s="2204"/>
      <c r="M117" s="2204"/>
      <c r="N117" s="2206"/>
      <c r="O117" s="2204"/>
      <c r="P117" s="2204"/>
      <c r="Q117" s="2204"/>
      <c r="R117" s="2207"/>
      <c r="S117" s="2204"/>
      <c r="T117" s="1456"/>
      <c r="U117" s="1456"/>
      <c r="V117" s="1456"/>
      <c r="W117" s="1457"/>
      <c r="Y117" s="1418"/>
      <c r="Z117" s="1418"/>
      <c r="AA117" s="1418"/>
      <c r="AB117" s="1418"/>
      <c r="AC117" s="1418"/>
      <c r="AD117" s="1418"/>
      <c r="AE117" s="1418"/>
      <c r="AF117" s="1418"/>
      <c r="AG117" s="1418"/>
      <c r="AH117" s="1418"/>
      <c r="AI117" s="1418"/>
      <c r="AJ117" s="1418"/>
      <c r="AK117" s="1418"/>
      <c r="AL117" s="1418"/>
      <c r="AM117" s="1418"/>
      <c r="AN117" s="1418"/>
      <c r="AO117" s="1418"/>
      <c r="AP117" s="1418"/>
      <c r="AQ117" s="1418"/>
    </row>
    <row s="8263" customFormat="1" customHeight="1" ht="17.25" hidden="1">
      <c r="A118" s="475"/>
      <c r="C118" s="363"/>
      <c r="D118" s="2209"/>
      <c r="E118" s="2211"/>
      <c r="F118" s="2214"/>
      <c r="G118" s="2211"/>
      <c r="H118" s="2217"/>
      <c r="I118" s="2219"/>
      <c r="J118" s="2222"/>
      <c r="K118" s="2204"/>
      <c r="L118" s="2204"/>
      <c r="M118" s="2204"/>
      <c r="N118" s="2207"/>
      <c r="O118" s="2204"/>
      <c r="P118" s="1630"/>
      <c r="Q118" s="1456"/>
      <c r="R118" s="1456"/>
      <c r="S118" s="483"/>
      <c r="T118" s="483"/>
      <c r="U118" s="483"/>
      <c r="V118" s="483"/>
      <c r="W118" s="1457"/>
      <c r="Y118" s="1426"/>
      <c r="Z118" s="1426"/>
      <c r="AA118" s="1426"/>
      <c r="AB118" s="1426"/>
      <c r="AC118" s="1426"/>
      <c r="AD118" s="1426"/>
      <c r="AE118" s="1426"/>
      <c r="AF118" s="1426"/>
      <c r="AG118" s="1426"/>
      <c r="AH118" s="1426"/>
      <c r="AI118" s="1426"/>
      <c r="AJ118" s="1426"/>
      <c r="AK118" s="1426"/>
      <c r="AL118" s="1426"/>
      <c r="AM118" s="1426"/>
      <c r="AN118" s="1426"/>
      <c r="AO118" s="1426"/>
      <c r="AP118" s="1426"/>
      <c r="AQ118" s="1426"/>
    </row>
    <row s="8263" customFormat="1" customHeight="1" ht="17.25" hidden="1">
      <c r="A119" s="475"/>
      <c r="C119" s="474"/>
      <c r="D119" s="2209"/>
      <c r="E119" s="2211"/>
      <c r="F119" s="2214"/>
      <c r="G119" s="2211"/>
      <c r="H119" s="2217"/>
      <c r="I119" s="2219"/>
      <c r="J119" s="2222"/>
      <c r="K119" s="2204"/>
      <c r="L119" s="1456"/>
      <c r="M119" s="1456"/>
      <c r="N119" s="1456"/>
      <c r="O119" s="1456"/>
      <c r="P119" s="1456"/>
      <c r="Q119" s="1456"/>
      <c r="R119" s="1456"/>
      <c r="S119" s="483"/>
      <c r="T119" s="483"/>
      <c r="U119" s="483"/>
      <c r="V119" s="483"/>
      <c r="W119" s="1457"/>
      <c r="Y119" s="1418"/>
      <c r="Z119" s="1418"/>
      <c r="AA119" s="1418"/>
      <c r="AB119" s="1418"/>
      <c r="AC119" s="1418"/>
      <c r="AD119" s="1418"/>
      <c r="AE119" s="1418"/>
      <c r="AF119" s="1418"/>
      <c r="AG119" s="1418"/>
      <c r="AH119" s="1418"/>
      <c r="AI119" s="1418"/>
      <c r="AJ119" s="1418"/>
      <c r="AK119" s="1418"/>
      <c r="AL119" s="1418"/>
      <c r="AM119" s="1418"/>
      <c r="AN119" s="1418"/>
      <c r="AO119" s="1418"/>
      <c r="AP119" s="1418"/>
      <c r="AQ119" s="1418"/>
    </row>
    <row s="8263" customFormat="1" customHeight="1" ht="17.25" hidden="1">
      <c r="A120" s="475"/>
      <c r="C120" s="474"/>
      <c r="D120" s="2210"/>
      <c r="E120" s="2212"/>
      <c r="F120" s="2215"/>
      <c r="G120" s="2212"/>
      <c r="H120" s="1458"/>
      <c r="I120" s="1459"/>
      <c r="J120" s="1459"/>
      <c r="K120" s="1459"/>
      <c r="L120" s="1459"/>
      <c r="M120" s="1459"/>
      <c r="N120" s="1459"/>
      <c r="O120" s="1459"/>
      <c r="P120" s="1459"/>
      <c r="Q120" s="1459"/>
      <c r="R120" s="1459"/>
      <c r="S120" s="1460"/>
      <c r="T120" s="1460"/>
      <c r="U120" s="1460"/>
      <c r="V120" s="1460"/>
      <c r="W120" s="1461"/>
      <c r="Y120" s="1418"/>
      <c r="Z120" s="1418"/>
      <c r="AA120" s="1418"/>
      <c r="AB120" s="1418"/>
      <c r="AC120" s="1418"/>
      <c r="AD120" s="1418"/>
      <c r="AE120" s="1418"/>
      <c r="AF120" s="1418"/>
      <c r="AG120" s="1418"/>
      <c r="AH120" s="1418"/>
      <c r="AI120" s="1418"/>
      <c r="AJ120" s="1418"/>
      <c r="AK120" s="1418"/>
      <c r="AL120" s="1418"/>
      <c r="AM120" s="1418"/>
      <c r="AN120" s="1418"/>
      <c r="AO120" s="1418"/>
      <c r="AP120" s="1418"/>
      <c r="AQ120" s="1418"/>
    </row>
    <row s="8263" customFormat="1" customHeight="1" ht="17.25" hidden="1">
      <c r="A121" s="475"/>
      <c r="C121" s="363"/>
      <c r="D121" s="2209">
        <v>2</v>
      </c>
      <c r="E121" s="2211" t="s">
        <v>269</v>
      </c>
      <c r="F121" s="2213" t="s">
        <v>54</v>
      </c>
      <c r="G121" s="2211"/>
      <c r="H121" s="2216"/>
      <c r="I121" s="2218"/>
      <c r="J121" s="2220"/>
      <c r="K121" s="2203"/>
      <c r="L121" s="2203"/>
      <c r="M121" s="2203"/>
      <c r="N121" s="2205"/>
      <c r="O121" s="2203"/>
      <c r="P121" s="2203"/>
      <c r="Q121" s="2203"/>
      <c r="R121" s="2208"/>
      <c r="S121" s="2203"/>
      <c r="T121" s="1629"/>
      <c r="U121" s="1629"/>
      <c r="V121" s="1631"/>
      <c r="W121" s="1455"/>
      <c r="X121" s="1426"/>
      <c r="Y121" s="1426"/>
      <c r="Z121" s="1426"/>
      <c r="AA121" s="1426"/>
      <c r="AB121" s="1426"/>
      <c r="AC121" s="1426" t="s">
        <v>270</v>
      </c>
      <c r="AD121" s="1426" t="s">
        <v>271</v>
      </c>
      <c r="AE121" s="1426" t="s">
        <v>272</v>
      </c>
      <c r="AF121" s="1426" t="s">
        <v>273</v>
      </c>
      <c r="AG121" s="1426"/>
      <c r="AH121" s="1426" t="str">
        <f>IF($E$121=0,"",$E$121)</f>
        <v>Тариф на транспортировку сточных вод</v>
      </c>
      <c r="AI121" s="1426" t="str">
        <f>IF($G$121=0,"",$G$121)</f>
        <v/>
      </c>
      <c r="AJ121" s="1426" t="str">
        <f>IF($J$121=0,"",$J$121)</f>
        <v/>
      </c>
      <c r="AK121" s="1426" t="str">
        <f>IF($K$121="нет","без дифференциации",IF($N$121=0,"",$N$121))</f>
        <v/>
      </c>
      <c r="AL121" s="1426" t="str">
        <f>IF($O$121="нет","без дифференциации",IF($R$121=0,"",$R$121))</f>
        <v/>
      </c>
      <c r="AM121" s="1426" t="str">
        <f>IF($S$121="нет","без дифференциации",IF($V$121=0,"",$V$121))</f>
        <v/>
      </c>
      <c r="AN121" s="1931">
        <f>$I$121</f>
        <v>0</v>
      </c>
      <c r="AO121" s="1426" t="str">
        <f>$I$121&amp;"."&amp;$M$121</f>
        <v>.</v>
      </c>
      <c r="AP121" s="1418" t="str">
        <f>$I$121&amp;"."&amp;$M$121&amp;"."&amp;$Q$121</f>
        <v>..</v>
      </c>
      <c r="AQ121" s="1418" t="str">
        <f>$I$121&amp;"."&amp;$M$121&amp;"."&amp;$Q$121&amp;"."&amp;$U$121</f>
        <v>...</v>
      </c>
    </row>
    <row s="8263" customFormat="1" customHeight="1" ht="17.25" hidden="1">
      <c r="A122" s="475"/>
      <c r="C122" s="474"/>
      <c r="D122" s="2209"/>
      <c r="E122" s="2211"/>
      <c r="F122" s="2214"/>
      <c r="G122" s="2211"/>
      <c r="H122" s="2217"/>
      <c r="I122" s="2219"/>
      <c r="J122" s="2221"/>
      <c r="K122" s="2204"/>
      <c r="L122" s="2204"/>
      <c r="M122" s="2204"/>
      <c r="N122" s="2206"/>
      <c r="O122" s="2204"/>
      <c r="P122" s="2204"/>
      <c r="Q122" s="2204"/>
      <c r="R122" s="2207"/>
      <c r="S122" s="2204"/>
      <c r="T122" s="1456"/>
      <c r="U122" s="1456"/>
      <c r="V122" s="1456"/>
      <c r="W122" s="1457"/>
      <c r="X122" s="1418"/>
      <c r="Y122" s="1418"/>
      <c r="Z122" s="1418"/>
      <c r="AA122" s="1418"/>
      <c r="AB122" s="1418"/>
      <c r="AC122" s="1418"/>
      <c r="AD122" s="1418"/>
      <c r="AE122" s="1418"/>
      <c r="AF122" s="1418"/>
      <c r="AG122" s="1418"/>
      <c r="AH122" s="1418"/>
      <c r="AI122" s="1418"/>
      <c r="AJ122" s="1418"/>
      <c r="AK122" s="1418"/>
      <c r="AL122" s="1418"/>
      <c r="AM122" s="1418"/>
      <c r="AN122" s="1418"/>
      <c r="AO122" s="1418"/>
      <c r="AP122" s="1418"/>
      <c r="AQ122" s="1418"/>
    </row>
    <row s="8263" customFormat="1" customHeight="1" ht="17.25" hidden="1">
      <c r="A123" s="475"/>
      <c r="C123" s="474"/>
      <c r="D123" s="2210"/>
      <c r="E123" s="2212"/>
      <c r="F123" s="2214"/>
      <c r="G123" s="2212"/>
      <c r="H123" s="2217"/>
      <c r="I123" s="2219"/>
      <c r="J123" s="2222"/>
      <c r="K123" s="2204"/>
      <c r="L123" s="2204"/>
      <c r="M123" s="2204"/>
      <c r="N123" s="2207"/>
      <c r="O123" s="2204"/>
      <c r="P123" s="1630"/>
      <c r="Q123" s="1456"/>
      <c r="R123" s="1456"/>
      <c r="S123" s="483"/>
      <c r="T123" s="483"/>
      <c r="U123" s="483"/>
      <c r="V123" s="483"/>
      <c r="W123" s="1457"/>
      <c r="X123" s="1418"/>
      <c r="Y123" s="1418"/>
      <c r="Z123" s="1418"/>
      <c r="AA123" s="1418"/>
      <c r="AB123" s="1418"/>
      <c r="AC123" s="1418"/>
      <c r="AD123" s="1418"/>
      <c r="AE123" s="1418"/>
      <c r="AF123" s="1418"/>
      <c r="AG123" s="1418"/>
      <c r="AH123" s="1418"/>
      <c r="AI123" s="1418"/>
      <c r="AJ123" s="1418"/>
      <c r="AK123" s="1418"/>
      <c r="AL123" s="1418"/>
      <c r="AM123" s="1418"/>
      <c r="AN123" s="1418"/>
      <c r="AO123" s="1418"/>
      <c r="AP123" s="1418"/>
      <c r="AQ123" s="1418"/>
    </row>
    <row s="8263" customFormat="1" customHeight="1" ht="17.25" hidden="1">
      <c r="A124" s="475"/>
      <c r="C124" s="474"/>
      <c r="D124" s="2210"/>
      <c r="E124" s="2212"/>
      <c r="F124" s="2214"/>
      <c r="G124" s="2212"/>
      <c r="H124" s="2217"/>
      <c r="I124" s="2219"/>
      <c r="J124" s="2222"/>
      <c r="K124" s="2204"/>
      <c r="L124" s="1456"/>
      <c r="M124" s="1456"/>
      <c r="N124" s="1456"/>
      <c r="O124" s="1456"/>
      <c r="P124" s="1456"/>
      <c r="Q124" s="1456"/>
      <c r="R124" s="1456"/>
      <c r="S124" s="483"/>
      <c r="T124" s="483"/>
      <c r="U124" s="483"/>
      <c r="V124" s="483"/>
      <c r="W124" s="1457"/>
      <c r="X124" s="1418"/>
      <c r="Y124" s="1418"/>
      <c r="Z124" s="1418"/>
      <c r="AA124" s="1418"/>
      <c r="AB124" s="1418"/>
      <c r="AC124" s="1418"/>
      <c r="AD124" s="1418"/>
      <c r="AE124" s="1418"/>
      <c r="AF124" s="1418"/>
      <c r="AG124" s="1418"/>
      <c r="AH124" s="1418"/>
      <c r="AI124" s="1418"/>
      <c r="AJ124" s="1418"/>
      <c r="AK124" s="1418"/>
      <c r="AL124" s="1418"/>
      <c r="AM124" s="1418"/>
      <c r="AN124" s="1418"/>
      <c r="AO124" s="1418"/>
      <c r="AP124" s="1418"/>
      <c r="AQ124" s="1418"/>
    </row>
    <row s="8263" customFormat="1" customHeight="1" ht="17.25" hidden="1">
      <c r="A125" s="475"/>
      <c r="C125" s="474"/>
      <c r="D125" s="2210"/>
      <c r="E125" s="2212"/>
      <c r="F125" s="2215"/>
      <c r="G125" s="2212"/>
      <c r="H125" s="1458"/>
      <c r="I125" s="1459"/>
      <c r="J125" s="1459"/>
      <c r="K125" s="1459"/>
      <c r="L125" s="1459"/>
      <c r="M125" s="1459"/>
      <c r="N125" s="1459"/>
      <c r="O125" s="1459"/>
      <c r="P125" s="1459"/>
      <c r="Q125" s="1459"/>
      <c r="R125" s="1459"/>
      <c r="S125" s="1460"/>
      <c r="T125" s="1460"/>
      <c r="U125" s="1460"/>
      <c r="V125" s="1460"/>
      <c r="W125" s="1461"/>
      <c r="X125" s="1418"/>
      <c r="Y125" s="1418"/>
      <c r="Z125" s="1418"/>
      <c r="AA125" s="1418"/>
      <c r="AB125" s="1418"/>
      <c r="AC125" s="1418"/>
      <c r="AD125" s="1418"/>
      <c r="AE125" s="1418"/>
      <c r="AF125" s="1418"/>
      <c r="AG125" s="1418"/>
      <c r="AH125" s="1418"/>
      <c r="AI125" s="1418"/>
      <c r="AJ125" s="1418"/>
      <c r="AK125" s="1418"/>
      <c r="AL125" s="1418"/>
      <c r="AM125" s="1418"/>
      <c r="AN125" s="1418"/>
      <c r="AO125" s="1418"/>
      <c r="AP125" s="1418"/>
      <c r="AQ125" s="1418"/>
    </row>
    <row s="8263" customFormat="1" customHeight="1" ht="17.25" hidden="1">
      <c r="A126" s="475"/>
      <c r="C126" s="363"/>
      <c r="D126" s="2209">
        <v>3</v>
      </c>
      <c r="E126" s="2211" t="s">
        <v>274</v>
      </c>
      <c r="F126" s="2213" t="s">
        <v>54</v>
      </c>
      <c r="G126" s="2211"/>
      <c r="H126" s="2216"/>
      <c r="I126" s="2218"/>
      <c r="J126" s="2220"/>
      <c r="K126" s="2203"/>
      <c r="L126" s="2203"/>
      <c r="M126" s="2203"/>
      <c r="N126" s="2205"/>
      <c r="O126" s="2203"/>
      <c r="P126" s="2203"/>
      <c r="Q126" s="2203"/>
      <c r="R126" s="2208"/>
      <c r="S126" s="2203"/>
      <c r="T126" s="2103"/>
      <c r="U126" s="2103"/>
      <c r="V126" s="2105"/>
      <c r="W126" s="1455"/>
      <c r="X126" s="1426"/>
      <c r="Y126" s="1426"/>
      <c r="Z126" s="1426"/>
      <c r="AA126" s="1426"/>
      <c r="AB126" s="1426"/>
      <c r="AC126" s="1426" t="s">
        <v>275</v>
      </c>
      <c r="AD126" s="1426" t="s">
        <v>276</v>
      </c>
      <c r="AE126" s="1426" t="s">
        <v>277</v>
      </c>
      <c r="AF126" s="1426" t="s">
        <v>278</v>
      </c>
      <c r="AG126" s="1426"/>
      <c r="AH126" s="1426" t="str">
        <f>IF($E$126=0,"",$E$126)</f>
        <v>Тариф на подключение (технологическое присоединение) к централизованной системе водоотведения</v>
      </c>
      <c r="AI126" s="1426" t="str">
        <f>IF($G$126=0,"",$G$126)</f>
        <v/>
      </c>
      <c r="AJ126" s="1426" t="str">
        <f>IF($J$126=0,"",$J$126)</f>
        <v/>
      </c>
      <c r="AK126" s="1426" t="str">
        <f>IF($K$126="нет","без дифференциации",IF($N$126=0,"",$N$126))</f>
        <v/>
      </c>
      <c r="AL126" s="1426" t="str">
        <f>IF($O$126="нет","без дифференциации",IF($R$126=0,"",$R$126))</f>
        <v/>
      </c>
      <c r="AM126" s="1426" t="str">
        <f>IF($S$126="нет","без дифференциации",IF($V$126=0,"",$V$126))</f>
        <v/>
      </c>
      <c r="AN126" s="1931">
        <f>$I$126</f>
        <v>0</v>
      </c>
      <c r="AO126" s="1426" t="str">
        <f>$I$126&amp;"."&amp;$M$126</f>
        <v>.</v>
      </c>
      <c r="AP126" s="1425" t="str">
        <f>$I$126&amp;"."&amp;$M$126&amp;"."&amp;$Q$126</f>
        <v>..</v>
      </c>
      <c r="AQ126" s="1425" t="str">
        <f>$I$126&amp;"."&amp;$M$126&amp;"."&amp;$Q$126&amp;"."&amp;$U$126</f>
        <v>...</v>
      </c>
    </row>
    <row s="8263" customFormat="1" customHeight="1" ht="17.25" hidden="1">
      <c r="A127" s="475"/>
      <c r="C127" s="474"/>
      <c r="D127" s="2209"/>
      <c r="E127" s="2211"/>
      <c r="F127" s="2214"/>
      <c r="G127" s="2211"/>
      <c r="H127" s="2217"/>
      <c r="I127" s="2219"/>
      <c r="J127" s="2221"/>
      <c r="K127" s="2204"/>
      <c r="L127" s="2204"/>
      <c r="M127" s="2204"/>
      <c r="N127" s="2206"/>
      <c r="O127" s="2204"/>
      <c r="P127" s="2204"/>
      <c r="Q127" s="2204"/>
      <c r="R127" s="2207"/>
      <c r="S127" s="2204"/>
      <c r="T127" s="2108"/>
      <c r="U127" s="2108"/>
      <c r="V127" s="2108"/>
      <c r="W127" s="2109"/>
      <c r="X127" s="1425"/>
      <c r="Y127" s="1425"/>
      <c r="Z127" s="1425"/>
      <c r="AA127" s="1425"/>
      <c r="AB127" s="1425"/>
      <c r="AC127" s="1425"/>
      <c r="AD127" s="1425"/>
      <c r="AE127" s="1425"/>
      <c r="AF127" s="1425"/>
      <c r="AG127" s="1425"/>
      <c r="AH127" s="1425"/>
      <c r="AI127" s="1425"/>
      <c r="AJ127" s="1425"/>
      <c r="AK127" s="1425"/>
      <c r="AL127" s="1425"/>
      <c r="AM127" s="1425"/>
      <c r="AN127" s="1425"/>
      <c r="AO127" s="1425"/>
      <c r="AP127" s="1425"/>
      <c r="AQ127" s="1425"/>
    </row>
    <row s="8263" customFormat="1" customHeight="1" ht="17.25" hidden="1">
      <c r="A128" s="475"/>
      <c r="C128" s="474"/>
      <c r="D128" s="2210"/>
      <c r="E128" s="2212"/>
      <c r="F128" s="2214"/>
      <c r="G128" s="2212"/>
      <c r="H128" s="2217"/>
      <c r="I128" s="2219"/>
      <c r="J128" s="2222"/>
      <c r="K128" s="2204"/>
      <c r="L128" s="2204"/>
      <c r="M128" s="2204"/>
      <c r="N128" s="2207"/>
      <c r="O128" s="2204"/>
      <c r="P128" s="2104"/>
      <c r="Q128" s="2108"/>
      <c r="R128" s="2108"/>
      <c r="S128" s="483"/>
      <c r="T128" s="483"/>
      <c r="U128" s="483"/>
      <c r="V128" s="483"/>
      <c r="W128" s="2109"/>
      <c r="X128" s="1425"/>
      <c r="Y128" s="1425"/>
      <c r="Z128" s="1425"/>
      <c r="AA128" s="1425"/>
      <c r="AB128" s="1425"/>
      <c r="AC128" s="1425"/>
      <c r="AD128" s="1425"/>
      <c r="AE128" s="1425"/>
      <c r="AF128" s="1425"/>
      <c r="AG128" s="1425"/>
      <c r="AH128" s="1425"/>
      <c r="AI128" s="1425"/>
      <c r="AJ128" s="1425"/>
      <c r="AK128" s="1425"/>
      <c r="AL128" s="1425"/>
      <c r="AM128" s="1425"/>
      <c r="AN128" s="1425"/>
      <c r="AO128" s="1425"/>
      <c r="AP128" s="1425"/>
      <c r="AQ128" s="1425"/>
    </row>
    <row s="8263" customFormat="1" customHeight="1" ht="17.25" hidden="1">
      <c r="A129" s="475"/>
      <c r="C129" s="474"/>
      <c r="D129" s="2210"/>
      <c r="E129" s="2212"/>
      <c r="F129" s="2214"/>
      <c r="G129" s="2212"/>
      <c r="H129" s="2217"/>
      <c r="I129" s="2219"/>
      <c r="J129" s="2222"/>
      <c r="K129" s="2204"/>
      <c r="L129" s="2108"/>
      <c r="M129" s="2108"/>
      <c r="N129" s="2108"/>
      <c r="O129" s="2108"/>
      <c r="P129" s="2108"/>
      <c r="Q129" s="2108"/>
      <c r="R129" s="2108"/>
      <c r="S129" s="483"/>
      <c r="T129" s="483"/>
      <c r="U129" s="483"/>
      <c r="V129" s="483"/>
      <c r="W129" s="2109"/>
      <c r="X129" s="1425"/>
      <c r="Y129" s="1425"/>
      <c r="Z129" s="1425"/>
      <c r="AA129" s="1425"/>
      <c r="AB129" s="1425"/>
      <c r="AC129" s="1425"/>
      <c r="AD129" s="1425"/>
      <c r="AE129" s="1425"/>
      <c r="AF129" s="1425"/>
      <c r="AG129" s="1425"/>
      <c r="AH129" s="1425"/>
      <c r="AI129" s="1425"/>
      <c r="AJ129" s="1425"/>
      <c r="AK129" s="1425"/>
      <c r="AL129" s="1425"/>
      <c r="AM129" s="1425"/>
      <c r="AN129" s="1425"/>
      <c r="AO129" s="1425"/>
      <c r="AP129" s="1425"/>
      <c r="AQ129" s="1425"/>
    </row>
    <row s="8263" customFormat="1" customHeight="1" ht="17.25" hidden="1">
      <c r="A130" s="475"/>
      <c r="C130" s="474"/>
      <c r="D130" s="2210"/>
      <c r="E130" s="2212"/>
      <c r="F130" s="2215"/>
      <c r="G130" s="2212"/>
      <c r="H130" s="1458"/>
      <c r="I130" s="2106"/>
      <c r="J130" s="2106"/>
      <c r="K130" s="2106"/>
      <c r="L130" s="2106"/>
      <c r="M130" s="2106"/>
      <c r="N130" s="2106"/>
      <c r="O130" s="2106"/>
      <c r="P130" s="2106"/>
      <c r="Q130" s="2106"/>
      <c r="R130" s="2106"/>
      <c r="S130" s="1460"/>
      <c r="T130" s="1460"/>
      <c r="U130" s="1460"/>
      <c r="V130" s="1460"/>
      <c r="W130" s="2107"/>
      <c r="X130" s="1425"/>
      <c r="Y130" s="1425"/>
      <c r="Z130" s="1425"/>
      <c r="AA130" s="1425"/>
      <c r="AB130" s="1425"/>
      <c r="AC130" s="1425"/>
      <c r="AD130" s="1425"/>
      <c r="AE130" s="1425"/>
      <c r="AF130" s="1425"/>
      <c r="AG130" s="1425"/>
      <c r="AH130" s="1425"/>
      <c r="AI130" s="1425"/>
      <c r="AJ130" s="1425"/>
      <c r="AK130" s="1425"/>
      <c r="AL130" s="1425"/>
      <c r="AM130" s="1425"/>
      <c r="AN130" s="1425"/>
      <c r="AO130" s="1425"/>
      <c r="AP130" s="1425"/>
      <c r="AQ130" s="1425"/>
    </row>
    <row r="134" customHeight="1" ht="11.25">
      <c r="E134" s="1509"/>
    </row>
    <row customHeight="1" ht="11.25">
      <c r="E135" s="1509"/>
    </row>
    <row customHeight="1" ht="11.25">
      <c r="E136" s="1509"/>
    </row>
    <row customHeight="1" ht="11.25">
      <c r="E137" s="1509"/>
    </row>
    <row customHeight="1" ht="11.25">
      <c r="E138" s="1509"/>
    </row>
    <row customHeight="1" ht="11.25">
      <c r="E139" s="1509"/>
    </row>
    <row customHeight="1" ht="11.25">
      <c r="E140" s="1509"/>
    </row>
  </sheetData>
  <sheetProtection formatColumns="0" formatRows="0" autoFilter="0" sort="0" insertRows="0" insertColumns="1" deleteRows="0" deleteColumns="0"/>
  <mergeCells count="364">
    <mergeCell ref="D53:D57"/>
    <mergeCell ref="M94:M96"/>
    <mergeCell ref="M53:M55"/>
    <mergeCell ref="N53:N55"/>
    <mergeCell ref="O53:O55"/>
    <mergeCell ref="P53:P54"/>
    <mergeCell ref="Q53:Q54"/>
    <mergeCell ref="R53:R54"/>
    <mergeCell ref="S53:S54"/>
    <mergeCell ref="D58:D62"/>
    <mergeCell ref="E58:E62"/>
    <mergeCell ref="F58:F62"/>
    <mergeCell ref="G58:G62"/>
    <mergeCell ref="H58:H61"/>
    <mergeCell ref="I58:I61"/>
    <mergeCell ref="J58:J61"/>
    <mergeCell ref="K58:K61"/>
    <mergeCell ref="L58:L60"/>
    <mergeCell ref="M58:M60"/>
    <mergeCell ref="N58:N60"/>
    <mergeCell ref="O58:O60"/>
    <mergeCell ref="P58:P59"/>
    <mergeCell ref="Q58:Q59"/>
    <mergeCell ref="R58:R59"/>
    <mergeCell ref="S58:S59"/>
    <mergeCell ref="E53:E57"/>
    <mergeCell ref="F53:F57"/>
    <mergeCell ref="G53:G57"/>
    <mergeCell ref="H53:H56"/>
    <mergeCell ref="I53:I56"/>
    <mergeCell ref="J53:J56"/>
    <mergeCell ref="K53:K56"/>
    <mergeCell ref="L53:L55"/>
    <mergeCell ref="M89:M91"/>
    <mergeCell ref="N89:N91"/>
    <mergeCell ref="O89:O91"/>
    <mergeCell ref="P89:P90"/>
    <mergeCell ref="Q89:Q90"/>
    <mergeCell ref="R89:R90"/>
    <mergeCell ref="S89:S90"/>
    <mergeCell ref="D84:D88"/>
    <mergeCell ref="E84:E88"/>
    <mergeCell ref="M84:M86"/>
    <mergeCell ref="D89:D93"/>
    <mergeCell ref="E89:E93"/>
    <mergeCell ref="F89:F93"/>
    <mergeCell ref="G89:G93"/>
    <mergeCell ref="H89:H92"/>
    <mergeCell ref="I89:I92"/>
    <mergeCell ref="J89:J92"/>
    <mergeCell ref="K89:K92"/>
    <mergeCell ref="L89:L91"/>
    <mergeCell ref="F84:F88"/>
    <mergeCell ref="G84:G88"/>
    <mergeCell ref="H84:H87"/>
    <mergeCell ref="I84:I87"/>
    <mergeCell ref="J84:J87"/>
    <mergeCell ref="L84:L86"/>
    <mergeCell ref="Q79:Q80"/>
    <mergeCell ref="R79:R80"/>
    <mergeCell ref="S79:S80"/>
    <mergeCell ref="K79:K82"/>
    <mergeCell ref="K74:K77"/>
    <mergeCell ref="N79:N81"/>
    <mergeCell ref="O79:O81"/>
    <mergeCell ref="P79:P80"/>
    <mergeCell ref="S84:S85"/>
    <mergeCell ref="N84:N86"/>
    <mergeCell ref="O84:O86"/>
    <mergeCell ref="P84:P85"/>
    <mergeCell ref="Q84:Q85"/>
    <mergeCell ref="R84:R85"/>
    <mergeCell ref="L79:L81"/>
    <mergeCell ref="N74:N76"/>
    <mergeCell ref="O74:O76"/>
    <mergeCell ref="P74:P75"/>
    <mergeCell ref="Q74:Q75"/>
    <mergeCell ref="R74:R75"/>
    <mergeCell ref="S74:S75"/>
    <mergeCell ref="M79:M81"/>
    <mergeCell ref="W9:W10"/>
    <mergeCell ref="O9:R9"/>
    <mergeCell ref="K9:N9"/>
    <mergeCell ref="T11:U11"/>
    <mergeCell ref="S9:V9"/>
    <mergeCell ref="T10:U10"/>
    <mergeCell ref="D74:D78"/>
    <mergeCell ref="E74:E78"/>
    <mergeCell ref="D79:D83"/>
    <mergeCell ref="E79:E83"/>
    <mergeCell ref="F79:F83"/>
    <mergeCell ref="G79:G83"/>
    <mergeCell ref="H79:H82"/>
    <mergeCell ref="I79:I82"/>
    <mergeCell ref="J79:J82"/>
    <mergeCell ref="F74:F78"/>
    <mergeCell ref="G74:G78"/>
    <mergeCell ref="H74:H77"/>
    <mergeCell ref="I74:I77"/>
    <mergeCell ref="J74:J77"/>
    <mergeCell ref="K13:K16"/>
    <mergeCell ref="G18:G22"/>
    <mergeCell ref="K18:K21"/>
    <mergeCell ref="N23:N25"/>
    <mergeCell ref="D5:J5"/>
    <mergeCell ref="D9:D10"/>
    <mergeCell ref="D7:J7"/>
    <mergeCell ref="G9:G10"/>
    <mergeCell ref="H9:I10"/>
    <mergeCell ref="D6:J6"/>
    <mergeCell ref="D13:D17"/>
    <mergeCell ref="E13:E17"/>
    <mergeCell ref="G13:G17"/>
    <mergeCell ref="H13:H16"/>
    <mergeCell ref="J9:J10"/>
    <mergeCell ref="H11:I11"/>
    <mergeCell ref="E9:F9"/>
    <mergeCell ref="F13:F17"/>
    <mergeCell ref="I13:I16"/>
    <mergeCell ref="J13:J16"/>
    <mergeCell ref="L10:M10"/>
    <mergeCell ref="P10:Q10"/>
    <mergeCell ref="L11:M11"/>
    <mergeCell ref="P11:Q11"/>
    <mergeCell ref="K23:K26"/>
    <mergeCell ref="L23:L25"/>
    <mergeCell ref="P13:P14"/>
    <mergeCell ref="P23:P24"/>
    <mergeCell ref="Q23:Q24"/>
    <mergeCell ref="P18:P19"/>
    <mergeCell ref="O18:O20"/>
    <mergeCell ref="L13:L15"/>
    <mergeCell ref="M13:M15"/>
    <mergeCell ref="N13:N15"/>
    <mergeCell ref="O13:O15"/>
    <mergeCell ref="Q13:Q14"/>
    <mergeCell ref="D18:D22"/>
    <mergeCell ref="E18:E22"/>
    <mergeCell ref="F18:F22"/>
    <mergeCell ref="Q18:Q19"/>
    <mergeCell ref="R18:R19"/>
    <mergeCell ref="M23:M25"/>
    <mergeCell ref="R23:R24"/>
    <mergeCell ref="O23:O25"/>
    <mergeCell ref="H18:H21"/>
    <mergeCell ref="I18:I21"/>
    <mergeCell ref="J18:J21"/>
    <mergeCell ref="D23:D27"/>
    <mergeCell ref="E23:E27"/>
    <mergeCell ref="F23:F27"/>
    <mergeCell ref="H23:H26"/>
    <mergeCell ref="I23:I26"/>
    <mergeCell ref="J23:J26"/>
    <mergeCell ref="G23:G27"/>
    <mergeCell ref="L18:L20"/>
    <mergeCell ref="M18:M20"/>
    <mergeCell ref="N18:N20"/>
    <mergeCell ref="D48:D52"/>
    <mergeCell ref="E48:E52"/>
    <mergeCell ref="F48:F52"/>
    <mergeCell ref="H48:H51"/>
    <mergeCell ref="N38:N40"/>
    <mergeCell ref="G33:G37"/>
    <mergeCell ref="K33:K36"/>
    <mergeCell ref="G48:G52"/>
    <mergeCell ref="K48:K51"/>
    <mergeCell ref="N48:N50"/>
    <mergeCell ref="I48:I51"/>
    <mergeCell ref="J48:J51"/>
    <mergeCell ref="L48:L50"/>
    <mergeCell ref="M48:M50"/>
    <mergeCell ref="L38:L40"/>
    <mergeCell ref="M38:M40"/>
    <mergeCell ref="K38:K41"/>
    <mergeCell ref="D38:D42"/>
    <mergeCell ref="I38:I41"/>
    <mergeCell ref="J38:J41"/>
    <mergeCell ref="I33:I36"/>
    <mergeCell ref="J33:J36"/>
    <mergeCell ref="L33:L35"/>
    <mergeCell ref="M33:M35"/>
    <mergeCell ref="D33:D37"/>
    <mergeCell ref="Q28:Q29"/>
    <mergeCell ref="R28:R29"/>
    <mergeCell ref="D43:D47"/>
    <mergeCell ref="E43:E47"/>
    <mergeCell ref="F43:F47"/>
    <mergeCell ref="G43:G47"/>
    <mergeCell ref="H43:H46"/>
    <mergeCell ref="I43:I46"/>
    <mergeCell ref="J43:J46"/>
    <mergeCell ref="K43:K46"/>
    <mergeCell ref="L43:L45"/>
    <mergeCell ref="D28:D32"/>
    <mergeCell ref="E28:E32"/>
    <mergeCell ref="F28:F32"/>
    <mergeCell ref="H28:H31"/>
    <mergeCell ref="I28:I31"/>
    <mergeCell ref="N28:N30"/>
    <mergeCell ref="P38:P39"/>
    <mergeCell ref="O33:O35"/>
    <mergeCell ref="Q38:Q39"/>
    <mergeCell ref="R38:R39"/>
    <mergeCell ref="O38:O40"/>
    <mergeCell ref="J28:J31"/>
    <mergeCell ref="G28:G32"/>
    <mergeCell ref="K28:K31"/>
    <mergeCell ref="S28:S29"/>
    <mergeCell ref="S33:S34"/>
    <mergeCell ref="S38:S39"/>
    <mergeCell ref="O28:O30"/>
    <mergeCell ref="E33:E37"/>
    <mergeCell ref="F33:F37"/>
    <mergeCell ref="H33:H36"/>
    <mergeCell ref="L28:L30"/>
    <mergeCell ref="M28:M30"/>
    <mergeCell ref="P33:P34"/>
    <mergeCell ref="Q33:Q34"/>
    <mergeCell ref="R33:R34"/>
    <mergeCell ref="P28:P29"/>
    <mergeCell ref="S18:S19"/>
    <mergeCell ref="O48:O50"/>
    <mergeCell ref="E72:W72"/>
    <mergeCell ref="E64:W64"/>
    <mergeCell ref="E65:W65"/>
    <mergeCell ref="E66:W66"/>
    <mergeCell ref="E67:W67"/>
    <mergeCell ref="E68:W68"/>
    <mergeCell ref="L74:L76"/>
    <mergeCell ref="M74:M76"/>
    <mergeCell ref="E70:W70"/>
    <mergeCell ref="E71:W71"/>
    <mergeCell ref="K84:K87"/>
    <mergeCell ref="E38:E42"/>
    <mergeCell ref="F38:F42"/>
    <mergeCell ref="H38:H41"/>
    <mergeCell ref="G38:G42"/>
    <mergeCell ref="R13:R14"/>
    <mergeCell ref="S13:S14"/>
    <mergeCell ref="M43:M45"/>
    <mergeCell ref="N43:N45"/>
    <mergeCell ref="O43:O45"/>
    <mergeCell ref="N33:N35"/>
    <mergeCell ref="D100:D104"/>
    <mergeCell ref="E100:E104"/>
    <mergeCell ref="F100:F104"/>
    <mergeCell ref="G100:G104"/>
    <mergeCell ref="P48:P49"/>
    <mergeCell ref="Q48:Q49"/>
    <mergeCell ref="R48:R49"/>
    <mergeCell ref="S48:S49"/>
    <mergeCell ref="P43:P44"/>
    <mergeCell ref="Q43:Q44"/>
    <mergeCell ref="R43:R44"/>
    <mergeCell ref="S43:S44"/>
    <mergeCell ref="S23:S24"/>
    <mergeCell ref="S116:S117"/>
    <mergeCell ref="D116:D120"/>
    <mergeCell ref="E116:E120"/>
    <mergeCell ref="F116:F120"/>
    <mergeCell ref="G116:G120"/>
    <mergeCell ref="M105:M107"/>
    <mergeCell ref="N105:N107"/>
    <mergeCell ref="O105:O107"/>
    <mergeCell ref="P105:P106"/>
    <mergeCell ref="Q105:Q106"/>
    <mergeCell ref="R105:R106"/>
    <mergeCell ref="S105:S106"/>
    <mergeCell ref="D105:D109"/>
    <mergeCell ref="E105:E109"/>
    <mergeCell ref="F105:F109"/>
    <mergeCell ref="G105:G109"/>
    <mergeCell ref="H105:H108"/>
    <mergeCell ref="I105:I108"/>
    <mergeCell ref="J105:J108"/>
    <mergeCell ref="K105:K108"/>
    <mergeCell ref="L105:L107"/>
    <mergeCell ref="O116:O118"/>
    <mergeCell ref="M121:M123"/>
    <mergeCell ref="N121:N123"/>
    <mergeCell ref="O121:O123"/>
    <mergeCell ref="P116:P117"/>
    <mergeCell ref="Q116:Q117"/>
    <mergeCell ref="R116:R117"/>
    <mergeCell ref="P121:P122"/>
    <mergeCell ref="Q121:Q122"/>
    <mergeCell ref="R121:R122"/>
    <mergeCell ref="F94:F98"/>
    <mergeCell ref="G94:G98"/>
    <mergeCell ref="H94:H97"/>
    <mergeCell ref="I94:I97"/>
    <mergeCell ref="J94:J97"/>
    <mergeCell ref="K94:K97"/>
    <mergeCell ref="L94:L96"/>
    <mergeCell ref="S121:S122"/>
    <mergeCell ref="D121:D125"/>
    <mergeCell ref="E121:E125"/>
    <mergeCell ref="F121:F125"/>
    <mergeCell ref="G121:G125"/>
    <mergeCell ref="H121:H124"/>
    <mergeCell ref="I121:I124"/>
    <mergeCell ref="J121:J124"/>
    <mergeCell ref="K121:K124"/>
    <mergeCell ref="L121:L123"/>
    <mergeCell ref="H116:H119"/>
    <mergeCell ref="I116:I119"/>
    <mergeCell ref="J116:J119"/>
    <mergeCell ref="K116:K119"/>
    <mergeCell ref="L116:L118"/>
    <mergeCell ref="M116:M118"/>
    <mergeCell ref="N116:N118"/>
    <mergeCell ref="N94:N96"/>
    <mergeCell ref="O94:O96"/>
    <mergeCell ref="P94:P95"/>
    <mergeCell ref="Q94:Q95"/>
    <mergeCell ref="R94:R95"/>
    <mergeCell ref="S94:S95"/>
    <mergeCell ref="D110:D114"/>
    <mergeCell ref="E110:E114"/>
    <mergeCell ref="F110:F114"/>
    <mergeCell ref="G110:G114"/>
    <mergeCell ref="H110:H113"/>
    <mergeCell ref="I110:I113"/>
    <mergeCell ref="J110:J113"/>
    <mergeCell ref="K110:K113"/>
    <mergeCell ref="L110:L112"/>
    <mergeCell ref="M110:M112"/>
    <mergeCell ref="N110:N112"/>
    <mergeCell ref="O110:O112"/>
    <mergeCell ref="P110:P111"/>
    <mergeCell ref="Q110:Q111"/>
    <mergeCell ref="R110:R111"/>
    <mergeCell ref="S110:S111"/>
    <mergeCell ref="D94:D98"/>
    <mergeCell ref="E94:E98"/>
    <mergeCell ref="M126:M128"/>
    <mergeCell ref="N126:N128"/>
    <mergeCell ref="O126:O128"/>
    <mergeCell ref="P126:P127"/>
    <mergeCell ref="Q126:Q127"/>
    <mergeCell ref="R126:R127"/>
    <mergeCell ref="S126:S127"/>
    <mergeCell ref="D126:D130"/>
    <mergeCell ref="E126:E130"/>
    <mergeCell ref="F126:F130"/>
    <mergeCell ref="G126:G130"/>
    <mergeCell ref="H126:H129"/>
    <mergeCell ref="I126:I129"/>
    <mergeCell ref="J126:J129"/>
    <mergeCell ref="K126:K129"/>
    <mergeCell ref="L126:L128"/>
    <mergeCell ref="W100:W101"/>
    <mergeCell ref="O100:O102"/>
    <mergeCell ref="P100:P101"/>
    <mergeCell ref="Q100:Q101"/>
    <mergeCell ref="R100:R101"/>
    <mergeCell ref="H100:H103"/>
    <mergeCell ref="I100:I103"/>
    <mergeCell ref="J100:J103"/>
    <mergeCell ref="K100:K103"/>
    <mergeCell ref="L100:L102"/>
    <mergeCell ref="S100:S101"/>
    <mergeCell ref="M100:M102"/>
    <mergeCell ref="N100:N102"/>
  </mergeCells>
  <dataValidations count="17">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02"/>
    <dataValidation allowBlank="1" showInputMessage="1" showErrorMessage="1" prompt="Для выбора выполните двойной щелчок левой клавиши мыши по соответствующей ячейке." sqref="S101"/>
    <dataValidation type="textLength" operator="lessThanOrEqual" allowBlank="1" showInputMessage="1" showErrorMessage="1" errorTitle="Ошибка" error="Допускается ввод не более 900 символов!" sqref="R101">
      <formula1>900</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01"/>
    <dataValidation type="textLength" operator="lessThanOrEqual" allowBlank="1" showInputMessage="1" showErrorMessage="1" errorTitle="Ошибка" error="Допускается ввод не более 900 символов!" sqref="J101">
      <formula1>900</formula1>
    </dataValidation>
    <dataValidation type="textLength" operator="lessThanOrEqual" allowBlank="1" showInputMessage="1" showErrorMessage="1" errorTitle="Ошибка" error="Допускается ввод не более 900 символов!" sqref="W100">
      <formula1>900</formula1>
    </dataValidation>
    <dataValidation type="textLength" operator="lessThanOrEqual" allowBlank="1" showInputMessage="1" showErrorMessage="1" errorTitle="Ошибка" error="Допускается ввод не более 900 символов!" sqref="V100">
      <formula1>900</formula1>
    </dataValidation>
    <dataValidation allowBlank="1" showInputMessage="1" showErrorMessage="1" prompt="Для выбора выполните двойной щелчок левой клавиши мыши по соответствующей ячейке." sqref="S100"/>
    <dataValidation type="textLength" operator="lessThanOrEqual" allowBlank="1" showInputMessage="1" showErrorMessage="1" errorTitle="Ошибка" error="Допускается ввод не более 900 символов!" sqref="R100">
      <formula1>900</formula1>
    </dataValidation>
    <dataValidation allowBlank="1" showInputMessage="1" showErrorMessage="1" prompt="Для выбора выполните двойной щелчок левой клавиши мыши по соответствующей ячейке." sqref="O100"/>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00"/>
    <dataValidation allowBlank="1" showInputMessage="1" showErrorMessage="1" prompt="Для выбора выполните двойной щелчок левой клавиши мыши по соответствующей ячейке." sqref="K100"/>
    <dataValidation type="textLength" operator="lessThanOrEqual" allowBlank="1" showInputMessage="1" showErrorMessage="1" errorTitle="Ошибка" error="Допускается ввод не более 900 символов!" sqref="J100">
      <formula1>900</formula1>
    </dataValidation>
    <dataValidation allowBlank="1" showInputMessage="1" showErrorMessage="1" prompt="Выберите виды деятельности, выполнив двойной щелчок левой кнопки мыши по ячейке." sqref="G100:G114 G13:G62 G74:G98 G116:G130"/>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43:N45 N18:N20 N38:N40 N23:N25 N33:N35 N13:N15 N28:N30 N74:N76 N89:N91 N79:N81 N84:N86 N48:N50 N105:N107 N121:N123 N116:N118 N53:N55 N58:N60 N94:N96 N110:N112 N126:N128">
      <formula1>DESCRIPTION_TERRITORY</formula1>
    </dataValidation>
    <dataValidation type="textLength" operator="lessThanOrEqual" allowBlank="1" showInputMessage="1" showErrorMessage="1" errorTitle="Ошибка" error="Допускается ввод не более 900 символов!" sqref="J33:J34 J13:J14 J43:J44 R43:R44 V43:W43 J18:J19 J38:J39 J23:J24 R33:R34 R13:R14 R18:R19 R38:R39 R23:R24 V33:W33 V13:W13 V18:W18 V38:W38 V23:W23 J28:J29 R28:R29 V28:W28 J74:J75 R74:R75 V74:W74 J79:J80 R79:R80 V79:W79 J89:J90 R89:R90 V89:W89 J84:J85 R84:R85 V84:W84 J48:J49 R48:R49 V48:W48 J105:J106 R105:R106 V105:W105 J121:J122 R121:R122 V121:W121 J116:J117 R116:R117 V116:W116 J53:J54 R53:R54 V53:W53 J58:J59 R58:R59 V58:W58 J94:J95 R94:R95 V94:W94 J110:J111 R110:R111 V110:W110 J126:J127 R126:R127 V126:W126">
      <formula1>900</formula1>
    </dataValidation>
    <dataValidation allowBlank="1" showInputMessage="1" showErrorMessage="1" prompt="Для выбора выполните двойной щелчок левой клавиши мыши по соответствующей ячейке." sqref="K33:K34 K13:K14 K43:K44 O43:O44 S43:S44 K18:K19 K38:K39 K23:K24 O33:O34 O18:O19 O38:O39 O23:O24 S33:S34 S18:S19 S38:S39 S23:S24 O13:O14 S13:S14 K28:K29 O28:O29 S28:S29 K74:K75 O74:O75 S74:S75 K79:K80 O79:O80 S79:S80 K89:K90 O89:O90 S89:S90 K84:K85 O84:O85 S48:S49 S84:S85 K48:K49 O48:O49 F13:F62 O105:O106 S105:S106 K105:K106 S94:S95 K121:K122 O121:O122 K116:K117 O116:O117 S121:S122 O110:O111 S116:S117 O53:O54 S53:S54 K53:K54 K58:K59 O58:O59 S58:S59 F74:F98 K94:K95 O94:O95 F100:F114 S110:S111 K110:K111 F116:F130 S126:S127 K126:K127 O126:O127"/>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D584571-22A9-E445-BA64-17AD48BBC4EF}" mc:Ignorable="x14ac xr xr2 xr3">
  <sheetPr>
    <tabColor rgb="FFCCCCFF"/>
  </sheetPr>
  <dimension ref="A1:BL49"/>
  <sheetViews>
    <sheetView topLeftCell="A1" showGridLines="0" zoomScale="90" workbookViewId="0">
      <selection activeCell="A1" sqref="A1"/>
    </sheetView>
  </sheetViews>
  <sheetFormatPr defaultColWidth="9.140625" customHeight="1" defaultRowHeight="11.25"/>
  <cols>
    <col min="1" max="2" style="8423" width="9.140625" hidden="1"/>
    <col min="3" max="4" style="8423" width="3.7109375" customWidth="1"/>
    <col min="5" max="6" style="8423" width="16.00390625" customWidth="1"/>
    <col min="7" max="7" style="8423" width="11.57421875" customWidth="1"/>
    <col min="8" max="9" style="8423" width="3.7109375" customWidth="1"/>
    <col min="10" max="10" style="8423" width="13.140625" customWidth="1"/>
    <col min="11" max="11" style="8423" width="0.28125" customWidth="1"/>
    <col min="12" max="13" style="8423" width="10.7109375" customWidth="1"/>
    <col min="14" max="15" style="8423" width="3.7109375" customWidth="1"/>
    <col min="16" max="16" style="8423" width="19.7109375" customWidth="1"/>
    <col min="17" max="17" style="8423" width="0.28125" customWidth="1"/>
    <col min="18" max="19" style="8423" width="10.7109375" customWidth="1"/>
    <col min="20" max="21" style="8423" width="3.7109375" customWidth="1"/>
    <col min="22" max="22" style="8423" width="25.7109375" customWidth="1"/>
    <col min="23" max="23" style="8423" width="0.28125" customWidth="1"/>
    <col min="24" max="25" style="8423" width="10.7109375" customWidth="1"/>
    <col min="26" max="27" style="8423" width="3.7109375" customWidth="1"/>
    <col min="28" max="28" style="8423" width="16.421875" customWidth="1"/>
    <col min="29" max="29" style="8423" width="0.28125" customWidth="1"/>
    <col min="30" max="31" style="8423" width="10.7109375" customWidth="1"/>
    <col min="32" max="33" style="8423" width="3.7109375" customWidth="1"/>
    <col min="34" max="34" style="8423" width="8.7109375" customWidth="1"/>
    <col min="35" max="35" style="8423" width="21.7109375" customWidth="1"/>
    <col min="36" max="36" style="8053" width="9.140625"/>
    <col min="37" max="37" style="8424" width="9.140625"/>
    <col min="38" max="64" style="8053" width="9.140625"/>
  </cols>
  <sheetData>
    <row s="8347" customFormat="1" customHeight="1" ht="11.25" hidden="1">
      <c r="AJ1" s="576"/>
      <c r="AK1" s="576"/>
      <c r="AL1" s="576"/>
      <c r="AM1" s="576"/>
      <c r="AN1" s="576"/>
      <c r="AO1" s="576"/>
      <c r="AP1" s="576"/>
      <c r="AQ1" s="576"/>
      <c r="AR1" s="576"/>
      <c r="AS1" s="576"/>
      <c r="AT1" s="576"/>
      <c r="AU1" s="576"/>
      <c r="AV1" s="576"/>
      <c r="AW1" s="576"/>
      <c r="AX1" s="576"/>
      <c r="AY1" s="576"/>
      <c r="AZ1" s="576"/>
      <c r="BA1" s="576"/>
      <c r="BB1" s="576"/>
      <c r="BC1" s="576"/>
      <c r="BD1" s="576"/>
      <c r="BE1" s="576"/>
      <c r="BF1" s="576"/>
      <c r="BG1" s="576"/>
      <c r="BH1" s="576"/>
      <c r="BI1" s="576"/>
      <c r="BJ1" s="576"/>
      <c r="BK1" s="576"/>
      <c r="BL1" s="576"/>
    </row>
    <row s="8348" customFormat="1" customHeight="1" ht="11.25" hidden="1">
      <c r="L2" s="1712" t="s">
        <v>279</v>
      </c>
      <c r="M2" s="1712" t="s">
        <v>280</v>
      </c>
      <c r="R2" s="1712" t="s">
        <v>281</v>
      </c>
      <c r="S2" s="1712" t="s">
        <v>280</v>
      </c>
      <c r="X2" s="1712" t="s">
        <v>279</v>
      </c>
      <c r="Y2" s="1712" t="s">
        <v>280</v>
      </c>
      <c r="AD2" s="1712" t="s">
        <v>279</v>
      </c>
      <c r="AE2" s="1712" t="s">
        <v>280</v>
      </c>
      <c r="AJ2" s="1734"/>
      <c r="AK2" s="1734"/>
      <c r="AL2" s="1734"/>
      <c r="AM2" s="1734"/>
      <c r="AN2" s="1734"/>
      <c r="AO2" s="1734"/>
      <c r="AP2" s="1734"/>
      <c r="AQ2" s="1734"/>
      <c r="AR2" s="1734"/>
      <c r="AS2" s="1734"/>
      <c r="AT2" s="1734"/>
      <c r="AU2" s="1734"/>
      <c r="AV2" s="1734"/>
      <c r="AW2" s="1734"/>
      <c r="AX2" s="1734"/>
      <c r="AY2" s="1734"/>
      <c r="AZ2" s="1734"/>
      <c r="BA2" s="1734"/>
      <c r="BB2" s="1734"/>
      <c r="BC2" s="1734"/>
      <c r="BD2" s="1734"/>
      <c r="BE2" s="1734"/>
      <c r="BF2" s="1734"/>
      <c r="BG2" s="1734"/>
      <c r="BH2" s="1734"/>
      <c r="BI2" s="1734"/>
      <c r="BJ2" s="1734"/>
      <c r="BK2" s="1734"/>
      <c r="BL2" s="1734"/>
    </row>
    <row s="8351" customFormat="1" customHeight="1" ht="11.25">
      <c r="AJ3" s="1733"/>
      <c r="AK3" s="460"/>
      <c r="AL3" s="1733"/>
      <c r="AM3" s="1733"/>
      <c r="AN3" s="1733"/>
      <c r="AO3" s="1733"/>
      <c r="AP3" s="1733"/>
      <c r="AQ3" s="1733"/>
      <c r="AR3" s="1733"/>
      <c r="AS3" s="1733"/>
      <c r="AT3" s="1733"/>
      <c r="AU3" s="1733"/>
      <c r="AV3" s="1733"/>
      <c r="AW3" s="1733"/>
      <c r="AX3" s="1733"/>
      <c r="AY3" s="1733"/>
      <c r="AZ3" s="1733"/>
      <c r="BA3" s="1733"/>
      <c r="BB3" s="1733"/>
      <c r="BC3" s="1733"/>
      <c r="BD3" s="1733"/>
      <c r="BE3" s="1733"/>
      <c r="BF3" s="1733"/>
      <c r="BG3" s="1733"/>
      <c r="BH3" s="1733"/>
      <c r="BI3" s="1733"/>
      <c r="BJ3" s="1733"/>
      <c r="BK3" s="1733"/>
      <c r="BL3" s="1733"/>
    </row>
    <row s="8044" customFormat="1" customHeight="1" ht="33">
      <c r="A4" s="1312"/>
      <c r="B4" s="1311"/>
      <c r="C4" s="1674"/>
      <c r="D4" s="2241" t="s">
        <v>282</v>
      </c>
      <c r="E4" s="2241"/>
      <c r="F4" s="2241"/>
      <c r="G4" s="2241"/>
      <c r="H4" s="2241"/>
      <c r="I4" s="2241"/>
      <c r="J4" s="2241"/>
      <c r="K4" s="853"/>
      <c r="T4" s="1714"/>
      <c r="AJ4" s="1735"/>
      <c r="AK4" s="1736"/>
      <c r="AL4" s="1735"/>
      <c r="AM4" s="1735"/>
      <c r="AN4" s="1735"/>
      <c r="AO4" s="1735"/>
      <c r="AP4" s="1735"/>
      <c r="AQ4" s="1735"/>
      <c r="AR4" s="1735"/>
      <c r="AS4" s="1735"/>
      <c r="AT4" s="1735"/>
      <c r="AU4" s="1735"/>
      <c r="AV4" s="1735"/>
      <c r="AW4" s="1735"/>
      <c r="AX4" s="1735"/>
      <c r="AY4" s="1735"/>
      <c r="AZ4" s="1735"/>
      <c r="BA4" s="1735"/>
      <c r="BB4" s="1735"/>
      <c r="BC4" s="1735"/>
      <c r="BD4" s="1735"/>
      <c r="BE4" s="1735"/>
      <c r="BF4" s="1735"/>
      <c r="BG4" s="1735"/>
      <c r="BH4" s="1735"/>
      <c r="BI4" s="1735"/>
      <c r="BJ4" s="1735"/>
      <c r="BK4" s="1735"/>
      <c r="BL4" s="1735"/>
    </row>
    <row s="8362" customFormat="1" customHeight="1" ht="14.25">
      <c r="A5" s="1791"/>
      <c r="B5" s="1790"/>
      <c r="C5" s="1674"/>
      <c r="D5" s="2267" t="str">
        <f>IF(org=0,"Не определено",org)</f>
        <v>АО "Теплокоммунэнерго"</v>
      </c>
      <c r="E5" s="2267"/>
      <c r="F5" s="2267"/>
      <c r="G5" s="2267"/>
      <c r="H5" s="2267"/>
      <c r="I5" s="2267"/>
      <c r="J5" s="2267"/>
      <c r="K5" s="853"/>
      <c r="T5" s="1714"/>
      <c r="AJ5" s="1735"/>
      <c r="AK5" s="1736"/>
      <c r="AL5" s="1735"/>
      <c r="AM5" s="1735"/>
      <c r="AN5" s="1735"/>
      <c r="AO5" s="1735"/>
      <c r="AP5" s="1735"/>
      <c r="AQ5" s="1735"/>
      <c r="AR5" s="1735"/>
      <c r="AS5" s="1735"/>
      <c r="AT5" s="1735"/>
      <c r="AU5" s="1735"/>
      <c r="AV5" s="1735"/>
      <c r="AW5" s="1735"/>
      <c r="AX5" s="1735"/>
      <c r="AY5" s="1735"/>
      <c r="AZ5" s="1735"/>
      <c r="BA5" s="1735"/>
      <c r="BB5" s="1735"/>
      <c r="BC5" s="1735"/>
      <c r="BD5" s="1735"/>
      <c r="BE5" s="1735"/>
      <c r="BF5" s="1735"/>
      <c r="BG5" s="1735"/>
      <c r="BH5" s="1735"/>
      <c r="BI5" s="1735"/>
      <c r="BJ5" s="1735"/>
      <c r="BK5" s="1735"/>
      <c r="BL5" s="1735"/>
    </row>
    <row s="8044" customFormat="1" customHeight="1" ht="14.25">
      <c r="A6" s="1312"/>
      <c r="B6" s="1311"/>
      <c r="C6" s="1674"/>
      <c r="D6" s="853"/>
      <c r="E6" s="853"/>
      <c r="F6" s="853"/>
      <c r="G6" s="853"/>
      <c r="H6" s="853"/>
      <c r="I6" s="853"/>
      <c r="J6" s="853"/>
      <c r="K6" s="853"/>
      <c r="T6" s="1714"/>
      <c r="AJ6" s="1735"/>
      <c r="AK6" s="1736"/>
      <c r="AL6" s="1735"/>
      <c r="AM6" s="1735"/>
      <c r="AN6" s="1735"/>
      <c r="AO6" s="1735"/>
      <c r="AP6" s="1735"/>
      <c r="AQ6" s="1735"/>
      <c r="AR6" s="1735"/>
      <c r="AS6" s="1735"/>
      <c r="AT6" s="1735"/>
      <c r="AU6" s="1735"/>
      <c r="AV6" s="1735"/>
      <c r="AW6" s="1735"/>
      <c r="AX6" s="1735"/>
      <c r="AY6" s="1735"/>
      <c r="AZ6" s="1735"/>
      <c r="BA6" s="1735"/>
      <c r="BB6" s="1735"/>
      <c r="BC6" s="1735"/>
      <c r="BD6" s="1735"/>
      <c r="BE6" s="1735"/>
      <c r="BF6" s="1735"/>
      <c r="BG6" s="1735"/>
      <c r="BH6" s="1735"/>
      <c r="BI6" s="1735"/>
      <c r="BJ6" s="1735"/>
      <c r="BK6" s="1735"/>
      <c r="BL6" s="1735"/>
    </row>
    <row s="8347" customFormat="1" customHeight="1" ht="0.75">
      <c r="AJ7" s="576"/>
      <c r="AK7" s="576"/>
      <c r="AL7" s="576"/>
      <c r="AM7" s="576"/>
      <c r="AN7" s="576"/>
      <c r="AO7" s="576"/>
      <c r="AP7" s="576"/>
      <c r="AQ7" s="576"/>
      <c r="AR7" s="576"/>
      <c r="AS7" s="576"/>
      <c r="AT7" s="576"/>
      <c r="AU7" s="576"/>
      <c r="AV7" s="576"/>
      <c r="AW7" s="576"/>
      <c r="AX7" s="576"/>
      <c r="AY7" s="576"/>
      <c r="AZ7" s="576"/>
      <c r="BA7" s="576"/>
      <c r="BB7" s="576"/>
      <c r="BC7" s="576"/>
      <c r="BD7" s="576"/>
      <c r="BE7" s="576"/>
      <c r="BF7" s="576"/>
      <c r="BG7" s="576"/>
      <c r="BH7" s="576"/>
      <c r="BI7" s="576"/>
      <c r="BJ7" s="576"/>
      <c r="BK7" s="576"/>
      <c r="BL7" s="576"/>
    </row>
    <row customHeight="1" ht="31.5">
      <c r="D8" s="2185" t="s">
        <v>85</v>
      </c>
      <c r="E8" s="2185" t="s">
        <v>102</v>
      </c>
      <c r="F8" s="2243" t="s">
        <v>119</v>
      </c>
      <c r="G8" s="2244"/>
      <c r="H8" s="2243" t="s">
        <v>85</v>
      </c>
      <c r="I8" s="2244"/>
      <c r="J8" s="2185" t="s">
        <v>120</v>
      </c>
      <c r="K8" s="1715"/>
      <c r="L8" s="2247" t="s">
        <v>283</v>
      </c>
      <c r="M8" s="2247"/>
      <c r="N8" s="2247"/>
      <c r="O8" s="2247"/>
      <c r="P8" s="2247"/>
      <c r="Q8" s="1716"/>
      <c r="R8" s="2164" t="s">
        <v>284</v>
      </c>
      <c r="S8" s="2248"/>
      <c r="T8" s="2248"/>
      <c r="U8" s="2248"/>
      <c r="V8" s="2248"/>
      <c r="W8" s="1716"/>
      <c r="X8" s="2249" t="s">
        <v>285</v>
      </c>
      <c r="Y8" s="2249"/>
      <c r="Z8" s="2249"/>
      <c r="AA8" s="2249"/>
      <c r="AB8" s="2249"/>
      <c r="AC8" s="1717"/>
      <c r="AD8" s="2185" t="s">
        <v>286</v>
      </c>
      <c r="AE8" s="2185"/>
      <c r="AF8" s="2185"/>
      <c r="AG8" s="2185"/>
      <c r="AH8" s="2169"/>
      <c r="AI8" s="2185" t="s">
        <v>287</v>
      </c>
      <c r="AJ8" s="1733"/>
    </row>
    <row customHeight="1" ht="22.5">
      <c r="D9" s="2185"/>
      <c r="E9" s="2185"/>
      <c r="F9" s="2242" t="s">
        <v>86</v>
      </c>
      <c r="G9" s="2242" t="s">
        <v>125</v>
      </c>
      <c r="H9" s="2245"/>
      <c r="I9" s="2246"/>
      <c r="J9" s="2169"/>
      <c r="K9" s="1718"/>
      <c r="L9" s="2185" t="s">
        <v>288</v>
      </c>
      <c r="M9" s="2169"/>
      <c r="N9" s="2243" t="s">
        <v>85</v>
      </c>
      <c r="O9" s="2244"/>
      <c r="P9" s="2185" t="s">
        <v>126</v>
      </c>
      <c r="Q9" s="1715"/>
      <c r="R9" s="2185" t="s">
        <v>288</v>
      </c>
      <c r="S9" s="2169"/>
      <c r="T9" s="2243" t="s">
        <v>85</v>
      </c>
      <c r="U9" s="2244"/>
      <c r="V9" s="2185" t="s">
        <v>126</v>
      </c>
      <c r="W9" s="1715"/>
      <c r="X9" s="2185" t="s">
        <v>288</v>
      </c>
      <c r="Y9" s="2169"/>
      <c r="Z9" s="2243" t="s">
        <v>85</v>
      </c>
      <c r="AA9" s="2244"/>
      <c r="AB9" s="2185" t="s">
        <v>289</v>
      </c>
      <c r="AC9" s="1715"/>
      <c r="AD9" s="2185" t="s">
        <v>288</v>
      </c>
      <c r="AE9" s="2169"/>
      <c r="AF9" s="2243" t="s">
        <v>85</v>
      </c>
      <c r="AG9" s="2244"/>
      <c r="AH9" s="2169" t="s">
        <v>289</v>
      </c>
      <c r="AI9" s="2185"/>
      <c r="AJ9" s="1733"/>
    </row>
    <row customHeight="1" ht="22.5">
      <c r="D10" s="2242"/>
      <c r="E10" s="2242"/>
      <c r="F10" s="2250"/>
      <c r="G10" s="2250"/>
      <c r="H10" s="2251"/>
      <c r="I10" s="2252"/>
      <c r="J10" s="2243"/>
      <c r="K10" s="1718"/>
      <c r="L10" s="1737" t="s">
        <v>290</v>
      </c>
      <c r="M10" s="1732" t="s">
        <v>291</v>
      </c>
      <c r="N10" s="2245"/>
      <c r="O10" s="2246"/>
      <c r="P10" s="2242"/>
      <c r="Q10" s="1715"/>
      <c r="R10" s="1737" t="s">
        <v>290</v>
      </c>
      <c r="S10" s="1732" t="s">
        <v>291</v>
      </c>
      <c r="T10" s="2245"/>
      <c r="U10" s="2246"/>
      <c r="V10" s="2242"/>
      <c r="W10" s="1715"/>
      <c r="X10" s="1737" t="s">
        <v>290</v>
      </c>
      <c r="Y10" s="1732" t="s">
        <v>291</v>
      </c>
      <c r="Z10" s="2245"/>
      <c r="AA10" s="2246"/>
      <c r="AB10" s="2242"/>
      <c r="AC10" s="1715"/>
      <c r="AD10" s="1737" t="s">
        <v>290</v>
      </c>
      <c r="AE10" s="1732" t="s">
        <v>291</v>
      </c>
      <c r="AF10" s="2245"/>
      <c r="AG10" s="2246"/>
      <c r="AH10" s="2243"/>
      <c r="AI10" s="2242"/>
      <c r="AJ10" s="1733"/>
      <c r="AK10" s="408" t="s">
        <v>292</v>
      </c>
      <c r="AL10" s="408" t="s">
        <v>127</v>
      </c>
    </row>
    <row customHeight="1" ht="14.25">
      <c r="D11" s="2253" t="s">
        <v>106</v>
      </c>
      <c r="E11" s="2255" t="s">
        <v>293</v>
      </c>
      <c r="F11" s="2255" t="s">
        <v>294</v>
      </c>
      <c r="G11" s="2258" t="s">
        <v>54</v>
      </c>
      <c r="H11" s="1758"/>
      <c r="I11" s="2260"/>
      <c r="J11" s="2220"/>
      <c r="K11" s="1673"/>
      <c r="L11" s="2203"/>
      <c r="M11" s="2203"/>
      <c r="N11" s="1743"/>
      <c r="O11" s="2203"/>
      <c r="P11" s="2220"/>
      <c r="Q11" s="1744"/>
      <c r="R11" s="2203"/>
      <c r="S11" s="2203"/>
      <c r="T11" s="1745"/>
      <c r="U11" s="2203"/>
      <c r="V11" s="2220"/>
      <c r="W11" s="1746"/>
      <c r="X11" s="2203"/>
      <c r="Y11" s="2203"/>
      <c r="Z11" s="1743"/>
      <c r="AA11" s="2203"/>
      <c r="AB11" s="2220"/>
      <c r="AC11" s="1747"/>
      <c r="AD11" s="2203"/>
      <c r="AE11" s="2203"/>
      <c r="AF11" s="1672"/>
      <c r="AG11" s="1672"/>
      <c r="AH11" s="1748"/>
      <c r="AI11" s="1455"/>
      <c r="AJ11" s="1733"/>
    </row>
    <row customHeight="1" ht="14.25">
      <c r="D12" s="2253"/>
      <c r="E12" s="2255"/>
      <c r="F12" s="2255"/>
      <c r="G12" s="2259"/>
      <c r="H12" s="1759"/>
      <c r="I12" s="2261"/>
      <c r="J12" s="2221"/>
      <c r="K12" s="1769"/>
      <c r="L12" s="2204"/>
      <c r="M12" s="2204"/>
      <c r="N12" s="1749"/>
      <c r="O12" s="2204"/>
      <c r="P12" s="2221"/>
      <c r="Q12" s="1750"/>
      <c r="R12" s="2204"/>
      <c r="S12" s="2204"/>
      <c r="T12" s="1751"/>
      <c r="U12" s="2204"/>
      <c r="V12" s="2221"/>
      <c r="W12" s="1752"/>
      <c r="X12" s="2204"/>
      <c r="Y12" s="2204"/>
      <c r="Z12" s="1749"/>
      <c r="AA12" s="2204"/>
      <c r="AB12" s="2221"/>
      <c r="AC12" s="1753"/>
      <c r="AD12" s="2204"/>
      <c r="AE12" s="2204"/>
      <c r="AF12" s="1754"/>
      <c r="AG12" s="1754"/>
      <c r="AH12" s="2264"/>
      <c r="AI12" s="2265"/>
      <c r="AJ12" s="1733"/>
    </row>
    <row customHeight="1" ht="14.25">
      <c r="D13" s="2253"/>
      <c r="E13" s="2255"/>
      <c r="F13" s="2255"/>
      <c r="G13" s="2259"/>
      <c r="H13" s="1759"/>
      <c r="I13" s="2261"/>
      <c r="J13" s="2221"/>
      <c r="K13" s="1769"/>
      <c r="L13" s="2204"/>
      <c r="M13" s="2204"/>
      <c r="N13" s="1749"/>
      <c r="O13" s="2204"/>
      <c r="P13" s="2221"/>
      <c r="Q13" s="1750"/>
      <c r="R13" s="2204"/>
      <c r="S13" s="2204"/>
      <c r="T13" s="1751"/>
      <c r="U13" s="2204"/>
      <c r="V13" s="2221"/>
      <c r="W13" s="1752"/>
      <c r="X13" s="2204"/>
      <c r="Y13" s="2204"/>
      <c r="Z13" s="1671"/>
      <c r="AA13" s="1754"/>
      <c r="AB13" s="2264"/>
      <c r="AC13" s="2264"/>
      <c r="AD13" s="2264"/>
      <c r="AE13" s="2264"/>
      <c r="AF13" s="2264"/>
      <c r="AG13" s="2264"/>
      <c r="AH13" s="2264"/>
      <c r="AI13" s="2265"/>
      <c r="AJ13" s="1733"/>
    </row>
    <row customHeight="1" ht="14.25">
      <c r="D14" s="2253"/>
      <c r="E14" s="2255"/>
      <c r="F14" s="2255"/>
      <c r="G14" s="2259"/>
      <c r="H14" s="1759"/>
      <c r="I14" s="2261"/>
      <c r="J14" s="2221"/>
      <c r="K14" s="1769"/>
      <c r="L14" s="2204"/>
      <c r="M14" s="2204"/>
      <c r="N14" s="1749"/>
      <c r="O14" s="2204"/>
      <c r="P14" s="2221"/>
      <c r="Q14" s="1750"/>
      <c r="R14" s="2204"/>
      <c r="S14" s="2204"/>
      <c r="T14" s="1755"/>
      <c r="U14" s="1756"/>
      <c r="V14" s="2264"/>
      <c r="W14" s="2264"/>
      <c r="X14" s="2264"/>
      <c r="Y14" s="2264"/>
      <c r="Z14" s="2264"/>
      <c r="AA14" s="2264"/>
      <c r="AB14" s="2264"/>
      <c r="AC14" s="2264"/>
      <c r="AD14" s="2264"/>
      <c r="AE14" s="2264"/>
      <c r="AF14" s="2264"/>
      <c r="AG14" s="2264"/>
      <c r="AH14" s="2264"/>
      <c r="AI14" s="2265"/>
      <c r="AJ14" s="1733"/>
    </row>
    <row customHeight="1" ht="11.25">
      <c r="D15" s="2253"/>
      <c r="E15" s="2255"/>
      <c r="F15" s="2255"/>
      <c r="G15" s="2259"/>
      <c r="H15" s="1760"/>
      <c r="I15" s="2261"/>
      <c r="J15" s="2221"/>
      <c r="K15" s="1769"/>
      <c r="L15" s="2204"/>
      <c r="M15" s="2204"/>
      <c r="N15" s="1754"/>
      <c r="O15" s="1754"/>
      <c r="P15" s="2264"/>
      <c r="Q15" s="2264"/>
      <c r="R15" s="2264"/>
      <c r="S15" s="2264"/>
      <c r="T15" s="2264"/>
      <c r="U15" s="2264"/>
      <c r="V15" s="2264"/>
      <c r="W15" s="2264"/>
      <c r="X15" s="2264"/>
      <c r="Y15" s="2264"/>
      <c r="Z15" s="2264"/>
      <c r="AA15" s="2264"/>
      <c r="AB15" s="2264"/>
      <c r="AC15" s="2264"/>
      <c r="AD15" s="2264"/>
      <c r="AE15" s="2264"/>
      <c r="AF15" s="2264"/>
      <c r="AG15" s="2264"/>
      <c r="AH15" s="2264"/>
      <c r="AI15" s="2265"/>
      <c r="AJ15" s="1733"/>
    </row>
    <row s="8351" customFormat="1" customHeight="1" ht="11.25">
      <c r="D16" s="2254"/>
      <c r="E16" s="2256"/>
      <c r="F16" s="2257"/>
      <c r="G16" s="2200"/>
      <c r="H16" s="1757"/>
      <c r="I16" s="1761"/>
      <c r="J16" s="2262"/>
      <c r="K16" s="2262"/>
      <c r="L16" s="2262"/>
      <c r="M16" s="2262"/>
      <c r="N16" s="2262"/>
      <c r="O16" s="2262"/>
      <c r="P16" s="2262"/>
      <c r="Q16" s="2262"/>
      <c r="R16" s="2262"/>
      <c r="S16" s="2262"/>
      <c r="T16" s="2262"/>
      <c r="U16" s="2262"/>
      <c r="V16" s="2262"/>
      <c r="W16" s="2262"/>
      <c r="X16" s="2262"/>
      <c r="Y16" s="2262"/>
      <c r="Z16" s="2262"/>
      <c r="AA16" s="2262"/>
      <c r="AB16" s="2262"/>
      <c r="AC16" s="2262"/>
      <c r="AD16" s="2262"/>
      <c r="AE16" s="2262"/>
      <c r="AF16" s="2262"/>
      <c r="AG16" s="2262"/>
      <c r="AH16" s="2262"/>
      <c r="AI16" s="2263"/>
      <c r="AJ16" s="1733"/>
      <c r="AK16" s="460"/>
      <c r="AL16" s="1733"/>
      <c r="AM16" s="1733"/>
      <c r="AN16" s="1733"/>
      <c r="AO16" s="1733"/>
      <c r="AP16" s="1733"/>
      <c r="AQ16" s="1733"/>
      <c r="AR16" s="1733"/>
      <c r="AS16" s="1733"/>
      <c r="AT16" s="1733"/>
      <c r="AU16" s="1733"/>
      <c r="AV16" s="1733"/>
      <c r="AW16" s="1733"/>
      <c r="AX16" s="1733"/>
      <c r="AY16" s="1733"/>
      <c r="AZ16" s="1733"/>
      <c r="BA16" s="1733"/>
      <c r="BB16" s="1733"/>
      <c r="BC16" s="1733"/>
      <c r="BD16" s="1733"/>
      <c r="BE16" s="1733"/>
      <c r="BF16" s="1733"/>
      <c r="BG16" s="1733"/>
      <c r="BH16" s="1733"/>
      <c r="BI16" s="1733"/>
      <c r="BJ16" s="1733"/>
      <c r="BK16" s="1733"/>
      <c r="BL16" s="1733"/>
    </row>
    <row customHeight="1" ht="14.25">
      <c r="D17" s="2253" t="s">
        <v>107</v>
      </c>
      <c r="E17" s="2255" t="s">
        <v>293</v>
      </c>
      <c r="F17" s="2255" t="s">
        <v>295</v>
      </c>
      <c r="G17" s="2258" t="s">
        <v>54</v>
      </c>
      <c r="H17" s="1758"/>
      <c r="I17" s="2260"/>
      <c r="J17" s="2220"/>
      <c r="K17" s="1673"/>
      <c r="L17" s="2203"/>
      <c r="M17" s="2203"/>
      <c r="N17" s="1743"/>
      <c r="O17" s="2203"/>
      <c r="P17" s="2220"/>
      <c r="Q17" s="1744"/>
      <c r="R17" s="2203"/>
      <c r="S17" s="2203"/>
      <c r="T17" s="1745"/>
      <c r="U17" s="2203"/>
      <c r="V17" s="2220"/>
      <c r="W17" s="1746"/>
      <c r="X17" s="2203"/>
      <c r="Y17" s="2203"/>
      <c r="Z17" s="1743"/>
      <c r="AA17" s="2203"/>
      <c r="AB17" s="2220"/>
      <c r="AC17" s="1747"/>
      <c r="AD17" s="2203"/>
      <c r="AE17" s="2203"/>
      <c r="AF17" s="1672"/>
      <c r="AG17" s="1672"/>
      <c r="AH17" s="1748"/>
      <c r="AI17" s="1455"/>
      <c r="AJ17" s="1733"/>
    </row>
    <row customHeight="1" ht="14.25">
      <c r="D18" s="2253"/>
      <c r="E18" s="2255"/>
      <c r="F18" s="2255"/>
      <c r="G18" s="2259"/>
      <c r="H18" s="1759"/>
      <c r="I18" s="2261"/>
      <c r="J18" s="2221"/>
      <c r="K18" s="1742"/>
      <c r="L18" s="2204"/>
      <c r="M18" s="2204"/>
      <c r="N18" s="1749"/>
      <c r="O18" s="2204"/>
      <c r="P18" s="2221"/>
      <c r="Q18" s="1750"/>
      <c r="R18" s="2204"/>
      <c r="S18" s="2204"/>
      <c r="T18" s="1751"/>
      <c r="U18" s="2204"/>
      <c r="V18" s="2221"/>
      <c r="W18" s="1752"/>
      <c r="X18" s="2204"/>
      <c r="Y18" s="2204"/>
      <c r="Z18" s="1749"/>
      <c r="AA18" s="2204"/>
      <c r="AB18" s="2221"/>
      <c r="AC18" s="1753"/>
      <c r="AD18" s="2204"/>
      <c r="AE18" s="2204"/>
      <c r="AF18" s="1754"/>
      <c r="AG18" s="1754"/>
      <c r="AH18" s="2264"/>
      <c r="AI18" s="2265"/>
      <c r="AJ18" s="1733"/>
    </row>
    <row customHeight="1" ht="14.25">
      <c r="D19" s="2253"/>
      <c r="E19" s="2255"/>
      <c r="F19" s="2255"/>
      <c r="G19" s="2259"/>
      <c r="H19" s="1759"/>
      <c r="I19" s="2261"/>
      <c r="J19" s="2221"/>
      <c r="K19" s="1742"/>
      <c r="L19" s="2204"/>
      <c r="M19" s="2204"/>
      <c r="N19" s="1749"/>
      <c r="O19" s="2204"/>
      <c r="P19" s="2221"/>
      <c r="Q19" s="1750"/>
      <c r="R19" s="2204"/>
      <c r="S19" s="2204"/>
      <c r="T19" s="1751"/>
      <c r="U19" s="2204"/>
      <c r="V19" s="2221"/>
      <c r="W19" s="1752"/>
      <c r="X19" s="2204"/>
      <c r="Y19" s="2204"/>
      <c r="Z19" s="1671"/>
      <c r="AA19" s="1754"/>
      <c r="AB19" s="2264"/>
      <c r="AC19" s="2264"/>
      <c r="AD19" s="2264"/>
      <c r="AE19" s="2264"/>
      <c r="AF19" s="2264"/>
      <c r="AG19" s="2264"/>
      <c r="AH19" s="2264"/>
      <c r="AI19" s="2265"/>
      <c r="AJ19" s="1733"/>
    </row>
    <row customHeight="1" ht="14.25">
      <c r="D20" s="2253"/>
      <c r="E20" s="2255"/>
      <c r="F20" s="2255"/>
      <c r="G20" s="2259"/>
      <c r="H20" s="1759"/>
      <c r="I20" s="2261"/>
      <c r="J20" s="2221"/>
      <c r="K20" s="1742"/>
      <c r="L20" s="2204"/>
      <c r="M20" s="2204"/>
      <c r="N20" s="1749"/>
      <c r="O20" s="2204"/>
      <c r="P20" s="2221"/>
      <c r="Q20" s="1750"/>
      <c r="R20" s="2204"/>
      <c r="S20" s="2204"/>
      <c r="T20" s="1755"/>
      <c r="U20" s="1756"/>
      <c r="V20" s="2264"/>
      <c r="W20" s="2264"/>
      <c r="X20" s="2264"/>
      <c r="Y20" s="2264"/>
      <c r="Z20" s="2264"/>
      <c r="AA20" s="2264"/>
      <c r="AB20" s="2264"/>
      <c r="AC20" s="2264"/>
      <c r="AD20" s="2264"/>
      <c r="AE20" s="2264"/>
      <c r="AF20" s="2264"/>
      <c r="AG20" s="2264"/>
      <c r="AH20" s="2264"/>
      <c r="AI20" s="2265"/>
      <c r="AJ20" s="1733"/>
    </row>
    <row customHeight="1" ht="11.25">
      <c r="D21" s="2253"/>
      <c r="E21" s="2255"/>
      <c r="F21" s="2255"/>
      <c r="G21" s="2259"/>
      <c r="H21" s="1760"/>
      <c r="I21" s="2261"/>
      <c r="J21" s="2221"/>
      <c r="K21" s="1742"/>
      <c r="L21" s="2204"/>
      <c r="M21" s="2204"/>
      <c r="N21" s="1754"/>
      <c r="O21" s="1754"/>
      <c r="P21" s="2264"/>
      <c r="Q21" s="2264"/>
      <c r="R21" s="2264"/>
      <c r="S21" s="2264"/>
      <c r="T21" s="2264"/>
      <c r="U21" s="2264"/>
      <c r="V21" s="2264"/>
      <c r="W21" s="2264"/>
      <c r="X21" s="2264"/>
      <c r="Y21" s="2264"/>
      <c r="Z21" s="2264"/>
      <c r="AA21" s="2264"/>
      <c r="AB21" s="2264"/>
      <c r="AC21" s="2264"/>
      <c r="AD21" s="2264"/>
      <c r="AE21" s="2264"/>
      <c r="AF21" s="2264"/>
      <c r="AG21" s="2264"/>
      <c r="AH21" s="2264"/>
      <c r="AI21" s="2265"/>
      <c r="AJ21" s="1733"/>
    </row>
    <row s="8351" customFormat="1" customHeight="1" ht="11.25">
      <c r="D22" s="2254"/>
      <c r="E22" s="2256"/>
      <c r="F22" s="2257"/>
      <c r="G22" s="2200"/>
      <c r="H22" s="1757"/>
      <c r="I22" s="1761"/>
      <c r="J22" s="2262"/>
      <c r="K22" s="2262"/>
      <c r="L22" s="2262"/>
      <c r="M22" s="2262"/>
      <c r="N22" s="2262"/>
      <c r="O22" s="2262"/>
      <c r="P22" s="2262"/>
      <c r="Q22" s="2262"/>
      <c r="R22" s="2262"/>
      <c r="S22" s="2262"/>
      <c r="T22" s="2262"/>
      <c r="U22" s="2262"/>
      <c r="V22" s="2262"/>
      <c r="W22" s="2262"/>
      <c r="X22" s="2262"/>
      <c r="Y22" s="2262"/>
      <c r="Z22" s="2262"/>
      <c r="AA22" s="2262"/>
      <c r="AB22" s="2262"/>
      <c r="AC22" s="2262"/>
      <c r="AD22" s="2262"/>
      <c r="AE22" s="2262"/>
      <c r="AF22" s="2262"/>
      <c r="AG22" s="2262"/>
      <c r="AH22" s="2262"/>
      <c r="AI22" s="2263"/>
      <c r="AJ22" s="1733"/>
      <c r="AK22" s="460"/>
      <c r="AL22" s="1733"/>
      <c r="AM22" s="1733"/>
      <c r="AN22" s="1733"/>
      <c r="AO22" s="1733"/>
      <c r="AP22" s="1733"/>
      <c r="AQ22" s="1733"/>
      <c r="AR22" s="1733"/>
      <c r="AS22" s="1733"/>
      <c r="AT22" s="1733"/>
      <c r="AU22" s="1733"/>
      <c r="AV22" s="1733"/>
      <c r="AW22" s="1733"/>
      <c r="AX22" s="1733"/>
      <c r="AY22" s="1733"/>
      <c r="AZ22" s="1733"/>
      <c r="BA22" s="1733"/>
      <c r="BB22" s="1733"/>
      <c r="BC22" s="1733"/>
      <c r="BD22" s="1733"/>
      <c r="BE22" s="1733"/>
      <c r="BF22" s="1733"/>
      <c r="BG22" s="1733"/>
      <c r="BH22" s="1733"/>
      <c r="BI22" s="1733"/>
      <c r="BJ22" s="1733"/>
      <c r="BK22" s="1733"/>
      <c r="BL22" s="1733"/>
    </row>
    <row customHeight="1" ht="14.25">
      <c r="D23" s="2253" t="s">
        <v>87</v>
      </c>
      <c r="E23" s="2255" t="s">
        <v>293</v>
      </c>
      <c r="F23" s="2255" t="s">
        <v>296</v>
      </c>
      <c r="G23" s="2258" t="s">
        <v>54</v>
      </c>
      <c r="H23" s="1758"/>
      <c r="I23" s="2260"/>
      <c r="J23" s="2220"/>
      <c r="K23" s="1673"/>
      <c r="L23" s="2203"/>
      <c r="M23" s="2203"/>
      <c r="N23" s="1743"/>
      <c r="O23" s="2203"/>
      <c r="P23" s="2220"/>
      <c r="Q23" s="1744"/>
      <c r="R23" s="2203"/>
      <c r="S23" s="2203"/>
      <c r="T23" s="1745"/>
      <c r="U23" s="2203"/>
      <c r="V23" s="2220"/>
      <c r="W23" s="1746"/>
      <c r="X23" s="2203"/>
      <c r="Y23" s="2203"/>
      <c r="Z23" s="1743"/>
      <c r="AA23" s="2203"/>
      <c r="AB23" s="2220"/>
      <c r="AC23" s="1747"/>
      <c r="AD23" s="2203"/>
      <c r="AE23" s="2203"/>
      <c r="AF23" s="1672"/>
      <c r="AG23" s="1672"/>
      <c r="AH23" s="1748"/>
      <c r="AI23" s="1455"/>
      <c r="AJ23" s="1733"/>
      <c r="AK23" s="460" t="s">
        <v>95</v>
      </c>
    </row>
    <row customHeight="1" ht="14.25">
      <c r="D24" s="2253"/>
      <c r="E24" s="2255"/>
      <c r="F24" s="2255"/>
      <c r="G24" s="2259"/>
      <c r="H24" s="1759"/>
      <c r="I24" s="2261"/>
      <c r="J24" s="2221"/>
      <c r="K24" s="1769"/>
      <c r="L24" s="2204"/>
      <c r="M24" s="2204"/>
      <c r="N24" s="1749"/>
      <c r="O24" s="2204"/>
      <c r="P24" s="2221"/>
      <c r="Q24" s="1750"/>
      <c r="R24" s="2204"/>
      <c r="S24" s="2204"/>
      <c r="T24" s="1751"/>
      <c r="U24" s="2204"/>
      <c r="V24" s="2221"/>
      <c r="W24" s="1752"/>
      <c r="X24" s="2204"/>
      <c r="Y24" s="2204"/>
      <c r="Z24" s="1749"/>
      <c r="AA24" s="2204"/>
      <c r="AB24" s="2221"/>
      <c r="AC24" s="1753"/>
      <c r="AD24" s="2204"/>
      <c r="AE24" s="2204"/>
      <c r="AF24" s="1754"/>
      <c r="AG24" s="1754"/>
      <c r="AH24" s="2264"/>
      <c r="AI24" s="2265"/>
      <c r="AJ24" s="1733"/>
    </row>
    <row customHeight="1" ht="14.25">
      <c r="D25" s="2253"/>
      <c r="E25" s="2255"/>
      <c r="F25" s="2255"/>
      <c r="G25" s="2259"/>
      <c r="H25" s="1759"/>
      <c r="I25" s="2261"/>
      <c r="J25" s="2221"/>
      <c r="K25" s="1769"/>
      <c r="L25" s="2204"/>
      <c r="M25" s="2204"/>
      <c r="N25" s="1749"/>
      <c r="O25" s="2204"/>
      <c r="P25" s="2221"/>
      <c r="Q25" s="1750"/>
      <c r="R25" s="2204"/>
      <c r="S25" s="2204"/>
      <c r="T25" s="1751"/>
      <c r="U25" s="2204"/>
      <c r="V25" s="2221"/>
      <c r="W25" s="1752"/>
      <c r="X25" s="2204"/>
      <c r="Y25" s="2204"/>
      <c r="Z25" s="1671"/>
      <c r="AA25" s="1754"/>
      <c r="AB25" s="2264"/>
      <c r="AC25" s="2264"/>
      <c r="AD25" s="2264"/>
      <c r="AE25" s="2264"/>
      <c r="AF25" s="2264"/>
      <c r="AG25" s="2264"/>
      <c r="AH25" s="2264"/>
      <c r="AI25" s="2265"/>
      <c r="AJ25" s="1733"/>
    </row>
    <row customHeight="1" ht="14.25">
      <c r="D26" s="2253"/>
      <c r="E26" s="2255"/>
      <c r="F26" s="2255"/>
      <c r="G26" s="2259"/>
      <c r="H26" s="1759"/>
      <c r="I26" s="2261"/>
      <c r="J26" s="2221"/>
      <c r="K26" s="1769"/>
      <c r="L26" s="2204"/>
      <c r="M26" s="2204"/>
      <c r="N26" s="1749"/>
      <c r="O26" s="2204"/>
      <c r="P26" s="2221"/>
      <c r="Q26" s="1750"/>
      <c r="R26" s="2204"/>
      <c r="S26" s="2204"/>
      <c r="T26" s="1755"/>
      <c r="U26" s="1756"/>
      <c r="V26" s="2264"/>
      <c r="W26" s="2264"/>
      <c r="X26" s="2264"/>
      <c r="Y26" s="2264"/>
      <c r="Z26" s="2264"/>
      <c r="AA26" s="2264"/>
      <c r="AB26" s="2264"/>
      <c r="AC26" s="2264"/>
      <c r="AD26" s="2264"/>
      <c r="AE26" s="2264"/>
      <c r="AF26" s="2264"/>
      <c r="AG26" s="2264"/>
      <c r="AH26" s="2264"/>
      <c r="AI26" s="2265"/>
      <c r="AJ26" s="1733"/>
    </row>
    <row customHeight="1" ht="11.25">
      <c r="D27" s="2253"/>
      <c r="E27" s="2255"/>
      <c r="F27" s="2255"/>
      <c r="G27" s="2259"/>
      <c r="H27" s="1760"/>
      <c r="I27" s="2261"/>
      <c r="J27" s="2221"/>
      <c r="K27" s="1769"/>
      <c r="L27" s="2204"/>
      <c r="M27" s="2204"/>
      <c r="N27" s="1754"/>
      <c r="O27" s="1754"/>
      <c r="P27" s="2264"/>
      <c r="Q27" s="2264"/>
      <c r="R27" s="2264"/>
      <c r="S27" s="2264"/>
      <c r="T27" s="2264"/>
      <c r="U27" s="2264"/>
      <c r="V27" s="2264"/>
      <c r="W27" s="2264"/>
      <c r="X27" s="2264"/>
      <c r="Y27" s="2264"/>
      <c r="Z27" s="2264"/>
      <c r="AA27" s="2264"/>
      <c r="AB27" s="2264"/>
      <c r="AC27" s="2264"/>
      <c r="AD27" s="2264"/>
      <c r="AE27" s="2264"/>
      <c r="AF27" s="2264"/>
      <c r="AG27" s="2264"/>
      <c r="AH27" s="2264"/>
      <c r="AI27" s="2265"/>
      <c r="AJ27" s="1733"/>
    </row>
    <row s="8351" customFormat="1" customHeight="1" ht="11.25">
      <c r="D28" s="2254"/>
      <c r="E28" s="2256"/>
      <c r="F28" s="2257"/>
      <c r="G28" s="2200"/>
      <c r="H28" s="1757"/>
      <c r="I28" s="1761"/>
      <c r="J28" s="2262"/>
      <c r="K28" s="2262"/>
      <c r="L28" s="2262"/>
      <c r="M28" s="2262"/>
      <c r="N28" s="2262"/>
      <c r="O28" s="2262"/>
      <c r="P28" s="2262"/>
      <c r="Q28" s="2262"/>
      <c r="R28" s="2262"/>
      <c r="S28" s="2262"/>
      <c r="T28" s="2262"/>
      <c r="U28" s="2262"/>
      <c r="V28" s="2262"/>
      <c r="W28" s="2262"/>
      <c r="X28" s="2262"/>
      <c r="Y28" s="2262"/>
      <c r="Z28" s="2262"/>
      <c r="AA28" s="2262"/>
      <c r="AB28" s="2262"/>
      <c r="AC28" s="2262"/>
      <c r="AD28" s="2262"/>
      <c r="AE28" s="2262"/>
      <c r="AF28" s="2262"/>
      <c r="AG28" s="2262"/>
      <c r="AH28" s="2262"/>
      <c r="AI28" s="2263"/>
      <c r="AJ28" s="1733"/>
      <c r="AK28" s="460"/>
      <c r="AL28" s="1733"/>
      <c r="AM28" s="1733"/>
      <c r="AN28" s="1733"/>
      <c r="AO28" s="1733"/>
      <c r="AP28" s="1733"/>
      <c r="AQ28" s="1733"/>
      <c r="AR28" s="1733"/>
      <c r="AS28" s="1733"/>
      <c r="AT28" s="1733"/>
      <c r="AU28" s="1733"/>
      <c r="AV28" s="1733"/>
      <c r="AW28" s="1733"/>
      <c r="AX28" s="1733"/>
      <c r="AY28" s="1733"/>
      <c r="AZ28" s="1733"/>
      <c r="BA28" s="1733"/>
      <c r="BB28" s="1733"/>
      <c r="BC28" s="1733"/>
      <c r="BD28" s="1733"/>
      <c r="BE28" s="1733"/>
      <c r="BF28" s="1733"/>
      <c r="BG28" s="1733"/>
      <c r="BH28" s="1733"/>
      <c r="BI28" s="1733"/>
      <c r="BJ28" s="1733"/>
      <c r="BK28" s="1733"/>
      <c r="BL28" s="1733"/>
    </row>
    <row customHeight="1" ht="14.25">
      <c r="D29" s="2253" t="s">
        <v>88</v>
      </c>
      <c r="E29" s="2255" t="s">
        <v>293</v>
      </c>
      <c r="F29" s="2255" t="s">
        <v>297</v>
      </c>
      <c r="G29" s="2258" t="s">
        <v>54</v>
      </c>
      <c r="H29" s="1758"/>
      <c r="I29" s="2260"/>
      <c r="J29" s="2220"/>
      <c r="K29" s="1673"/>
      <c r="L29" s="2203"/>
      <c r="M29" s="2203"/>
      <c r="N29" s="1743"/>
      <c r="O29" s="2203"/>
      <c r="P29" s="2220"/>
      <c r="Q29" s="1744"/>
      <c r="R29" s="2203"/>
      <c r="S29" s="2203"/>
      <c r="T29" s="1745"/>
      <c r="U29" s="2203"/>
      <c r="V29" s="2220"/>
      <c r="W29" s="1746"/>
      <c r="X29" s="2203"/>
      <c r="Y29" s="2203"/>
      <c r="Z29" s="1743"/>
      <c r="AA29" s="2203"/>
      <c r="AB29" s="2220"/>
      <c r="AC29" s="1747"/>
      <c r="AD29" s="2203"/>
      <c r="AE29" s="2203"/>
      <c r="AF29" s="1672"/>
      <c r="AG29" s="1672"/>
      <c r="AH29" s="1748"/>
      <c r="AI29" s="1455"/>
      <c r="AJ29" s="1733"/>
    </row>
    <row customHeight="1" ht="14.25">
      <c r="D30" s="2253"/>
      <c r="E30" s="2255"/>
      <c r="F30" s="2255"/>
      <c r="G30" s="2259"/>
      <c r="H30" s="1759"/>
      <c r="I30" s="2261"/>
      <c r="J30" s="2221"/>
      <c r="K30" s="1742"/>
      <c r="L30" s="2204"/>
      <c r="M30" s="2204"/>
      <c r="N30" s="1749"/>
      <c r="O30" s="2204"/>
      <c r="P30" s="2221"/>
      <c r="Q30" s="1750"/>
      <c r="R30" s="2204"/>
      <c r="S30" s="2204"/>
      <c r="T30" s="1751"/>
      <c r="U30" s="2204"/>
      <c r="V30" s="2221"/>
      <c r="W30" s="1752"/>
      <c r="X30" s="2204"/>
      <c r="Y30" s="2204"/>
      <c r="Z30" s="1749"/>
      <c r="AA30" s="2204"/>
      <c r="AB30" s="2221"/>
      <c r="AC30" s="1753"/>
      <c r="AD30" s="2204"/>
      <c r="AE30" s="2204"/>
      <c r="AF30" s="1754"/>
      <c r="AG30" s="1754"/>
      <c r="AH30" s="2264"/>
      <c r="AI30" s="2265"/>
      <c r="AJ30" s="1733"/>
    </row>
    <row customHeight="1" ht="14.25">
      <c r="D31" s="2253"/>
      <c r="E31" s="2255"/>
      <c r="F31" s="2255"/>
      <c r="G31" s="2259"/>
      <c r="H31" s="1759"/>
      <c r="I31" s="2261"/>
      <c r="J31" s="2221"/>
      <c r="K31" s="1742"/>
      <c r="L31" s="2204"/>
      <c r="M31" s="2204"/>
      <c r="N31" s="1749"/>
      <c r="O31" s="2204"/>
      <c r="P31" s="2221"/>
      <c r="Q31" s="1750"/>
      <c r="R31" s="2204"/>
      <c r="S31" s="2204"/>
      <c r="T31" s="1751"/>
      <c r="U31" s="2204"/>
      <c r="V31" s="2221"/>
      <c r="W31" s="1752"/>
      <c r="X31" s="2204"/>
      <c r="Y31" s="2204"/>
      <c r="Z31" s="1671"/>
      <c r="AA31" s="1754"/>
      <c r="AB31" s="2264"/>
      <c r="AC31" s="2264"/>
      <c r="AD31" s="2264"/>
      <c r="AE31" s="2264"/>
      <c r="AF31" s="2264"/>
      <c r="AG31" s="2264"/>
      <c r="AH31" s="2264"/>
      <c r="AI31" s="2265"/>
      <c r="AJ31" s="1733"/>
    </row>
    <row customHeight="1" ht="14.25">
      <c r="D32" s="2253"/>
      <c r="E32" s="2255"/>
      <c r="F32" s="2255"/>
      <c r="G32" s="2259"/>
      <c r="H32" s="1759"/>
      <c r="I32" s="2261"/>
      <c r="J32" s="2221"/>
      <c r="K32" s="1742"/>
      <c r="L32" s="2204"/>
      <c r="M32" s="2204"/>
      <c r="N32" s="1749"/>
      <c r="O32" s="2204"/>
      <c r="P32" s="2221"/>
      <c r="Q32" s="1750"/>
      <c r="R32" s="2204"/>
      <c r="S32" s="2204"/>
      <c r="T32" s="1755"/>
      <c r="U32" s="1756"/>
      <c r="V32" s="2264"/>
      <c r="W32" s="2264"/>
      <c r="X32" s="2264"/>
      <c r="Y32" s="2264"/>
      <c r="Z32" s="2264"/>
      <c r="AA32" s="2264"/>
      <c r="AB32" s="2264"/>
      <c r="AC32" s="2264"/>
      <c r="AD32" s="2264"/>
      <c r="AE32" s="2264"/>
      <c r="AF32" s="2264"/>
      <c r="AG32" s="2264"/>
      <c r="AH32" s="2264"/>
      <c r="AI32" s="2265"/>
      <c r="AJ32" s="1733"/>
    </row>
    <row customHeight="1" ht="11.25">
      <c r="D33" s="2253"/>
      <c r="E33" s="2255"/>
      <c r="F33" s="2255"/>
      <c r="G33" s="2259"/>
      <c r="H33" s="1760"/>
      <c r="I33" s="2261"/>
      <c r="J33" s="2221"/>
      <c r="K33" s="1742"/>
      <c r="L33" s="2204"/>
      <c r="M33" s="2204"/>
      <c r="N33" s="1754"/>
      <c r="O33" s="1754"/>
      <c r="P33" s="2264"/>
      <c r="Q33" s="2264"/>
      <c r="R33" s="2264"/>
      <c r="S33" s="2264"/>
      <c r="T33" s="2264"/>
      <c r="U33" s="2264"/>
      <c r="V33" s="2264"/>
      <c r="W33" s="2264"/>
      <c r="X33" s="2264"/>
      <c r="Y33" s="2264"/>
      <c r="Z33" s="2264"/>
      <c r="AA33" s="2264"/>
      <c r="AB33" s="2264"/>
      <c r="AC33" s="2264"/>
      <c r="AD33" s="2264"/>
      <c r="AE33" s="2264"/>
      <c r="AF33" s="2264"/>
      <c r="AG33" s="2264"/>
      <c r="AH33" s="2264"/>
      <c r="AI33" s="2265"/>
      <c r="AJ33" s="1733"/>
    </row>
    <row s="8351" customFormat="1" customHeight="1" ht="11.25">
      <c r="D34" s="2254"/>
      <c r="E34" s="2256"/>
      <c r="F34" s="2257"/>
      <c r="G34" s="2200"/>
      <c r="H34" s="1757"/>
      <c r="I34" s="1761"/>
      <c r="J34" s="2262"/>
      <c r="K34" s="2262"/>
      <c r="L34" s="2262"/>
      <c r="M34" s="2262"/>
      <c r="N34" s="2262"/>
      <c r="O34" s="2262"/>
      <c r="P34" s="2262"/>
      <c r="Q34" s="2262"/>
      <c r="R34" s="2262"/>
      <c r="S34" s="2262"/>
      <c r="T34" s="2262"/>
      <c r="U34" s="2262"/>
      <c r="V34" s="2262"/>
      <c r="W34" s="2262"/>
      <c r="X34" s="2262"/>
      <c r="Y34" s="2262"/>
      <c r="Z34" s="2262"/>
      <c r="AA34" s="2262"/>
      <c r="AB34" s="2262"/>
      <c r="AC34" s="2262"/>
      <c r="AD34" s="2262"/>
      <c r="AE34" s="2262"/>
      <c r="AF34" s="2262"/>
      <c r="AG34" s="2262"/>
      <c r="AH34" s="2262"/>
      <c r="AI34" s="2263"/>
      <c r="AJ34" s="1733"/>
      <c r="AK34" s="460"/>
      <c r="AL34" s="1733"/>
      <c r="AM34" s="1733"/>
      <c r="AN34" s="1733"/>
      <c r="AO34" s="1733"/>
      <c r="AP34" s="1733"/>
      <c r="AQ34" s="1733"/>
      <c r="AR34" s="1733"/>
      <c r="AS34" s="1733"/>
      <c r="AT34" s="1733"/>
      <c r="AU34" s="1733"/>
      <c r="AV34" s="1733"/>
      <c r="AW34" s="1733"/>
      <c r="AX34" s="1733"/>
      <c r="AY34" s="1733"/>
      <c r="AZ34" s="1733"/>
      <c r="BA34" s="1733"/>
      <c r="BB34" s="1733"/>
      <c r="BC34" s="1733"/>
      <c r="BD34" s="1733"/>
      <c r="BE34" s="1733"/>
      <c r="BF34" s="1733"/>
      <c r="BG34" s="1733"/>
      <c r="BH34" s="1733"/>
      <c r="BI34" s="1733"/>
      <c r="BJ34" s="1733"/>
      <c r="BK34" s="1733"/>
      <c r="BL34" s="1733"/>
    </row>
    <row customHeight="1" ht="14.25">
      <c r="D35" s="2253" t="s">
        <v>108</v>
      </c>
      <c r="E35" s="2255" t="s">
        <v>293</v>
      </c>
      <c r="F35" s="2255" t="s">
        <v>298</v>
      </c>
      <c r="G35" s="2258" t="s">
        <v>54</v>
      </c>
      <c r="H35" s="1758"/>
      <c r="I35" s="2260"/>
      <c r="J35" s="2220"/>
      <c r="K35" s="1673"/>
      <c r="L35" s="2203"/>
      <c r="M35" s="2203"/>
      <c r="N35" s="1743"/>
      <c r="O35" s="2203"/>
      <c r="P35" s="2220"/>
      <c r="Q35" s="1744"/>
      <c r="R35" s="2203"/>
      <c r="S35" s="2203"/>
      <c r="T35" s="1745"/>
      <c r="U35" s="2203"/>
      <c r="V35" s="2220"/>
      <c r="W35" s="1746"/>
      <c r="X35" s="2203"/>
      <c r="Y35" s="2203"/>
      <c r="Z35" s="1743"/>
      <c r="AA35" s="2203"/>
      <c r="AB35" s="2220"/>
      <c r="AC35" s="1747"/>
      <c r="AD35" s="2203"/>
      <c r="AE35" s="2203"/>
      <c r="AF35" s="1672"/>
      <c r="AG35" s="1672"/>
      <c r="AH35" s="1748"/>
      <c r="AI35" s="1455"/>
      <c r="AJ35" s="1733"/>
    </row>
    <row customHeight="1" ht="14.25">
      <c r="D36" s="2253"/>
      <c r="E36" s="2255"/>
      <c r="F36" s="2255"/>
      <c r="G36" s="2259"/>
      <c r="H36" s="1759"/>
      <c r="I36" s="2261"/>
      <c r="J36" s="2221"/>
      <c r="K36" s="1742"/>
      <c r="L36" s="2204"/>
      <c r="M36" s="2204"/>
      <c r="N36" s="1749"/>
      <c r="O36" s="2204"/>
      <c r="P36" s="2221"/>
      <c r="Q36" s="1750"/>
      <c r="R36" s="2204"/>
      <c r="S36" s="2204"/>
      <c r="T36" s="1751"/>
      <c r="U36" s="2204"/>
      <c r="V36" s="2221"/>
      <c r="W36" s="1752"/>
      <c r="X36" s="2204"/>
      <c r="Y36" s="2204"/>
      <c r="Z36" s="1749"/>
      <c r="AA36" s="2204"/>
      <c r="AB36" s="2221"/>
      <c r="AC36" s="1753"/>
      <c r="AD36" s="2204"/>
      <c r="AE36" s="2204"/>
      <c r="AF36" s="1754"/>
      <c r="AG36" s="1754"/>
      <c r="AH36" s="2264"/>
      <c r="AI36" s="2265"/>
      <c r="AJ36" s="1733"/>
    </row>
    <row customHeight="1" ht="14.25">
      <c r="D37" s="2253"/>
      <c r="E37" s="2255"/>
      <c r="F37" s="2255"/>
      <c r="G37" s="2259"/>
      <c r="H37" s="1759"/>
      <c r="I37" s="2261"/>
      <c r="J37" s="2221"/>
      <c r="K37" s="1742"/>
      <c r="L37" s="2204"/>
      <c r="M37" s="2204"/>
      <c r="N37" s="1749"/>
      <c r="O37" s="2204"/>
      <c r="P37" s="2221"/>
      <c r="Q37" s="1750"/>
      <c r="R37" s="2204"/>
      <c r="S37" s="2204"/>
      <c r="T37" s="1751"/>
      <c r="U37" s="2204"/>
      <c r="V37" s="2221"/>
      <c r="W37" s="1752"/>
      <c r="X37" s="2204"/>
      <c r="Y37" s="2204"/>
      <c r="Z37" s="1671"/>
      <c r="AA37" s="1754"/>
      <c r="AB37" s="2264"/>
      <c r="AC37" s="2264"/>
      <c r="AD37" s="2264"/>
      <c r="AE37" s="2264"/>
      <c r="AF37" s="2264"/>
      <c r="AG37" s="2264"/>
      <c r="AH37" s="2264"/>
      <c r="AI37" s="2265"/>
      <c r="AJ37" s="1733"/>
    </row>
    <row customHeight="1" ht="14.25">
      <c r="D38" s="2253"/>
      <c r="E38" s="2255"/>
      <c r="F38" s="2255"/>
      <c r="G38" s="2259"/>
      <c r="H38" s="1759"/>
      <c r="I38" s="2261"/>
      <c r="J38" s="2221"/>
      <c r="K38" s="1742"/>
      <c r="L38" s="2204"/>
      <c r="M38" s="2204"/>
      <c r="N38" s="1749"/>
      <c r="O38" s="2204"/>
      <c r="P38" s="2221"/>
      <c r="Q38" s="1750"/>
      <c r="R38" s="2204"/>
      <c r="S38" s="2204"/>
      <c r="T38" s="1755"/>
      <c r="U38" s="1756"/>
      <c r="V38" s="2264"/>
      <c r="W38" s="2264"/>
      <c r="X38" s="2264"/>
      <c r="Y38" s="2264"/>
      <c r="Z38" s="2264"/>
      <c r="AA38" s="2264"/>
      <c r="AB38" s="2264"/>
      <c r="AC38" s="2264"/>
      <c r="AD38" s="2264"/>
      <c r="AE38" s="2264"/>
      <c r="AF38" s="2264"/>
      <c r="AG38" s="2264"/>
      <c r="AH38" s="2264"/>
      <c r="AI38" s="2265"/>
      <c r="AJ38" s="1733"/>
    </row>
    <row customHeight="1" ht="11.25">
      <c r="D39" s="2253"/>
      <c r="E39" s="2255"/>
      <c r="F39" s="2255"/>
      <c r="G39" s="2259"/>
      <c r="H39" s="1760"/>
      <c r="I39" s="2261"/>
      <c r="J39" s="2221"/>
      <c r="K39" s="1742"/>
      <c r="L39" s="2204"/>
      <c r="M39" s="2204"/>
      <c r="N39" s="1754"/>
      <c r="O39" s="1754"/>
      <c r="P39" s="2264"/>
      <c r="Q39" s="2264"/>
      <c r="R39" s="2264"/>
      <c r="S39" s="2264"/>
      <c r="T39" s="2264"/>
      <c r="U39" s="2264"/>
      <c r="V39" s="2264"/>
      <c r="W39" s="2264"/>
      <c r="X39" s="2264"/>
      <c r="Y39" s="2264"/>
      <c r="Z39" s="2264"/>
      <c r="AA39" s="2264"/>
      <c r="AB39" s="2264"/>
      <c r="AC39" s="2264"/>
      <c r="AD39" s="2264"/>
      <c r="AE39" s="2264"/>
      <c r="AF39" s="2264"/>
      <c r="AG39" s="2264"/>
      <c r="AH39" s="2264"/>
      <c r="AI39" s="2265"/>
      <c r="AJ39" s="1733"/>
    </row>
    <row s="8351" customFormat="1" customHeight="1" ht="11.25">
      <c r="D40" s="2253"/>
      <c r="E40" s="2255"/>
      <c r="F40" s="2266"/>
      <c r="G40" s="2200"/>
      <c r="H40" s="1757"/>
      <c r="I40" s="1761"/>
      <c r="J40" s="2262"/>
      <c r="K40" s="2262"/>
      <c r="L40" s="2262"/>
      <c r="M40" s="2262"/>
      <c r="N40" s="2262"/>
      <c r="O40" s="2262"/>
      <c r="P40" s="2262"/>
      <c r="Q40" s="2262"/>
      <c r="R40" s="2262"/>
      <c r="S40" s="2262"/>
      <c r="T40" s="2262"/>
      <c r="U40" s="2262"/>
      <c r="V40" s="2262"/>
      <c r="W40" s="2262"/>
      <c r="X40" s="2262"/>
      <c r="Y40" s="2262"/>
      <c r="Z40" s="2262"/>
      <c r="AA40" s="2262"/>
      <c r="AB40" s="2262"/>
      <c r="AC40" s="2262"/>
      <c r="AD40" s="2262"/>
      <c r="AE40" s="2262"/>
      <c r="AF40" s="2262"/>
      <c r="AG40" s="2262"/>
      <c r="AH40" s="2262"/>
      <c r="AI40" s="2263"/>
      <c r="AJ40" s="1733"/>
      <c r="AK40" s="460"/>
      <c r="AL40" s="1733"/>
      <c r="AM40" s="1733"/>
      <c r="AN40" s="1733"/>
      <c r="AO40" s="1733"/>
      <c r="AP40" s="1733"/>
      <c r="AQ40" s="1733"/>
      <c r="AR40" s="1733"/>
      <c r="AS40" s="1733"/>
      <c r="AT40" s="1733"/>
      <c r="AU40" s="1733"/>
      <c r="AV40" s="1733"/>
      <c r="AW40" s="1733"/>
      <c r="AX40" s="1733"/>
      <c r="AY40" s="1733"/>
      <c r="AZ40" s="1733"/>
      <c r="BA40" s="1733"/>
      <c r="BB40" s="1733"/>
      <c r="BC40" s="1733"/>
      <c r="BD40" s="1733"/>
      <c r="BE40" s="1733"/>
      <c r="BF40" s="1733"/>
      <c r="BG40" s="1733"/>
      <c r="BH40" s="1733"/>
      <c r="BI40" s="1733"/>
      <c r="BJ40" s="1733"/>
      <c r="BK40" s="1733"/>
      <c r="BL40" s="1733"/>
    </row>
    <row customHeight="1" ht="11.25">
      <c r="AK41" s="577"/>
    </row>
    <row customHeight="1" ht="11.25">
      <c r="AK42" s="577"/>
    </row>
    <row customHeight="1" ht="11.25">
      <c r="AK43" s="577"/>
    </row>
    <row customHeight="1" ht="11.25">
      <c r="AK44" s="577"/>
    </row>
    <row customHeight="1" ht="11.25">
      <c r="AK45" s="577"/>
    </row>
    <row customHeight="1" ht="11.25">
      <c r="AK46" s="577"/>
    </row>
    <row customHeight="1" ht="11.25">
      <c r="AK47" s="577"/>
    </row>
    <row customHeight="1" ht="11.25">
      <c r="AK48" s="577"/>
    </row>
    <row customHeight="1" ht="11.25">
      <c r="AK49" s="577"/>
    </row>
  </sheetData>
  <sheetProtection formatColumns="0" formatRows="0" autoFilter="0" sort="0" insertRows="0" insertColumns="1" deleteRows="0" deleteColumns="0"/>
  <mergeCells count="151">
    <mergeCell ref="AI8:AI10"/>
    <mergeCell ref="D5:J5"/>
    <mergeCell ref="AB13:AI13"/>
    <mergeCell ref="Y11:Y13"/>
    <mergeCell ref="X11:X13"/>
    <mergeCell ref="AA11:AA12"/>
    <mergeCell ref="R11:R14"/>
    <mergeCell ref="S11:S14"/>
    <mergeCell ref="U11:U13"/>
    <mergeCell ref="V11:V13"/>
    <mergeCell ref="V14:AI14"/>
    <mergeCell ref="F11:F16"/>
    <mergeCell ref="I11:I15"/>
    <mergeCell ref="J11:J15"/>
    <mergeCell ref="L11:L15"/>
    <mergeCell ref="M11:M15"/>
    <mergeCell ref="O11:O14"/>
    <mergeCell ref="P11:P14"/>
    <mergeCell ref="L9:M9"/>
    <mergeCell ref="P9:P10"/>
    <mergeCell ref="R9:S9"/>
    <mergeCell ref="AB35:AB36"/>
    <mergeCell ref="O23:O26"/>
    <mergeCell ref="P23:P26"/>
    <mergeCell ref="R23:R26"/>
    <mergeCell ref="S23:S26"/>
    <mergeCell ref="AB23:AB24"/>
    <mergeCell ref="AD23:AD24"/>
    <mergeCell ref="AE23:AE24"/>
    <mergeCell ref="AA23:AA24"/>
    <mergeCell ref="AB29:AB30"/>
    <mergeCell ref="L35:L39"/>
    <mergeCell ref="M35:M39"/>
    <mergeCell ref="O35:O38"/>
    <mergeCell ref="P35:P38"/>
    <mergeCell ref="R35:R38"/>
    <mergeCell ref="S35:S38"/>
    <mergeCell ref="D35:D40"/>
    <mergeCell ref="E35:E40"/>
    <mergeCell ref="F35:F40"/>
    <mergeCell ref="G35:G40"/>
    <mergeCell ref="I35:I39"/>
    <mergeCell ref="J35:J39"/>
    <mergeCell ref="J40:AI40"/>
    <mergeCell ref="AD35:AD36"/>
    <mergeCell ref="AE35:AE36"/>
    <mergeCell ref="AH36:AI36"/>
    <mergeCell ref="AB37:AI37"/>
    <mergeCell ref="V38:AI38"/>
    <mergeCell ref="P39:AI39"/>
    <mergeCell ref="U35:U37"/>
    <mergeCell ref="V35:V37"/>
    <mergeCell ref="X35:X37"/>
    <mergeCell ref="Y35:Y37"/>
    <mergeCell ref="AA35:AA36"/>
    <mergeCell ref="L29:L33"/>
    <mergeCell ref="M29:M33"/>
    <mergeCell ref="O29:O32"/>
    <mergeCell ref="P29:P32"/>
    <mergeCell ref="R29:R32"/>
    <mergeCell ref="S29:S32"/>
    <mergeCell ref="D29:D34"/>
    <mergeCell ref="E29:E34"/>
    <mergeCell ref="F29:F34"/>
    <mergeCell ref="G29:G34"/>
    <mergeCell ref="I29:I33"/>
    <mergeCell ref="J29:J33"/>
    <mergeCell ref="J34:AI34"/>
    <mergeCell ref="AD29:AD30"/>
    <mergeCell ref="AE29:AE30"/>
    <mergeCell ref="AH30:AI30"/>
    <mergeCell ref="AB31:AI31"/>
    <mergeCell ref="V32:AI32"/>
    <mergeCell ref="P33:AI33"/>
    <mergeCell ref="U29:U31"/>
    <mergeCell ref="V29:V31"/>
    <mergeCell ref="X29:X31"/>
    <mergeCell ref="Y29:Y31"/>
    <mergeCell ref="AA29:AA30"/>
    <mergeCell ref="AH24:AI24"/>
    <mergeCell ref="AB25:AI25"/>
    <mergeCell ref="V26:AI26"/>
    <mergeCell ref="P27:AI27"/>
    <mergeCell ref="U23:U25"/>
    <mergeCell ref="V23:V25"/>
    <mergeCell ref="X23:X25"/>
    <mergeCell ref="Y23:Y25"/>
    <mergeCell ref="L23:L27"/>
    <mergeCell ref="M23:M27"/>
    <mergeCell ref="D23:D28"/>
    <mergeCell ref="E23:E28"/>
    <mergeCell ref="F23:F28"/>
    <mergeCell ref="G23:G28"/>
    <mergeCell ref="I23:I27"/>
    <mergeCell ref="J23:J27"/>
    <mergeCell ref="J28:AI28"/>
    <mergeCell ref="AD17:AD18"/>
    <mergeCell ref="AE17:AE18"/>
    <mergeCell ref="AH18:AI18"/>
    <mergeCell ref="AB19:AI19"/>
    <mergeCell ref="V20:AI20"/>
    <mergeCell ref="P21:AI21"/>
    <mergeCell ref="U17:U19"/>
    <mergeCell ref="V17:V19"/>
    <mergeCell ref="X17:X19"/>
    <mergeCell ref="Y17:Y19"/>
    <mergeCell ref="AA17:AA18"/>
    <mergeCell ref="AB17:AB18"/>
    <mergeCell ref="L17:L21"/>
    <mergeCell ref="M17:M21"/>
    <mergeCell ref="O17:O20"/>
    <mergeCell ref="P17:P20"/>
    <mergeCell ref="R17:R20"/>
    <mergeCell ref="D17:D22"/>
    <mergeCell ref="E17:E22"/>
    <mergeCell ref="F17:F22"/>
    <mergeCell ref="G17:G22"/>
    <mergeCell ref="I17:I21"/>
    <mergeCell ref="J17:J21"/>
    <mergeCell ref="J22:AI22"/>
    <mergeCell ref="P15:AI15"/>
    <mergeCell ref="J16:AI16"/>
    <mergeCell ref="G11:G16"/>
    <mergeCell ref="D11:D16"/>
    <mergeCell ref="E11:E16"/>
    <mergeCell ref="S17:S20"/>
    <mergeCell ref="AB11:AB12"/>
    <mergeCell ref="AD11:AD12"/>
    <mergeCell ref="AE11:AE12"/>
    <mergeCell ref="AH12:AI12"/>
    <mergeCell ref="D4:J4"/>
    <mergeCell ref="D8:D10"/>
    <mergeCell ref="E8:E10"/>
    <mergeCell ref="J8:J10"/>
    <mergeCell ref="AH9:AH10"/>
    <mergeCell ref="Z9:AA10"/>
    <mergeCell ref="AF9:AG10"/>
    <mergeCell ref="X9:Y9"/>
    <mergeCell ref="V9:V10"/>
    <mergeCell ref="T9:U10"/>
    <mergeCell ref="L8:P8"/>
    <mergeCell ref="R8:V8"/>
    <mergeCell ref="X8:AB8"/>
    <mergeCell ref="AD8:AH8"/>
    <mergeCell ref="F8:G8"/>
    <mergeCell ref="F9:F10"/>
    <mergeCell ref="G9:G10"/>
    <mergeCell ref="N9:O10"/>
    <mergeCell ref="H8:I10"/>
    <mergeCell ref="AB9:AB10"/>
    <mergeCell ref="AD9:AE9"/>
  </mergeCells>
  <dataValidations count="2">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7 AC23 AC35 AC29 AC11">
      <formula1>list_typeTKO</formula1>
    </dataValidation>
    <dataValidation type="textLength" operator="lessThanOrEqual" allowBlank="1" showInputMessage="1" showErrorMessage="1" errorTitle="Ошибка" error="Допускается ввод не более 900 символов!" sqref="AI29 AI23 P17:P20 J23:J27 J29:J33 AI35 J35:J39 P35:P38 P29:P32 AI17 J17:J21 P23:P26 AI11 J11:J15 P11:P14">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A6529EC-5BBB-45DF-64C7-3008C03F1B29}" mc:Ignorable="x14ac xr xr2 xr3">
  <sheetPr>
    <tabColor theme="3" tint="0.6"/>
  </sheetPr>
  <dimension ref="A1:I59"/>
  <sheetViews>
    <sheetView topLeftCell="A1" showGridLines="0" zoomScale="90" workbookViewId="0">
      <selection activeCell="A1" sqref="A1"/>
    </sheetView>
  </sheetViews>
  <sheetFormatPr defaultColWidth="9.140625" customHeight="1" defaultRowHeight="11.25"/>
  <cols>
    <col min="1" max="1" style="8507" width="15.00390625" hidden="1" customWidth="1"/>
    <col min="2" max="2" style="8466" width="15.00390625" hidden="1" customWidth="1"/>
    <col min="3" max="3" style="8508" width="3.7109375" customWidth="1"/>
    <col min="4" max="4" style="8509" width="6.8515625" customWidth="1"/>
    <col min="5" max="5" style="8508" width="52.28125" customWidth="1"/>
    <col min="6" max="6" style="8508" width="48.8515625" customWidth="1"/>
    <col min="7" max="7" style="8508" width="121.7109375" customWidth="1"/>
    <col min="8" max="8" style="8508" width="9.140625"/>
    <col min="9" max="9" style="8508" width="65.00390625" customWidth="1"/>
  </cols>
  <sheetData>
    <row customHeight="1" ht="11.25" hidden="1">
      <c r="A1" s="1845" t="s">
        <v>299</v>
      </c>
    </row>
    <row customHeight="1" ht="11.25" hidden="1"/>
    <row s="8426" customFormat="1" customHeight="1" ht="11.25">
      <c r="A3" s="1845"/>
      <c r="B3" s="655"/>
      <c r="D3" s="632"/>
    </row>
    <row customHeight="1" ht="25.5">
      <c r="D4" s="2233" t="str">
        <f>ORG_INFO_NAME_FORM</f>
        <v>Форма 1. Информация об организации, осуществляющей горячее водоснабжение (общая информация)</v>
      </c>
      <c r="E4" s="2234"/>
      <c r="F4" s="2235"/>
      <c r="I4" s="869"/>
    </row>
    <row customHeight="1" ht="17.25">
      <c r="D5" s="2267" t="str">
        <f>IF(org=0,"Не определено",org)</f>
        <v>АО "Теплокоммунэнерго"</v>
      </c>
      <c r="E5" s="2267"/>
      <c r="F5" s="2267"/>
      <c r="I5" s="869"/>
    </row>
    <row s="8426" customFormat="1" customHeight="1" ht="11.25">
      <c r="A6" s="1845"/>
      <c r="B6" s="655"/>
      <c r="D6" s="868"/>
      <c r="E6" s="868"/>
      <c r="F6" s="906"/>
      <c r="G6" s="868"/>
    </row>
    <row customHeight="1" ht="11.25" hidden="1">
      <c r="A7" s="611"/>
      <c r="B7" s="656"/>
      <c r="C7" s="611"/>
      <c r="D7" s="617"/>
      <c r="E7" s="2273"/>
      <c r="F7" s="2273"/>
    </row>
    <row customHeight="1" ht="11.25">
      <c r="A8" s="611"/>
      <c r="B8" s="656"/>
      <c r="C8" s="611"/>
      <c r="D8" s="2270" t="s">
        <v>300</v>
      </c>
      <c r="E8" s="2271"/>
      <c r="F8" s="2271"/>
      <c r="G8" s="2274" t="s">
        <v>301</v>
      </c>
    </row>
    <row customHeight="1" ht="11.25">
      <c r="A9" s="611"/>
      <c r="B9" s="656"/>
      <c r="C9" s="611"/>
      <c r="D9" s="626" t="s">
        <v>85</v>
      </c>
      <c r="E9" s="600" t="s">
        <v>302</v>
      </c>
      <c r="F9" s="600" t="s">
        <v>303</v>
      </c>
      <c r="G9" s="2275"/>
    </row>
    <row customHeight="1" ht="12" hidden="1">
      <c r="A10" s="611"/>
      <c r="B10" s="656"/>
      <c r="C10" s="611"/>
      <c r="D10" s="618"/>
      <c r="E10" s="618"/>
      <c r="F10" s="618"/>
      <c r="G10" s="618"/>
    </row>
    <row customHeight="1" ht="22.5" hidden="1">
      <c r="A11" s="611"/>
      <c r="B11" s="656"/>
      <c r="C11" s="611"/>
      <c r="D11" s="1164" t="s">
        <v>106</v>
      </c>
      <c r="E11" s="1167" t="s">
        <v>304</v>
      </c>
      <c r="F11" s="1166" t="str">
        <f>IF(region_name="","",region_name)</f>
        <v>Ростовская область</v>
      </c>
      <c r="G11" s="1167" t="s">
        <v>305</v>
      </c>
      <c r="H11" s="629"/>
    </row>
    <row customHeight="1" ht="22.5" hidden="1">
      <c r="A12" s="611"/>
      <c r="B12" s="656"/>
      <c r="C12" s="611"/>
      <c r="D12" s="599" t="s">
        <v>106</v>
      </c>
      <c r="E12" s="598" t="str">
        <f>IF(TEMPLATE_SPHERE="TKO","Данные об организации (индивидуальном предпринимателе)","Данные о регулируемой организации"&amp;IF(TEMPLATE_SPHERE="HEAT",", о единой теплоснабжающей организации в ценовых зонах теплоснабжения, о теплоснабжающей организации в ценовых зонах теплоснабжения и теплосетевой организации в ценовых зонах теплоснабжения ",""))</f>
        <v>Данные о регулируемой организации</v>
      </c>
      <c r="F12" s="597" t="s">
        <v>306</v>
      </c>
      <c r="G12" s="628"/>
      <c r="H12" s="629"/>
    </row>
    <row customHeight="1" ht="22.5">
      <c r="A13" s="611"/>
      <c r="B13" s="656"/>
      <c r="C13" s="611"/>
      <c r="D13" s="599" t="s">
        <v>106</v>
      </c>
      <c r="E13" s="596" t="str">
        <f>"Наименование юридического лица"&amp;IF(TEMPLATE_SPHERE="TKO"," (индивидуального предпринимателя)","")</f>
        <v>Наименование юридического лица</v>
      </c>
      <c r="F13" s="595"/>
      <c r="G13" s="598" t="str">
        <f>"Наименование юридического лица"&amp;IF(TEMPLATE_SPHERE="HEAT"," (согласно уставу регулируемой организации)"," указывается согласно уставу "&amp;IF(TEMPLATE_SPHERE="TKO","организации. Наименование индивидуального предпринимателя указывается согласно сведениям из ЕГРИП.","регулируемой организации."))</f>
        <v>Наименование юридического лица указывается согласно уставу регулируемой организации.</v>
      </c>
      <c r="H13" s="629"/>
    </row>
    <row customHeight="1" ht="22.5" hidden="1">
      <c r="A14" s="611"/>
      <c r="B14" s="656"/>
      <c r="C14" s="611"/>
      <c r="D14" s="1164" t="s">
        <v>307</v>
      </c>
      <c r="E14" s="1165" t="s">
        <v>308</v>
      </c>
      <c r="F14" s="1166" t="str">
        <f>IF(inn="","",inn)</f>
        <v>6165199445</v>
      </c>
      <c r="G14" s="1167" t="s">
        <v>309</v>
      </c>
      <c r="H14" s="629"/>
    </row>
    <row customHeight="1" ht="22.5" hidden="1">
      <c r="A15" s="611"/>
      <c r="B15" s="656"/>
      <c r="C15" s="611"/>
      <c r="D15" s="1164" t="s">
        <v>310</v>
      </c>
      <c r="E15" s="1165" t="s">
        <v>311</v>
      </c>
      <c r="F15" s="1166" t="str">
        <f>IF(kpp="","",kpp)</f>
        <v>615250001</v>
      </c>
      <c r="G15" s="1167" t="s">
        <v>312</v>
      </c>
      <c r="H15" s="629"/>
    </row>
    <row customHeight="1" ht="36.75">
      <c r="A16" s="611"/>
      <c r="B16" s="656"/>
      <c r="C16" s="611"/>
      <c r="D16" s="599" t="s">
        <v>107</v>
      </c>
      <c r="E16" s="596" t="str">
        <f>"Основной государственный регистрационный номер (ОГРН)"&amp;IF(TEMPLATE_SPHERE="TKO",""," (основной государственный регистрационный номер индивидуального предпринимателя (ОГРНИП)")</f>
        <v>Основной государственный регистрационный номер (ОГРН) (основной государственный регистрационный номер индивидуального предпринимателя (ОГРНИП)</v>
      </c>
      <c r="F16" s="595"/>
      <c r="G16" s="598" t="str">
        <f>"Указывается основной государственный регистрационный номер юридического лица"&amp;IF(TEMPLATE_SPHERE="TKO",""," (индивидуального предпринимателя)")&amp;"."</f>
        <v>Указывается основной государственный регистрационный номер юридического лица (индивидуального предпринимателя).</v>
      </c>
      <c r="H16" s="629"/>
    </row>
    <row customHeight="1" ht="22.5">
      <c r="A17" s="611"/>
      <c r="B17" s="656"/>
      <c r="C17" s="611"/>
      <c r="D17" s="599" t="s">
        <v>87</v>
      </c>
      <c r="E17" s="596" t="str">
        <f>"Дата присвоения ОГРН"&amp;IF(TEMPLATE_SPHERE="TKO",""," (ОГРНИП)")</f>
        <v>Дата присвоения ОГРН (ОГРНИП)</v>
      </c>
      <c r="F17" s="1891" t="s">
        <v>24</v>
      </c>
      <c r="G17" s="598" t="str">
        <f>"Дата присвоения ОГРН"&amp;IF(TEMPLATE_SPHERE="TKO",""," (ОГРНИП)")&amp;" указывается в виде «ДД.ММ.ГГГГ»."</f>
        <v>Дата присвоения ОГРН (ОГРНИП) указывается в виде «ДД.ММ.ГГГГ».</v>
      </c>
      <c r="H17" s="629"/>
    </row>
    <row customHeight="1" ht="56.25">
      <c r="A18" s="611"/>
      <c r="B18" s="656"/>
      <c r="C18" s="611"/>
      <c r="D18" s="599" t="s">
        <v>88</v>
      </c>
      <c r="E18" s="596" t="str">
        <f>"Наименование органа, принявшего решение о "&amp;IF(TEMPLATE_SPHERE="TKO","государственной регистрации организации ","регистрации в соответствии со свидетельством о государственной регистрации")&amp;" в качестве юридического лица (о государственной регистрации физического лица в качестве индивидуального предпринимателя)"</f>
        <v>Наименование органа, принявшего решение о регистрации в соответствии со свидетельством о государственной регистрации в качестве юридического лица (о государственной регистрации физического лица в качестве индивидуального предпринимателя)</v>
      </c>
      <c r="F18" s="595"/>
      <c r="G18" s="628"/>
      <c r="H18" s="629"/>
    </row>
    <row customHeight="1" ht="22.5" hidden="1">
      <c r="A19" s="2268" t="s">
        <v>313</v>
      </c>
      <c r="B19" s="656"/>
      <c r="C19" s="2279"/>
      <c r="D19" s="599" t="str">
        <f>A19</f>
        <v>5.1</v>
      </c>
      <c r="E19" s="596" t="s">
        <v>314</v>
      </c>
      <c r="F19" s="597" t="s">
        <v>306</v>
      </c>
      <c r="G19" s="598" t="s">
        <v>315</v>
      </c>
      <c r="H19" s="629"/>
      <c r="I19" s="1006"/>
    </row>
    <row customHeight="1" ht="24" hidden="1">
      <c r="A20" s="2268"/>
      <c r="B20" s="656"/>
      <c r="C20" s="2279"/>
      <c r="D20" s="594" t="str">
        <f>D19&amp;".1"</f>
        <v>5.1.1</v>
      </c>
      <c r="E20" s="593" t="s">
        <v>316</v>
      </c>
      <c r="F20" s="1035" t="s">
        <v>24</v>
      </c>
      <c r="G20" s="628"/>
      <c r="H20" s="629"/>
      <c r="I20" s="1006"/>
    </row>
    <row customHeight="1" ht="22.5" hidden="1">
      <c r="A21" s="2268"/>
      <c r="B21" s="656"/>
      <c r="C21" s="2279"/>
      <c r="D21" s="594" t="str">
        <f>D19&amp;".2"</f>
        <v>5.1.2</v>
      </c>
      <c r="E21" s="593" t="s">
        <v>317</v>
      </c>
      <c r="F21" s="1892" t="s">
        <v>24</v>
      </c>
      <c r="G21" s="598" t="s">
        <v>318</v>
      </c>
      <c r="H21" s="629"/>
      <c r="I21" s="1006"/>
    </row>
    <row customHeight="1" ht="22.5" hidden="1">
      <c r="A22" s="2268"/>
      <c r="B22" s="656"/>
      <c r="C22" s="2279"/>
      <c r="D22" s="594" t="str">
        <f>D19&amp;".3"</f>
        <v>5.1.3</v>
      </c>
      <c r="E22" s="593" t="s">
        <v>319</v>
      </c>
      <c r="F22" s="1035" t="s">
        <v>24</v>
      </c>
      <c r="G22" s="628"/>
      <c r="H22" s="629"/>
      <c r="I22" s="1006"/>
    </row>
    <row customHeight="1" ht="22.5" hidden="1">
      <c r="A23" s="2268"/>
      <c r="B23" s="656"/>
      <c r="C23" s="2279"/>
      <c r="D23" s="594" t="str">
        <f>D19&amp;".4"</f>
        <v>5.1.4</v>
      </c>
      <c r="E23" s="593" t="s">
        <v>320</v>
      </c>
      <c r="F23" s="1035" t="s">
        <v>24</v>
      </c>
      <c r="G23" s="598" t="s">
        <v>321</v>
      </c>
      <c r="H23" s="629"/>
      <c r="I23" s="1006"/>
    </row>
    <row customHeight="1" ht="22.5" hidden="1">
      <c r="A24" s="2139"/>
      <c r="B24" s="656"/>
      <c r="C24" s="646"/>
      <c r="D24" s="621"/>
      <c r="E24" s="1324" t="s">
        <v>322</v>
      </c>
      <c r="F24" s="622"/>
      <c r="G24" s="623"/>
      <c r="H24" s="629"/>
      <c r="I24" s="1006"/>
    </row>
    <row s="8466" customFormat="1" customHeight="1" ht="24.75" hidden="1">
      <c r="A25" s="611"/>
      <c r="B25" s="656"/>
      <c r="C25" s="656"/>
      <c r="D25" s="1161" t="s">
        <v>87</v>
      </c>
      <c r="E25" s="1163" t="s">
        <v>323</v>
      </c>
      <c r="F25" s="1168" t="s">
        <v>306</v>
      </c>
      <c r="G25" s="1163"/>
    </row>
    <row s="8466" customFormat="1" customHeight="1" ht="11.25" hidden="1">
      <c r="A26" s="611"/>
      <c r="B26" s="656"/>
      <c r="C26" s="656"/>
      <c r="D26" s="1161" t="s">
        <v>324</v>
      </c>
      <c r="E26" s="1162" t="s">
        <v>325</v>
      </c>
      <c r="F26" s="1168" t="s">
        <v>306</v>
      </c>
      <c r="G26" s="1163"/>
    </row>
    <row s="8466" customFormat="1" customHeight="1" ht="11.25" hidden="1">
      <c r="A27" s="611"/>
      <c r="B27" s="656"/>
      <c r="C27" s="656"/>
      <c r="D27" s="1161" t="s">
        <v>326</v>
      </c>
      <c r="E27" s="1169" t="s">
        <v>327</v>
      </c>
      <c r="F27" s="1170"/>
      <c r="G27" s="1163" t="str">
        <f>"Указывается фамилия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фамилия должностного лица организации горячего водоснабжения, ответственного за размещение данных, в соответствии с паспортными данными физического лица.</v>
      </c>
    </row>
    <row s="8466" customFormat="1" customHeight="1" ht="11.25" hidden="1">
      <c r="A28" s="611"/>
      <c r="B28" s="656"/>
      <c r="C28" s="656"/>
      <c r="D28" s="1161" t="s">
        <v>328</v>
      </c>
      <c r="E28" s="1169" t="s">
        <v>329</v>
      </c>
      <c r="F28" s="1170"/>
      <c r="G28" s="1163" t="str">
        <f>"Указывается имя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имя должностного лица организации горячего водоснабжения, ответственного за размещение данных, в соответствии с паспортными данными физического лица.</v>
      </c>
    </row>
    <row s="8466" customFormat="1" customHeight="1" ht="11.25" hidden="1">
      <c r="A29" s="611"/>
      <c r="B29" s="656"/>
      <c r="C29" s="656"/>
      <c r="D29" s="1161" t="s">
        <v>330</v>
      </c>
      <c r="E29" s="1169" t="s">
        <v>331</v>
      </c>
      <c r="F29" s="1170"/>
      <c r="G29" s="1163" t="str">
        <f>"Указывается отчество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 (при наличии)."</f>
        <v>Указывается отчество должностного лица организации горячего водоснабжения, ответственного за размещение данных, в соответствии с паспортными данными физического лица (при наличии).</v>
      </c>
    </row>
    <row s="8466" customFormat="1" customHeight="1" ht="11.25" hidden="1">
      <c r="A30" s="611"/>
      <c r="B30" s="656"/>
      <c r="C30" s="656"/>
      <c r="D30" s="1161" t="s">
        <v>332</v>
      </c>
      <c r="E30" s="1162" t="s">
        <v>333</v>
      </c>
      <c r="F30" s="1170"/>
      <c r="G30" s="1163"/>
    </row>
    <row s="8466" customFormat="1" customHeight="1" ht="11.25" hidden="1">
      <c r="A31" s="611"/>
      <c r="B31" s="656"/>
      <c r="C31" s="656"/>
      <c r="D31" s="1161" t="s">
        <v>334</v>
      </c>
      <c r="E31" s="1162" t="s">
        <v>335</v>
      </c>
      <c r="F31" s="1170"/>
      <c r="G31" s="1163"/>
    </row>
    <row s="8466" customFormat="1" customHeight="1" ht="11.25" hidden="1">
      <c r="A32" s="611"/>
      <c r="B32" s="656"/>
      <c r="C32" s="656"/>
      <c r="D32" s="1161" t="s">
        <v>336</v>
      </c>
      <c r="E32" s="1162" t="s">
        <v>337</v>
      </c>
      <c r="F32" s="1171"/>
      <c r="G32" s="1163"/>
    </row>
    <row customHeight="1" ht="22.5">
      <c r="A33" s="611" t="str">
        <f>IF(TEMPLATE_SPHERE="HEAT","6","5")</f>
        <v>5</v>
      </c>
      <c r="B33" s="656"/>
      <c r="C33" s="611"/>
      <c r="D33" s="594" t="str">
        <f>A33</f>
        <v>5</v>
      </c>
      <c r="E33" s="592" t="str">
        <f>"Фамилия, имя и отчество руководителя"&amp;IF(TEMPLATE_SPHERE="HEAT"," регулируемой организации, ЕТО, ТО ",IF(TEMPLATE_SPHERE&lt;&gt;"TKO"," регулируемой организации"," организации"))&amp;IF(TEMPLATE_SPHERE&lt;&gt;"TKO"," (индивидуального предпринимателя)","")&amp;":"</f>
        <v>Фамилия, имя и отчество руководителя регулируемой организации (индивидуального предпринимателя):</v>
      </c>
      <c r="F33" s="597" t="s">
        <v>306</v>
      </c>
      <c r="G33" s="628"/>
      <c r="H33" s="629"/>
    </row>
    <row customHeight="1" ht="22.5">
      <c r="A34" s="611"/>
      <c r="B34" s="656"/>
      <c r="C34" s="611"/>
      <c r="D34" s="594" t="str">
        <f>D33&amp;".1"</f>
        <v>5.1</v>
      </c>
      <c r="E34" s="596" t="str">
        <f>"фамилия"&amp;IF(TEMPLATE_SPHERE&lt;&gt;"HEAT"," руководителя","")</f>
        <v>фамилия руководителя</v>
      </c>
      <c r="F34" s="595"/>
      <c r="G34" s="598" t="str">
        <f>"Указывается фамилия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фамилия руководителя регулируемой организации в соответствии с паспортными данными физического лица.</v>
      </c>
      <c r="H34" s="629"/>
    </row>
    <row customHeight="1" ht="22.5">
      <c r="A35" s="611"/>
      <c r="B35" s="656"/>
      <c r="C35" s="611"/>
      <c r="D35" s="594" t="str">
        <f>D33&amp;".2"</f>
        <v>5.2</v>
      </c>
      <c r="E35" s="596" t="str">
        <f>"имя"&amp;IF(TEMPLATE_SPHERE&lt;&gt;"HEAT"," руководителя","")</f>
        <v>имя руководителя</v>
      </c>
      <c r="F35" s="595"/>
      <c r="G35" s="598" t="str">
        <f>"Указывается имя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имя руководителя регулируемой организации в соответствии с паспортными данными физического лица.</v>
      </c>
      <c r="H35" s="629"/>
    </row>
    <row customHeight="1" ht="22.5">
      <c r="A36" s="611"/>
      <c r="B36" s="656"/>
      <c r="C36" s="611"/>
      <c r="D36" s="594" t="str">
        <f>D33&amp;".3"</f>
        <v>5.3</v>
      </c>
      <c r="E36" s="596" t="str">
        <f>"отчество"&amp;IF(TEMPLATE_SPHERE&lt;&gt;"HEAT"," руководителя","")</f>
        <v>отчество руководителя</v>
      </c>
      <c r="F36" s="852"/>
      <c r="G36" s="598" t="str">
        <f>"Указывается отчество руководителя"&amp;IF(TEMPLATE_SPHERE&lt;&gt;"TKO"," регулируемой организации"&amp;IF(TEMPLATE_SPHERE="HEAT",", ЕТО, ТО","")," организации")&amp;" в соответствии с паспортными данными физического лица (при наличии)."</f>
        <v>Указывается отчество руководителя регулируемой организации в соответствии с паспортными данными физического лица (при наличии).</v>
      </c>
      <c r="H36" s="629"/>
    </row>
    <row customHeight="1" ht="33.75">
      <c r="A37" s="611"/>
      <c r="B37" s="656"/>
      <c r="C37" s="611"/>
      <c r="D37" s="594">
        <f>D33+1</f>
        <v>6</v>
      </c>
      <c r="E37" s="592" t="str">
        <f>"Почтовый адрес органов управления"&amp;IF(TEMPLATE_SPHERE&lt;&gt;"TKO"," регулируемой","")&amp;" организации"&amp;IF(TEMPLATE_SPHERE="HEAT",", ЕТО, ТО","")</f>
        <v>Почтовый адрес органов управления регулируемой организации</v>
      </c>
      <c r="F37" s="595"/>
      <c r="G37" s="598" t="s">
        <v>338</v>
      </c>
      <c r="H37" s="629"/>
    </row>
    <row customHeight="1" ht="33.75">
      <c r="A38" s="611"/>
      <c r="B38" s="656"/>
      <c r="C38" s="611"/>
      <c r="D38" s="594">
        <f>D37+1</f>
        <v>7</v>
      </c>
      <c r="E38" s="592" t="str">
        <f>"Адрес места нахождения органов управления"&amp;IF(TEMPLATE_SPHERE&lt;&gt;"TKO"," регулируемой","")&amp;" организации"&amp;IF(TEMPLATE_SPHERE="HEAT",", ЕТО, ТО","")</f>
        <v>Адрес места нахождения органов управления регулируемой организации</v>
      </c>
      <c r="F38" s="595"/>
      <c r="G38" s="598" t="s">
        <v>338</v>
      </c>
      <c r="H38" s="629"/>
    </row>
    <row customHeight="1" ht="22.5">
      <c r="A39" s="611"/>
      <c r="B39" s="656"/>
      <c r="C39" s="611"/>
      <c r="D39" s="594">
        <f>D38+1</f>
        <v>8</v>
      </c>
      <c r="E39" s="591" t="str">
        <f>"Контактные телефоны "&amp;IF(TEMPLATE_SPHERE="TKO","","регулируемой ")&amp;"организации"&amp;IF(TEMPLATE_SPHERE="HEAT",", ЕТО, ТО",IF(TEMPLATE_SPHERE="TKO"," (индивидуального предпринимателя)",""))</f>
        <v>Контактные телефоны регулируемой организации</v>
      </c>
      <c r="F39" s="597" t="s">
        <v>306</v>
      </c>
      <c r="G39" s="2276" t="str">
        <f>"Указывается номер контактного телефона"&amp;IF(TEMPLATE_SPHERE&lt;&gt;"TKO"," регулируемой","")&amp;" организации.
В случае наличия нескольких номеров телефонов, информация по каждому из них указывается в отдельной строке."</f>
        <v>Указывается номер контактного телефона регулируемой организации.
В случае наличия нескольких номеров телефонов, информация по каждому из них указывается в отдельной строке.</v>
      </c>
      <c r="H39" s="629"/>
    </row>
    <row customHeight="1" ht="22.5" hidden="1">
      <c r="A40" s="611"/>
      <c r="B40" s="656"/>
      <c r="C40" s="611"/>
      <c r="D40" s="594" t="str">
        <f>D39&amp;".0"</f>
        <v>8.0</v>
      </c>
      <c r="E40" s="1764"/>
      <c r="F40" s="1035"/>
      <c r="G40" s="2277"/>
      <c r="H40" s="629"/>
    </row>
    <row customHeight="1" ht="22.5">
      <c r="A41" s="611"/>
      <c r="B41" s="611"/>
      <c r="C41" s="1847"/>
      <c r="D41" s="594" t="str">
        <f>D39&amp;".1"</f>
        <v>8.1</v>
      </c>
      <c r="E41" s="1014"/>
      <c r="F41" s="1015"/>
      <c r="G41" s="2277"/>
      <c r="H41" s="629"/>
    </row>
    <row customHeight="1" ht="15">
      <c r="A42" s="611"/>
      <c r="B42" s="656"/>
      <c r="C42" s="611"/>
      <c r="D42" s="621"/>
      <c r="E42" s="569" t="s">
        <v>339</v>
      </c>
      <c r="F42" s="623"/>
      <c r="G42" s="2278"/>
      <c r="H42" s="630"/>
    </row>
    <row customHeight="1" ht="25.5">
      <c r="A43" s="611"/>
      <c r="B43" s="656"/>
      <c r="C43" s="611"/>
      <c r="D43" s="594">
        <f>D39+1</f>
        <v>9</v>
      </c>
      <c r="E43" s="592" t="str">
        <f>IF(TEMPLATE_SPHERE="TKO","Адрес официального сайта организации в сети «Интернет»","Официальный сайт регулируемой организации"&amp;IF(TEMPLATE_SPHERE="HEAT",", ЕТО, ТО","")&amp;" в сети «Интернет»")</f>
        <v>Официальный сайт регулируемой организации в сети «Интернет»</v>
      </c>
      <c r="F43" s="1016"/>
      <c r="G43" s="598" t="str">
        <f>"Указывается адрес официального сайта"&amp;IF(TEMPLATE_SPHERE&lt;&gt;"TKO"," регулируемой","")&amp;" организации"&amp;" в сети «Интернет». В случае отсутствия официального сайта"&amp;IF(TEMPLATE_SPHERE&lt;&gt;"TKO"," регулируемой","")&amp;" организации в сети «Интернет» указывается «Отсутствует»."</f>
        <v>Указывается адрес официального сайта регулируемой организации в сети «Интернет». В случае отсутствия официального сайта регулируемой организации в сети «Интернет» указывается «Отсутствует».</v>
      </c>
      <c r="H43" s="629"/>
    </row>
    <row customHeight="1" ht="22.5">
      <c r="A44" s="611"/>
      <c r="B44" s="656"/>
      <c r="C44" s="611"/>
      <c r="D44" s="594">
        <f>D43+1</f>
        <v>10</v>
      </c>
      <c r="E44" s="592" t="str">
        <f>"Адрес электронной почты "&amp;IF(TEMPLATE_SPHERE="TKO","","регулируемой ")&amp;"организации"&amp;IF(TEMPLATE_SPHERE="HEAT",", ЕТО, ТО",IF(TEMPLATE_SPHERE="TKO"," (индивидуального предпринимателя)",""))</f>
        <v>Адрес электронной почты регулируемой организации</v>
      </c>
      <c r="F44" s="532"/>
      <c r="G44" s="628" t="s">
        <v>340</v>
      </c>
      <c r="H44" s="629"/>
    </row>
    <row customHeight="1" ht="22.5">
      <c r="A45" s="611"/>
      <c r="B45" s="656"/>
      <c r="C45" s="611"/>
      <c r="D45" s="594">
        <f>D44+1</f>
        <v>11</v>
      </c>
      <c r="E45" s="592" t="s">
        <v>341</v>
      </c>
      <c r="F45" s="597" t="s">
        <v>306</v>
      </c>
      <c r="G45" s="591" t="str">
        <f>IF(TEMPLATE_SPHERE="TKO","Указывается режим работы организации.","")</f>
        <v/>
      </c>
      <c r="H45" s="629"/>
    </row>
    <row customHeight="1" ht="22.5">
      <c r="A46" s="611"/>
      <c r="B46" s="656"/>
      <c r="C46" s="611"/>
      <c r="D46" s="594" t="str">
        <f>D45&amp;".1"</f>
        <v>11.1</v>
      </c>
      <c r="E46" s="596" t="str">
        <f>"режим работы регулируемой организации"&amp;IF(TEMPLATE_SPHERE="HEAT",", ЕТО, ТО","")</f>
        <v>режим работы регулируемой организации</v>
      </c>
      <c r="F46" s="1843"/>
      <c r="G46" s="591" t="s">
        <v>342</v>
      </c>
      <c r="H46" s="629"/>
    </row>
    <row customHeight="1" ht="22.5">
      <c r="A47" s="2268"/>
      <c r="B47" s="656"/>
      <c r="C47" s="646"/>
      <c r="D47" s="594" t="str">
        <f>D45&amp;".2"</f>
        <v>11.2</v>
      </c>
      <c r="E47" s="596" t="s">
        <v>343</v>
      </c>
      <c r="F47" s="644"/>
      <c r="G47" s="591" t="s">
        <v>344</v>
      </c>
      <c r="H47" s="629"/>
    </row>
    <row customHeight="1" ht="22.5">
      <c r="A48" s="2268"/>
      <c r="B48" s="656"/>
      <c r="C48" s="646"/>
      <c r="D48" s="594" t="str">
        <f>D45&amp;".3"</f>
        <v>11.3</v>
      </c>
      <c r="E48" s="596" t="s">
        <v>345</v>
      </c>
      <c r="F48" s="644"/>
      <c r="G48" s="591" t="s">
        <v>346</v>
      </c>
      <c r="H48" s="629"/>
    </row>
    <row customHeight="1" ht="22.5">
      <c r="A49" s="2268"/>
      <c r="B49" s="656"/>
      <c r="C49" s="646"/>
      <c r="D49" s="594" t="str">
        <f>IF(TEMPLATE_SPHERE="TKO",D45&amp;".0",D45&amp;".4")</f>
        <v>11.4</v>
      </c>
      <c r="E49" s="590" t="s">
        <v>347</v>
      </c>
      <c r="F49" s="1844"/>
      <c r="G49" s="1921" t="s">
        <v>348</v>
      </c>
      <c r="H49" s="629"/>
    </row>
    <row customHeight="1" ht="22.5">
      <c r="A50" s="611"/>
      <c r="B50" s="656"/>
      <c r="C50" s="611"/>
      <c r="D50" s="621"/>
      <c r="E50" s="569" t="s">
        <v>349</v>
      </c>
      <c r="F50" s="622"/>
      <c r="G50" s="1921" t="s">
        <v>350</v>
      </c>
      <c r="H50" s="630"/>
    </row>
    <row customHeight="1" ht="22.5">
      <c r="A51" s="1012"/>
      <c r="B51" s="656"/>
      <c r="C51" s="646"/>
      <c r="D51" s="594">
        <f>D45+1</f>
        <v>12</v>
      </c>
      <c r="E51" s="682" t="s">
        <v>351</v>
      </c>
      <c r="F51" s="644"/>
      <c r="G51" s="1848" t="str">
        <f>"Указывается наличие «да» или отсутствие «нет» утвержденной в установленном порядке инвестиционной программы"&amp;IF(TEMPLATE_SPHERE="HEAT","В соответствии с пунктом 1(1) Правил согласования и утверждения инвестиционных программ организаций, осуществляющих регулируемые виды деятельности в сфере теплоснабжения, "&amp;"а также требований к составу и содержанию таких программ (за исключением таких программ, утверждаемых "&amp;"в соответствии с законодательством российской федерации об электроэнергетике), утвержденных постановлением Правительства Российской Федерации от 05.05.2014 № 410, "&amp;"в ценовых зонах теплоснабжения инвестиционная программа в отношении деятельности по подключению (технологическому присоединению) к системе теплоснабжения не разрабатывается и не утверждается.","")</f>
        <v>Указывается наличие «да» или отсутствие «нет» утвержденной в установленном порядке инвестиционной программы</v>
      </c>
      <c r="H51" s="629"/>
    </row>
    <row customHeight="1" ht="11.25">
      <c r="A52" s="611"/>
      <c r="B52" s="656"/>
      <c r="C52" s="611"/>
    </row>
    <row s="8495" customFormat="1" customHeight="1" ht="30">
      <c r="A53" s="1846"/>
      <c r="B53" s="657"/>
      <c r="C53" s="2269"/>
      <c r="D53" s="2272" t="str">
        <f>"В случае если регулируемая организация"&amp;IF(TEMPLATE_SPHERE="HEAT",", единая теплоснабжающая организация в ценовых зонах теплоснабжения, теплоснабжающая организация в ценовых зонах теплоснабжения и теплосетевая организация в ценовых зонах теплоснабжения","")&amp;" осуществляет несколько видов деятельности в сфере "&amp;TEMPLATE_SPHERE_RUS&amp;", информация о которых подлежит раскрытию в соответствии со Стандартами раскрытия информации в сфере "&amp;IF(TEMPLATE_SPHERE="HEAT","теплоснабжения","водоснабжения и водоотведения")&amp;", утвержденными постановлением Правительства Российской Федерации от 26.01.2023 № "&amp;IF(TEMPLATE_SPHERE="HEAT","110",IF(TEMPLATE_SPHERE="TKO","109 ""Об утверждении стандартов раскрытия информации в области обращения с твердыми коммунальными отходами""","108"))&amp;", информация по каждому виду деятельности раскрывается отдельно."</f>
        <v>В случае если регулируемая организация осуществляет несколько видов деятельности в сфере горячего водоснабжения, информация о которых подлежит раскрытию в соответствии со Стандартами раскрытия информации в сфере водоснабжения и водоотведения, утвержденными постановлением Правительства Российской Федерации от 26.01.2023 № 108, информация по каждому виду деятельности раскрывается отдельно.</v>
      </c>
      <c r="E53" s="2272"/>
      <c r="F53" s="2272"/>
      <c r="G53" s="2272"/>
      <c r="H53" s="608"/>
      <c r="I53" s="608"/>
    </row>
    <row s="8495" customFormat="1" customHeight="1" ht="39.75">
      <c r="A54" s="611"/>
      <c r="B54" s="656"/>
      <c r="C54" s="2269"/>
      <c r="D54" s="2272" t="str">
        <f>IF(ORG_INFO_P_NOTE_MAIN=0,"",ORG_INFO_P_NOTE_MAIN)</f>
        <v>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v>
      </c>
      <c r="E54" s="2272"/>
      <c r="F54" s="2272"/>
      <c r="G54" s="2272"/>
    </row>
    <row customHeight="1" ht="11.25">
      <c r="D55" s="612"/>
      <c r="E55" s="613"/>
      <c r="F55" s="613"/>
      <c r="G55" s="613"/>
    </row>
    <row customHeight="1" ht="27">
      <c r="D56" s="615"/>
      <c r="E56" s="612"/>
      <c r="F56" s="624"/>
      <c r="G56" s="624"/>
    </row>
    <row customHeight="1" ht="11.25">
      <c r="D57" s="612"/>
      <c r="E57" s="612"/>
      <c r="F57" s="613"/>
      <c r="G57" s="613"/>
    </row>
    <row customHeight="1" ht="39">
      <c r="D58" s="616"/>
      <c r="E58" s="625"/>
      <c r="F58" s="625"/>
      <c r="G58" s="625"/>
    </row>
    <row customHeight="1" ht="27">
      <c r="D59" s="616"/>
      <c r="E59" s="625"/>
      <c r="F59" s="625"/>
      <c r="G59" s="625"/>
    </row>
  </sheetData>
  <sheetProtection formatColumns="0" formatRows="0" sort="0" autoFilter="0" insertRows="0" insertColumns="1" deleteRows="0" deleteColumns="0"/>
  <mergeCells count="12">
    <mergeCell ref="D4:F4"/>
    <mergeCell ref="A47:A49"/>
    <mergeCell ref="C53:C54"/>
    <mergeCell ref="D8:F8"/>
    <mergeCell ref="D53:G53"/>
    <mergeCell ref="D54:G54"/>
    <mergeCell ref="E7:F7"/>
    <mergeCell ref="G8:G9"/>
    <mergeCell ref="D5:F5"/>
    <mergeCell ref="G39:G42"/>
    <mergeCell ref="A19:A23"/>
    <mergeCell ref="C19:C23"/>
  </mergeCells>
  <dataValidations count="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1 F17"/>
    <dataValidation type="textLength" operator="lessThanOrEqual" allowBlank="1" showInputMessage="1" showErrorMessage="1" errorTitle="Ошибка" error="Допускается ввод не более 900 символов!" sqref="F13 F43:F44 F27:F32 F16 E40:F41 F18 F20 F34:F38 F22:F23">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51 F46:F49">
      <formula1>"a"</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C4C492B-FC8F-DCBD-81C7-3A51D8704421}" mc:Ignorable="x14ac xr xr2 xr3">
  <sheetPr>
    <tabColor theme="3" tint="0.6"/>
  </sheetPr>
  <dimension ref="A1:AS17"/>
  <sheetViews>
    <sheetView topLeftCell="A1" showGridLines="0" zoomScale="90" workbookViewId="0">
      <selection activeCell="A1" sqref="A1"/>
    </sheetView>
  </sheetViews>
  <sheetFormatPr defaultColWidth="10.57421875" customHeight="1" defaultRowHeight="14.25"/>
  <cols>
    <col min="1" max="1" style="8573" width="9.140625" hidden="1" customWidth="1"/>
    <col min="2" max="2" style="8574" width="9.140625" hidden="1" customWidth="1"/>
    <col min="3" max="3" style="8575" width="3.7109375" customWidth="1"/>
    <col min="4" max="4" style="8574" width="5.57421875" customWidth="1"/>
    <col min="5" max="5" style="8574" width="48.421875" customWidth="1"/>
    <col min="6" max="6" style="8574" width="38.140625" customWidth="1"/>
    <col min="7" max="7" style="8080" width="1.7109375" hidden="1" customWidth="1"/>
    <col min="8" max="11" style="8574" width="19.8515625" hidden="1" customWidth="1"/>
    <col min="12" max="12" style="8574" width="9.7109375" hidden="1" customWidth="1"/>
    <col min="13" max="18" style="8574" width="19.8515625" hidden="1" customWidth="1"/>
    <col min="19" max="19" style="8080" width="1.7109375" hidden="1" customWidth="1"/>
    <col min="20" max="22" style="8576" width="19.8515625" hidden="1" customWidth="1"/>
    <col min="23" max="23" style="8080" width="1.7109375" hidden="1" customWidth="1"/>
    <col min="24" max="26" style="8576" width="19.8515625" hidden="1" customWidth="1"/>
    <col min="27" max="27" style="8080" width="1.7109375" hidden="1" customWidth="1"/>
    <col min="28" max="29" style="8576" width="19.8515625" customWidth="1"/>
    <col min="30" max="30" style="8080" width="1.7109375" hidden="1" customWidth="1"/>
    <col min="31" max="31" style="8574" width="103.7109375" hidden="1" customWidth="1"/>
    <col min="32" max="33" style="8576" width="103.7109375" hidden="1" customWidth="1"/>
    <col min="34" max="34" style="8576" width="103.7109375" customWidth="1"/>
    <col min="35" max="35" style="8577" width="3.7109375" customWidth="1"/>
    <col min="36" max="38" style="8578" width="10.57421875"/>
    <col min="39" max="39" style="8578" width="13.7109375" hidden="1" customWidth="1"/>
    <col min="40" max="40" style="8578" width="15.421875" customWidth="1"/>
    <col min="41" max="41" style="8578" width="16.28125" customWidth="1"/>
    <col min="42" max="45" style="8578" width="10.57421875"/>
  </cols>
  <sheetData>
    <row customHeight="1" ht="14.25" hidden="1">
      <c r="E1" s="566"/>
      <c r="F1" s="566"/>
      <c r="G1" s="566"/>
      <c r="H1" s="2295" t="s">
        <v>352</v>
      </c>
      <c r="I1" s="2295"/>
      <c r="J1" s="2295"/>
      <c r="K1" s="2295"/>
      <c r="L1" s="2295"/>
      <c r="M1" s="2295"/>
      <c r="N1" s="2295"/>
      <c r="O1" s="2295"/>
      <c r="P1" s="2295"/>
      <c r="Q1" s="2295"/>
      <c r="R1" s="2295"/>
      <c r="T1" s="2295" t="s">
        <v>353</v>
      </c>
      <c r="U1" s="2295"/>
      <c r="V1" s="2295"/>
      <c r="X1" s="2295" t="s">
        <v>354</v>
      </c>
      <c r="Y1" s="2295"/>
      <c r="Z1" s="2295"/>
      <c r="AB1" s="2295" t="s">
        <v>355</v>
      </c>
      <c r="AC1" s="2295"/>
    </row>
    <row customHeight="1" ht="14.25" hidden="1"/>
    <row s="8511" customFormat="1" customHeight="1" ht="6">
      <c r="C3" s="855"/>
      <c r="D3" s="856"/>
      <c r="E3" s="856"/>
      <c r="F3" s="856"/>
      <c r="G3" s="856"/>
      <c r="H3" s="856" t="s">
        <v>356</v>
      </c>
      <c r="I3" s="856"/>
      <c r="J3" s="856"/>
      <c r="K3" s="856"/>
      <c r="L3" s="856"/>
      <c r="M3" s="856"/>
      <c r="N3" s="856"/>
      <c r="O3" s="856"/>
      <c r="P3" s="856"/>
      <c r="Q3" s="856"/>
      <c r="R3" s="856"/>
      <c r="S3" s="856"/>
      <c r="T3" s="856"/>
      <c r="U3" s="856"/>
      <c r="V3" s="856"/>
      <c r="W3" s="856"/>
      <c r="X3" s="856"/>
      <c r="Y3" s="856"/>
      <c r="Z3" s="856"/>
      <c r="AA3" s="856"/>
      <c r="AB3" s="856"/>
      <c r="AC3" s="856"/>
      <c r="AD3" s="856"/>
      <c r="AE3" s="856"/>
      <c r="AF3" s="856"/>
      <c r="AG3" s="856"/>
      <c r="AH3" s="856"/>
      <c r="AJ3" s="665"/>
      <c r="AK3" s="665"/>
      <c r="AL3" s="665"/>
      <c r="AM3" s="665"/>
      <c r="AN3" s="665"/>
      <c r="AO3" s="665"/>
      <c r="AP3" s="665"/>
      <c r="AQ3" s="665"/>
      <c r="AR3" s="665"/>
      <c r="AS3" s="665"/>
    </row>
    <row customHeight="1" ht="37.5">
      <c r="C4" s="604"/>
      <c r="D4" s="2233" t="str">
        <f>ORG_VD_NAME_FORM</f>
        <v>Форма 1. Информация об организации, осуществляющей горячее водоснабжение (общая информация)</v>
      </c>
      <c r="E4" s="2234"/>
      <c r="F4" s="2234"/>
      <c r="G4" s="2234"/>
      <c r="H4" s="2234"/>
      <c r="I4" s="2234"/>
      <c r="J4" s="2234"/>
      <c r="K4" s="2234"/>
      <c r="L4" s="2234"/>
      <c r="M4" s="2234"/>
      <c r="N4" s="2234"/>
      <c r="O4" s="2234"/>
      <c r="P4" s="2234"/>
      <c r="Q4" s="2234"/>
      <c r="R4" s="2235"/>
      <c r="S4" s="1007"/>
      <c r="T4" s="853"/>
      <c r="U4" s="853"/>
      <c r="V4" s="853"/>
      <c r="W4" s="853"/>
      <c r="X4" s="853"/>
      <c r="Y4" s="853"/>
      <c r="Z4" s="853"/>
      <c r="AA4" s="853"/>
      <c r="AB4" s="853"/>
      <c r="AC4" s="853"/>
      <c r="AD4" s="853"/>
      <c r="AE4" s="645"/>
      <c r="AF4" s="645"/>
      <c r="AG4" s="645"/>
      <c r="AH4" s="645"/>
      <c r="AI4" s="642"/>
    </row>
    <row s="8080" customFormat="1" customHeight="1" ht="17.25">
      <c r="A5" s="913"/>
      <c r="C5" s="976"/>
      <c r="D5" s="2292" t="str">
        <f>IF(org=0,"Не определено",org)</f>
        <v>АО "Теплокоммунэнерго"</v>
      </c>
      <c r="E5" s="2293"/>
      <c r="F5" s="2293"/>
      <c r="G5" s="2293"/>
      <c r="H5" s="2293"/>
      <c r="I5" s="2293"/>
      <c r="J5" s="2293"/>
      <c r="K5" s="2293"/>
      <c r="L5" s="2293"/>
      <c r="M5" s="2293"/>
      <c r="N5" s="2293"/>
      <c r="O5" s="2293"/>
      <c r="P5" s="2293"/>
      <c r="Q5" s="2293"/>
      <c r="R5" s="2294"/>
      <c r="S5" s="1007"/>
      <c r="T5" s="853"/>
      <c r="U5" s="853"/>
      <c r="V5" s="853"/>
      <c r="W5" s="853"/>
      <c r="X5" s="853"/>
      <c r="Y5" s="853"/>
      <c r="Z5" s="853"/>
      <c r="AA5" s="853"/>
      <c r="AB5" s="853"/>
      <c r="AC5" s="853"/>
      <c r="AD5" s="853"/>
      <c r="AE5" s="645"/>
      <c r="AF5" s="645"/>
      <c r="AG5" s="645"/>
      <c r="AH5" s="645"/>
      <c r="AI5" s="642"/>
      <c r="AJ5" s="665"/>
      <c r="AK5" s="665"/>
      <c r="AL5" s="665"/>
      <c r="AM5" s="665"/>
      <c r="AN5" s="665"/>
      <c r="AO5" s="665"/>
      <c r="AP5" s="665"/>
      <c r="AQ5" s="665"/>
      <c r="AR5" s="665"/>
      <c r="AS5" s="665"/>
    </row>
    <row s="8523" customFormat="1" customHeight="1" ht="11.25">
      <c r="A6" s="633"/>
      <c r="C6" s="640"/>
      <c r="D6" s="639"/>
      <c r="E6" s="639"/>
      <c r="F6" s="639"/>
      <c r="G6" s="639"/>
      <c r="H6" s="639"/>
      <c r="I6" s="639"/>
      <c r="J6" s="639"/>
      <c r="K6" s="639"/>
      <c r="L6" s="639"/>
      <c r="M6" s="639"/>
      <c r="N6" s="639"/>
      <c r="O6" s="639"/>
      <c r="P6" s="639"/>
      <c r="Q6" s="639"/>
      <c r="R6" s="906"/>
      <c r="S6" s="906"/>
      <c r="T6" s="639"/>
      <c r="U6" s="639"/>
      <c r="V6" s="866"/>
      <c r="W6" s="866"/>
      <c r="X6" s="639"/>
      <c r="Y6" s="639"/>
      <c r="Z6" s="866"/>
      <c r="AA6" s="866"/>
      <c r="AB6" s="639"/>
      <c r="AC6" s="866"/>
      <c r="AD6" s="866"/>
      <c r="AE6" s="639"/>
      <c r="AF6" s="639"/>
      <c r="AG6" s="639"/>
      <c r="AH6" s="639"/>
      <c r="AJ6" s="643"/>
      <c r="AK6" s="643"/>
      <c r="AL6" s="643"/>
      <c r="AM6" s="643"/>
      <c r="AN6" s="643"/>
      <c r="AO6" s="643"/>
      <c r="AP6" s="643"/>
      <c r="AQ6" s="643"/>
      <c r="AR6" s="643"/>
      <c r="AS6" s="643"/>
    </row>
    <row customHeight="1" ht="14.25">
      <c r="C7" s="604"/>
      <c r="D7" s="2281" t="s">
        <v>300</v>
      </c>
      <c r="E7" s="2296"/>
      <c r="F7" s="2296"/>
      <c r="G7" s="2296"/>
      <c r="H7" s="2296"/>
      <c r="I7" s="2296"/>
      <c r="J7" s="2296"/>
      <c r="K7" s="2296"/>
      <c r="L7" s="2296"/>
      <c r="M7" s="2296"/>
      <c r="N7" s="2296"/>
      <c r="O7" s="2296"/>
      <c r="P7" s="2296"/>
      <c r="Q7" s="2296"/>
      <c r="R7" s="2296"/>
      <c r="S7" s="2296"/>
      <c r="T7" s="2296"/>
      <c r="U7" s="2296"/>
      <c r="V7" s="2296"/>
      <c r="W7" s="2296"/>
      <c r="X7" s="2296"/>
      <c r="Y7" s="2296"/>
      <c r="Z7" s="2296"/>
      <c r="AA7" s="2296"/>
      <c r="AB7" s="2296"/>
      <c r="AC7" s="2296"/>
      <c r="AD7" s="2297"/>
      <c r="AE7" s="2280" t="s">
        <v>301</v>
      </c>
      <c r="AF7" s="2280" t="s">
        <v>301</v>
      </c>
      <c r="AG7" s="2280" t="s">
        <v>301</v>
      </c>
      <c r="AH7" s="2280" t="s">
        <v>301</v>
      </c>
    </row>
    <row customHeight="1" ht="25.5">
      <c r="C8" s="604"/>
      <c r="D8" s="2185" t="s">
        <v>85</v>
      </c>
      <c r="E8" s="2280" t="str">
        <f>"Наименование "&amp;IF(TEMPLATE_SPHERE&lt;&gt;"HEAT","централизованной ","")&amp;"системы "&amp;TEMPLATE_SPHERE_RUS</f>
        <v>Наименование централизованной системы горячего водоснабжения</v>
      </c>
      <c r="F8" s="2280" t="str">
        <f>IF(TEMPLATE_SPHERE&lt;&gt;"HEAT","Регулируемый вид деятельности","Вид регулируемой деятельности")</f>
        <v>Регулируемый вид деятельности</v>
      </c>
      <c r="G8" s="982"/>
      <c r="H8" s="2286" t="s">
        <v>357</v>
      </c>
      <c r="I8" s="2288" t="s">
        <v>358</v>
      </c>
      <c r="J8" s="2280" t="s">
        <v>359</v>
      </c>
      <c r="K8" s="2280"/>
      <c r="L8" s="2280"/>
      <c r="M8" s="2281"/>
      <c r="N8" s="2280" t="s">
        <v>360</v>
      </c>
      <c r="O8" s="2280"/>
      <c r="P8" s="2280" t="s">
        <v>361</v>
      </c>
      <c r="Q8" s="2280"/>
      <c r="R8" s="2284" t="s">
        <v>362</v>
      </c>
      <c r="S8" s="978"/>
      <c r="T8" s="2282" t="s">
        <v>363</v>
      </c>
      <c r="U8" s="2282" t="s">
        <v>364</v>
      </c>
      <c r="V8" s="2282" t="s">
        <v>365</v>
      </c>
      <c r="W8" s="980"/>
      <c r="X8" s="2282" t="s">
        <v>366</v>
      </c>
      <c r="Y8" s="2282" t="s">
        <v>367</v>
      </c>
      <c r="Z8" s="2282" t="s">
        <v>368</v>
      </c>
      <c r="AA8" s="980"/>
      <c r="AB8" s="2282" t="s">
        <v>369</v>
      </c>
      <c r="AC8" s="2282" t="s">
        <v>362</v>
      </c>
      <c r="AD8" s="980"/>
      <c r="AE8" s="2280"/>
      <c r="AF8" s="2280"/>
      <c r="AG8" s="2280"/>
      <c r="AH8" s="2280"/>
    </row>
    <row customHeight="1" ht="43.5">
      <c r="C9" s="604"/>
      <c r="D9" s="2185"/>
      <c r="E9" s="2280"/>
      <c r="F9" s="2280"/>
      <c r="G9" s="983"/>
      <c r="H9" s="2287"/>
      <c r="I9" s="2289"/>
      <c r="J9" s="579" t="s">
        <v>370</v>
      </c>
      <c r="K9" s="579" t="s">
        <v>371</v>
      </c>
      <c r="L9" s="579" t="s">
        <v>372</v>
      </c>
      <c r="M9" s="585" t="s">
        <v>373</v>
      </c>
      <c r="N9" s="579" t="s">
        <v>374</v>
      </c>
      <c r="O9" s="579" t="s">
        <v>373</v>
      </c>
      <c r="P9" s="579" t="s">
        <v>375</v>
      </c>
      <c r="Q9" s="579" t="s">
        <v>373</v>
      </c>
      <c r="R9" s="2285"/>
      <c r="S9" s="979"/>
      <c r="T9" s="2283"/>
      <c r="U9" s="2283"/>
      <c r="V9" s="2283"/>
      <c r="W9" s="981"/>
      <c r="X9" s="2283"/>
      <c r="Y9" s="2283"/>
      <c r="Z9" s="2283"/>
      <c r="AA9" s="981"/>
      <c r="AB9" s="2283"/>
      <c r="AC9" s="2283"/>
      <c r="AD9" s="981"/>
      <c r="AE9" s="2280"/>
      <c r="AF9" s="2280"/>
      <c r="AG9" s="2280"/>
      <c r="AH9" s="2280"/>
    </row>
    <row customHeight="1" ht="12" hidden="1">
      <c r="C10" s="641"/>
      <c r="D10" s="602"/>
      <c r="E10" s="602"/>
      <c r="F10" s="602"/>
      <c r="G10" s="602"/>
      <c r="H10" s="602"/>
      <c r="I10" s="602"/>
      <c r="J10" s="602"/>
      <c r="K10" s="602"/>
      <c r="L10" s="602"/>
      <c r="M10" s="602"/>
      <c r="N10" s="602"/>
      <c r="O10" s="602"/>
      <c r="P10" s="602"/>
      <c r="Q10" s="602"/>
      <c r="R10" s="602"/>
      <c r="S10" s="602"/>
      <c r="T10" s="602"/>
      <c r="U10" s="602"/>
      <c r="V10" s="602"/>
      <c r="W10" s="602"/>
      <c r="X10" s="602"/>
      <c r="Y10" s="602"/>
      <c r="Z10" s="602"/>
      <c r="AA10" s="602"/>
      <c r="AB10" s="602"/>
      <c r="AC10" s="602"/>
      <c r="AD10" s="602"/>
      <c r="AE10" s="602"/>
      <c r="AF10" s="602"/>
      <c r="AG10" s="602"/>
      <c r="AH10" s="602"/>
      <c r="AI10" s="601"/>
      <c r="AP10" s="654"/>
      <c r="AQ10" s="654"/>
    </row>
    <row s="8552" customFormat="1" customHeight="1" ht="11.25" hidden="1">
      <c r="C11" s="652"/>
      <c r="D11" s="653" t="s">
        <v>376</v>
      </c>
      <c r="E11" s="653"/>
      <c r="F11" s="653"/>
      <c r="G11" s="653"/>
      <c r="H11" s="651"/>
      <c r="I11" s="651"/>
      <c r="J11" s="651"/>
      <c r="K11" s="651"/>
      <c r="L11" s="651"/>
      <c r="M11" s="651"/>
      <c r="N11" s="651"/>
      <c r="O11" s="651"/>
      <c r="P11" s="651"/>
      <c r="Q11" s="651"/>
      <c r="R11" s="651"/>
      <c r="S11" s="651"/>
      <c r="T11" s="651"/>
      <c r="U11" s="651"/>
      <c r="V11" s="651"/>
      <c r="W11" s="651"/>
      <c r="X11" s="651"/>
      <c r="Y11" s="651"/>
      <c r="Z11" s="651"/>
      <c r="AA11" s="651"/>
      <c r="AB11" s="651"/>
      <c r="AC11" s="651"/>
      <c r="AD11" s="651"/>
      <c r="AE11" s="589"/>
      <c r="AF11" s="589"/>
      <c r="AG11" s="589"/>
      <c r="AH11" s="589"/>
      <c r="AJ11" s="643"/>
      <c r="AK11" s="643"/>
      <c r="AL11" s="643"/>
      <c r="AM11" s="643"/>
      <c r="AN11" s="643"/>
      <c r="AO11" s="643"/>
      <c r="AP11" s="643"/>
      <c r="AQ11" s="643"/>
      <c r="AR11" s="643"/>
      <c r="AS11" s="643"/>
    </row>
    <row customHeight="1" ht="14.25">
      <c r="A12" s="601"/>
      <c r="C12" s="604"/>
      <c r="D12" s="588" t="s">
        <v>106</v>
      </c>
      <c r="E12" s="1936" t="s">
        <v>24</v>
      </c>
      <c r="F12" s="1009"/>
      <c r="G12" s="1010"/>
      <c r="H12" s="1937"/>
      <c r="I12" s="1937"/>
      <c r="J12" s="587"/>
      <c r="K12" s="2023"/>
      <c r="L12" s="586"/>
      <c r="M12" s="2023"/>
      <c r="N12" s="587"/>
      <c r="O12" s="2023"/>
      <c r="P12" s="587"/>
      <c r="Q12" s="2023"/>
      <c r="R12" s="587"/>
      <c r="S12" s="1008"/>
      <c r="T12" s="1937"/>
      <c r="U12" s="587"/>
      <c r="V12" s="587"/>
      <c r="W12" s="981"/>
      <c r="X12" s="1937"/>
      <c r="Y12" s="587"/>
      <c r="Z12" s="587"/>
      <c r="AA12" s="981"/>
      <c r="AB12" s="1937"/>
      <c r="AC12" s="587"/>
      <c r="AD12" s="981"/>
      <c r="AE12" s="2290" t="s">
        <v>377</v>
      </c>
      <c r="AF12" s="2290" t="s">
        <v>378</v>
      </c>
      <c r="AG12" s="2290" t="s">
        <v>379</v>
      </c>
      <c r="AH12" s="2290" t="s">
        <v>380</v>
      </c>
      <c r="AI12" s="601"/>
      <c r="AM12" s="665"/>
      <c r="AP12" s="654" t="s">
        <v>381</v>
      </c>
      <c r="AQ12" s="654" t="s">
        <v>381</v>
      </c>
    </row>
    <row customHeight="1" ht="17.25">
      <c r="A13" s="601"/>
      <c r="C13" s="604"/>
      <c r="D13" s="559"/>
      <c r="E13" s="1023" t="str">
        <f>IF(TITLE_DIFFERENTIATION_TYPE="нет","","Добавить систему")</f>
        <v/>
      </c>
      <c r="F13" s="1023" t="str">
        <f>IF(TITLE_DIFFERENTIATION_TYPE="нет","Добавить вид деятельности","")</f>
        <v>Добавить вид деятельности</v>
      </c>
      <c r="G13" s="467"/>
      <c r="H13" s="560"/>
      <c r="I13" s="560"/>
      <c r="J13" s="560"/>
      <c r="K13" s="560"/>
      <c r="L13" s="560"/>
      <c r="M13" s="560"/>
      <c r="N13" s="560"/>
      <c r="O13" s="560"/>
      <c r="P13" s="560"/>
      <c r="Q13" s="560"/>
      <c r="R13" s="560"/>
      <c r="S13" s="560"/>
      <c r="T13" s="560"/>
      <c r="U13" s="560"/>
      <c r="V13" s="560"/>
      <c r="W13" s="560"/>
      <c r="X13" s="560"/>
      <c r="Y13" s="560"/>
      <c r="Z13" s="560"/>
      <c r="AA13" s="560"/>
      <c r="AB13" s="560"/>
      <c r="AC13" s="560"/>
      <c r="AD13" s="1011"/>
      <c r="AE13" s="2291"/>
      <c r="AF13" s="2291"/>
      <c r="AG13" s="2291"/>
      <c r="AH13" s="2291"/>
      <c r="AI13" s="601"/>
    </row>
    <row customHeight="1" ht="14.25">
      <c r="AI14" s="601"/>
    </row>
    <row customHeight="1" ht="14.25">
      <c r="E15" s="912"/>
      <c r="L15" s="912"/>
    </row>
    <row customHeight="1" ht="14.25">
      <c r="L16" s="912"/>
    </row>
    <row customHeight="1" ht="14.25">
      <c r="L17" s="912"/>
    </row>
  </sheetData>
  <sheetProtection formatColumns="0" formatRows="0" autoFilter="0" sort="0" insertRows="0" insertColumns="1" deleteRows="0" deleteColumns="0"/>
  <mergeCells count="32">
    <mergeCell ref="D5:R5"/>
    <mergeCell ref="H1:R1"/>
    <mergeCell ref="D7:AD7"/>
    <mergeCell ref="X1:Z1"/>
    <mergeCell ref="T1:V1"/>
    <mergeCell ref="AB1:AC1"/>
    <mergeCell ref="D4:R4"/>
    <mergeCell ref="AE12:AE13"/>
    <mergeCell ref="AG7:AG9"/>
    <mergeCell ref="AG12:AG13"/>
    <mergeCell ref="AH7:AH9"/>
    <mergeCell ref="AH12:AH13"/>
    <mergeCell ref="AF12:AF13"/>
    <mergeCell ref="AF7:AF9"/>
    <mergeCell ref="AE7:AE9"/>
    <mergeCell ref="D8:D9"/>
    <mergeCell ref="E8:E9"/>
    <mergeCell ref="F8:F9"/>
    <mergeCell ref="H8:H9"/>
    <mergeCell ref="I8:I9"/>
    <mergeCell ref="J8:M8"/>
    <mergeCell ref="N8:O8"/>
    <mergeCell ref="AB8:AB9"/>
    <mergeCell ref="AC8:AC9"/>
    <mergeCell ref="T8:T9"/>
    <mergeCell ref="U8:U9"/>
    <mergeCell ref="V8:V9"/>
    <mergeCell ref="P8:Q8"/>
    <mergeCell ref="R8:R9"/>
    <mergeCell ref="X8:X9"/>
    <mergeCell ref="Y8:Y9"/>
    <mergeCell ref="Z8:Z9"/>
  </mergeCells>
  <dataValidations count="6">
    <dataValidation type="list" allowBlank="1" showInputMessage="1" showErrorMessage="1" errorTitle="Ошибка" error="Выберите значение из списка" prompt="Выберите значение из списка" sqref="L12">
      <formula1>kind_of_power_te_unit</formula1>
    </dataValidation>
    <dataValidation type="whole" allowBlank="1" showErrorMessage="1" errorTitle="Ошибка" error="Допускается ввод только неотрицательных целых чисел!" sqref="N12 P12 U12:V12 Y12:Z12 J12 R12:S12 AC12">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12"/>
    <dataValidation type="textLength" operator="lessThanOrEqual" allowBlank="1" showInputMessage="1" showErrorMessage="1" errorTitle="Ошибка" error="Допускается ввод не более 900 символов!" sqref="E12">
      <formula1>900</formula1>
    </dataValidation>
    <dataValidation type="decimal" allowBlank="1" showErrorMessage="1" errorTitle="Ошибка" error="Допускается ввод только неотрицательных чисел!" sqref="H11:AD11 T12 H12:I12 AB12 X12 K12 M12 O12 Q12">
      <formula1>0</formula1>
      <formula2>9.99999999999999E+23</formula2>
    </dataValidation>
    <dataValidation allowBlank="1" showErrorMessage="1" errorTitle="Ошибка" error="Допускается ввод только неотрицательных чисел!" sqref="E11:G11"/>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D929848-78B2-6CD2-B04C-6FFCBD15ED05}" mc:Ignorable="x14ac xr xr2 xr3">
  <sheetPr>
    <tabColor theme="3" tint="0.6"/>
  </sheetPr>
  <dimension ref="A1:U17"/>
  <sheetViews>
    <sheetView topLeftCell="A1" showGridLines="0" zoomScale="90" workbookViewId="0">
      <selection activeCell="A1" sqref="A1"/>
    </sheetView>
  </sheetViews>
  <sheetFormatPr defaultColWidth="10.57421875" customHeight="1" defaultRowHeight="14.25"/>
  <cols>
    <col min="1" max="1" style="8602" width="9.140625" hidden="1" customWidth="1"/>
    <col min="2" max="2" style="8603" width="9.140625" hidden="1" customWidth="1"/>
    <col min="3" max="3" style="8575" width="3.7109375" customWidth="1"/>
    <col min="4" max="4" style="8603" width="5.57421875" customWidth="1"/>
    <col min="5" max="5" style="8603" width="38.140625" customWidth="1"/>
    <col min="6" max="7" style="8603" width="3.7109375" customWidth="1"/>
    <col min="8" max="8" style="8603" width="38.28125" customWidth="1"/>
    <col min="9" max="9" style="8603" width="35.7109375" customWidth="1"/>
    <col min="10" max="10" style="8603" width="103.7109375" customWidth="1"/>
    <col min="11" max="11" style="8362" width="3.7109375" customWidth="1"/>
    <col min="12" max="14" style="8604" width="10.57421875"/>
    <col min="15" max="15" style="8604" width="13.7109375" customWidth="1"/>
    <col min="16" max="16" style="8604" width="15.421875" customWidth="1"/>
    <col min="17" max="17" style="8604" width="16.28125" customWidth="1"/>
    <col min="18" max="21" style="8604" width="10.57421875"/>
  </cols>
  <sheetData>
    <row customHeight="1" ht="14.25" hidden="1">
      <c r="E1" s="566"/>
      <c r="F1" s="566"/>
      <c r="G1" s="566"/>
      <c r="H1" s="2295" t="s">
        <v>352</v>
      </c>
      <c r="I1" s="2295"/>
    </row>
    <row s="8579" customFormat="1" customHeight="1" ht="14.25" hidden="1">
      <c r="C2" s="1778"/>
      <c r="D2" s="2299" t="s">
        <v>106</v>
      </c>
      <c r="E2" s="2301"/>
      <c r="F2" s="1784"/>
      <c r="G2" s="1779" t="s">
        <v>106</v>
      </c>
      <c r="H2" s="1782"/>
      <c r="I2" s="1780"/>
      <c r="L2" s="1781"/>
      <c r="M2" s="1781"/>
      <c r="N2" s="1781"/>
      <c r="O2" s="1781" t="s">
        <v>382</v>
      </c>
      <c r="P2" s="1781"/>
      <c r="Q2" s="1781"/>
      <c r="R2" s="1783" t="s">
        <v>381</v>
      </c>
      <c r="S2" s="1783" t="s">
        <v>381</v>
      </c>
      <c r="T2" s="1781"/>
      <c r="U2" s="1781"/>
    </row>
    <row s="8579" customFormat="1" customHeight="1" ht="14.25" hidden="1">
      <c r="C3" s="1778"/>
      <c r="D3" s="2300"/>
      <c r="E3" s="2302"/>
      <c r="F3" s="559"/>
      <c r="G3" s="1023"/>
      <c r="H3" s="1023" t="s">
        <v>383</v>
      </c>
      <c r="I3" s="467"/>
      <c r="L3" s="1781"/>
      <c r="M3" s="1781"/>
      <c r="N3" s="1781"/>
      <c r="O3" s="1781"/>
      <c r="P3" s="1781"/>
      <c r="Q3" s="1781"/>
      <c r="R3" s="1783"/>
      <c r="S3" s="1783"/>
      <c r="T3" s="1781"/>
      <c r="U3" s="1781"/>
    </row>
    <row customHeight="1" ht="14.25" hidden="1"/>
    <row s="8591" customFormat="1" customHeight="1" ht="6">
      <c r="C5" s="855"/>
      <c r="D5" s="856"/>
      <c r="E5" s="856"/>
      <c r="F5" s="856"/>
      <c r="G5" s="856"/>
      <c r="H5" s="856" t="s">
        <v>356</v>
      </c>
      <c r="I5" s="856"/>
      <c r="J5" s="856"/>
      <c r="L5" s="1773"/>
      <c r="M5" s="1773"/>
      <c r="N5" s="1773"/>
      <c r="O5" s="1773"/>
      <c r="P5" s="1773"/>
      <c r="Q5" s="1773"/>
      <c r="R5" s="1773"/>
      <c r="S5" s="1773"/>
      <c r="T5" s="1773"/>
      <c r="U5" s="1773"/>
    </row>
    <row customHeight="1" ht="27.75">
      <c r="C6" s="1675"/>
      <c r="D6" s="2298" t="s">
        <v>384</v>
      </c>
      <c r="E6" s="2298"/>
      <c r="F6" s="2298"/>
      <c r="G6" s="2298"/>
      <c r="H6" s="2298"/>
      <c r="I6" s="2298"/>
      <c r="J6" s="645"/>
      <c r="K6" s="1774"/>
    </row>
    <row customHeight="1" ht="17.25">
      <c r="C7" s="1675"/>
      <c r="D7" s="2267" t="str">
        <f>IF(org=0,"Не определено",org)</f>
        <v>АО "Теплокоммунэнерго"</v>
      </c>
      <c r="E7" s="2267"/>
      <c r="F7" s="2267"/>
      <c r="G7" s="2267"/>
      <c r="H7" s="2267"/>
      <c r="I7" s="2267"/>
      <c r="J7" s="645"/>
      <c r="K7" s="1774"/>
    </row>
    <row s="8596" customFormat="1" customHeight="1" ht="6">
      <c r="A8" s="1770"/>
      <c r="C8" s="640"/>
      <c r="D8" s="639"/>
      <c r="E8" s="639"/>
      <c r="F8" s="639"/>
      <c r="G8" s="639"/>
      <c r="H8" s="639"/>
      <c r="I8" s="639"/>
      <c r="J8" s="639"/>
      <c r="L8" s="1773"/>
      <c r="M8" s="1773"/>
      <c r="N8" s="1773"/>
      <c r="O8" s="1773"/>
      <c r="P8" s="1773"/>
      <c r="Q8" s="1773"/>
      <c r="R8" s="1773"/>
      <c r="S8" s="1773"/>
      <c r="T8" s="1773"/>
      <c r="U8" s="1773"/>
    </row>
    <row s="8596" customFormat="1" customHeight="1" ht="6">
      <c r="A9" s="1770"/>
      <c r="C9" s="640"/>
      <c r="D9" s="639"/>
      <c r="E9" s="639"/>
      <c r="F9" s="639"/>
      <c r="G9" s="639"/>
      <c r="H9" s="639"/>
      <c r="I9" s="639"/>
      <c r="J9" s="639"/>
      <c r="L9" s="1781"/>
      <c r="M9" s="1781"/>
      <c r="N9" s="1781"/>
      <c r="O9" s="1781"/>
      <c r="P9" s="1781"/>
      <c r="Q9" s="1781"/>
      <c r="R9" s="1781"/>
      <c r="S9" s="1781"/>
      <c r="T9" s="1781"/>
      <c r="U9" s="1781"/>
    </row>
    <row customHeight="1" ht="14.25">
      <c r="C10" s="1675"/>
      <c r="D10" s="2281" t="s">
        <v>300</v>
      </c>
      <c r="E10" s="2296"/>
      <c r="F10" s="2296"/>
      <c r="G10" s="2296"/>
      <c r="H10" s="2296"/>
      <c r="I10" s="2296"/>
      <c r="J10" s="2280" t="s">
        <v>301</v>
      </c>
    </row>
    <row customHeight="1" ht="25.5">
      <c r="C11" s="1675"/>
      <c r="D11" s="2185" t="s">
        <v>85</v>
      </c>
      <c r="E11" s="2280" t="s">
        <v>102</v>
      </c>
      <c r="F11" s="2243" t="s">
        <v>85</v>
      </c>
      <c r="G11" s="2244"/>
      <c r="H11" s="2242" t="s">
        <v>385</v>
      </c>
      <c r="I11" s="2242" t="s">
        <v>386</v>
      </c>
      <c r="J11" s="2280"/>
    </row>
    <row customHeight="1" ht="14.25">
      <c r="C12" s="1675"/>
      <c r="D12" s="2185"/>
      <c r="E12" s="2280"/>
      <c r="F12" s="2251"/>
      <c r="G12" s="2252"/>
      <c r="H12" s="2303"/>
      <c r="I12" s="2303"/>
      <c r="J12" s="2280"/>
    </row>
    <row s="8552" customFormat="1" customHeight="1" ht="11.25" hidden="1">
      <c r="C13" s="652"/>
      <c r="D13" s="653" t="s">
        <v>376</v>
      </c>
      <c r="E13" s="653"/>
      <c r="F13" s="653"/>
      <c r="G13" s="653"/>
      <c r="H13" s="651"/>
      <c r="I13" s="651"/>
      <c r="J13" s="589"/>
      <c r="L13" s="1773"/>
      <c r="M13" s="1773"/>
      <c r="N13" s="1773"/>
      <c r="O13" s="1773"/>
      <c r="P13" s="1773"/>
      <c r="Q13" s="1773"/>
      <c r="R13" s="1773"/>
      <c r="S13" s="1773"/>
      <c r="T13" s="1773"/>
      <c r="U13" s="1773"/>
    </row>
    <row customHeight="1" ht="14.25">
      <c r="A14" s="1766"/>
      <c r="C14" s="1675"/>
      <c r="D14" s="2299" t="s">
        <v>106</v>
      </c>
      <c r="E14" s="2301"/>
      <c r="F14" s="1776"/>
      <c r="G14" s="1775" t="s">
        <v>106</v>
      </c>
      <c r="H14" s="1782"/>
      <c r="I14" s="1780"/>
      <c r="J14" s="2229" t="s">
        <v>387</v>
      </c>
      <c r="K14" s="1766"/>
      <c r="R14" s="654" t="s">
        <v>381</v>
      </c>
      <c r="S14" s="654" t="s">
        <v>381</v>
      </c>
    </row>
    <row customHeight="1" ht="14.25">
      <c r="A15" s="1766"/>
      <c r="C15" s="1675"/>
      <c r="D15" s="2300"/>
      <c r="E15" s="2302"/>
      <c r="F15" s="559"/>
      <c r="G15" s="1023"/>
      <c r="H15" s="1023" t="s">
        <v>383</v>
      </c>
      <c r="I15" s="467"/>
      <c r="J15" s="2230"/>
      <c r="K15" s="1766"/>
      <c r="R15" s="654"/>
      <c r="S15" s="654"/>
    </row>
    <row customHeight="1" ht="14.25">
      <c r="A16" s="1766"/>
      <c r="C16" s="1675"/>
      <c r="D16" s="559"/>
      <c r="E16" s="1023" t="s">
        <v>118</v>
      </c>
      <c r="F16" s="467"/>
      <c r="G16" s="467"/>
      <c r="H16" s="560"/>
      <c r="I16" s="560"/>
      <c r="J16" s="2231"/>
      <c r="K16" s="1766"/>
    </row>
    <row customHeight="1" ht="14.25">
      <c r="K17" s="1766"/>
    </row>
  </sheetData>
  <sheetProtection formatColumns="0" formatRows="0" autoFilter="0" sort="0" insertRows="0" insertColumns="1" deleteRows="0" deleteColumns="0"/>
  <mergeCells count="15">
    <mergeCell ref="J14:J16"/>
    <mergeCell ref="D10:I10"/>
    <mergeCell ref="J10:J12"/>
    <mergeCell ref="D11:D12"/>
    <mergeCell ref="E11:E12"/>
    <mergeCell ref="F11:G12"/>
    <mergeCell ref="H11:H12"/>
    <mergeCell ref="I11:I12"/>
    <mergeCell ref="D14:D15"/>
    <mergeCell ref="E14:E15"/>
    <mergeCell ref="H1:I1"/>
    <mergeCell ref="D6:I6"/>
    <mergeCell ref="D7:I7"/>
    <mergeCell ref="D2:D3"/>
    <mergeCell ref="E2:E3"/>
  </mergeCells>
  <dataValidations count="5">
    <dataValidation type="textLength" operator="lessThanOrEqual" allowBlank="1" showInputMessage="1" showErrorMessage="1" errorTitle="Ошибка" error="Допускается ввод не более 900 символов!" sqref="H14 H2">
      <formula1>900</formula1>
    </dataValidation>
    <dataValidation allowBlank="1" showErrorMessage="1" errorTitle="Ошибка" error="Допускается ввод только неотрицательных чисел!" sqref="E13:G13"/>
    <dataValidation type="decimal" allowBlank="1" showErrorMessage="1" errorTitle="Ошибка" error="Допускается ввод только неотрицательных чисел!" sqref="H13:I13">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E14 E2"/>
    <dataValidation type="whole" allowBlank="1" showErrorMessage="1" errorTitle="Ошибка" error="Допускается ввод только неотрицательных целых чисел!" sqref="I14 I2">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F605CA5-F717-A414-43DB-91534BB470B2}" mc:Ignorable="x14ac xr xr2 xr3">
  <sheetPr>
    <tabColor theme="3" tint="0.6"/>
  </sheetPr>
  <dimension ref="A1:V18"/>
  <sheetViews>
    <sheetView topLeftCell="A1" showGridLines="0" zoomScale="90" workbookViewId="0">
      <selection activeCell="A1" sqref="A1"/>
    </sheetView>
  </sheetViews>
  <sheetFormatPr defaultColWidth="10.57421875" customHeight="1" defaultRowHeight="14.25"/>
  <cols>
    <col min="1" max="1" style="8573" width="9.140625" hidden="1" customWidth="1"/>
    <col min="2" max="2" style="8574" width="9.140625" hidden="1" customWidth="1"/>
    <col min="3" max="3" style="8080" width="9.140625" hidden="1" customWidth="1"/>
    <col min="4" max="4" style="8575" width="3.7109375" customWidth="1"/>
    <col min="5" max="5" style="8574" width="6.28125" customWidth="1"/>
    <col min="6" max="6" style="8080" width="1.7109375" hidden="1" customWidth="1"/>
    <col min="7" max="8" style="8574" width="30.7109375" customWidth="1"/>
    <col min="9" max="9" style="8574" width="9.00390625" customWidth="1"/>
    <col min="10" max="10" style="8574" width="12.140625" customWidth="1"/>
    <col min="11" max="11" style="8574" width="46.7109375" customWidth="1"/>
    <col min="12" max="12" style="8574" width="100.28125" customWidth="1"/>
    <col min="13" max="13" style="8577" width="7.57421875" customWidth="1"/>
    <col min="14" max="22" style="8574" width="10.57421875"/>
  </cols>
  <sheetData>
    <row s="8578" customFormat="1" customHeight="1" ht="5.25" hidden="1">
      <c r="C1" s="665"/>
      <c r="D1" s="648"/>
      <c r="F1" s="665"/>
      <c r="G1" s="643" t="s">
        <v>80</v>
      </c>
      <c r="H1" s="643" t="s">
        <v>81</v>
      </c>
      <c r="I1" s="643" t="s">
        <v>82</v>
      </c>
      <c r="P1" s="643" t="s">
        <v>80</v>
      </c>
      <c r="Q1" s="643" t="s">
        <v>81</v>
      </c>
      <c r="R1" s="643" t="s">
        <v>82</v>
      </c>
    </row>
    <row s="8578" customFormat="1" customHeight="1" ht="5.25" hidden="1">
      <c r="C2" s="665"/>
      <c r="D2" s="648"/>
      <c r="F2" s="665"/>
    </row>
    <row s="8523" customFormat="1" customHeight="1" ht="6">
      <c r="A3" s="633"/>
      <c r="D3" s="640"/>
      <c r="E3" s="635"/>
      <c r="F3" s="635"/>
      <c r="G3" s="635"/>
      <c r="H3" s="635"/>
      <c r="I3" s="636"/>
      <c r="J3" s="637"/>
      <c r="K3" s="637"/>
      <c r="L3" s="637"/>
    </row>
    <row customHeight="1" ht="22.5">
      <c r="D4" s="604"/>
      <c r="E4" s="2304" t="s">
        <v>388</v>
      </c>
      <c r="F4" s="2304"/>
      <c r="G4" s="2305"/>
      <c r="H4" s="2305"/>
      <c r="I4" s="2306"/>
      <c r="J4" s="645"/>
      <c r="K4" s="607"/>
      <c r="L4" s="607"/>
    </row>
    <row s="8080" customFormat="1" customHeight="1" ht="17.25">
      <c r="A5" s="913"/>
      <c r="D5" s="976"/>
      <c r="E5" s="2292" t="str">
        <f>IF(org=0,"Не определено",org)</f>
        <v>АО "Теплокоммунэнерго"</v>
      </c>
      <c r="F5" s="2292"/>
      <c r="G5" s="2293"/>
      <c r="H5" s="2293"/>
      <c r="I5" s="2294"/>
      <c r="J5" s="645"/>
      <c r="K5" s="607"/>
      <c r="L5" s="607"/>
      <c r="M5" s="661"/>
    </row>
    <row s="8523" customFormat="1" customHeight="1" ht="11.25">
      <c r="A6" s="633"/>
      <c r="D6" s="640"/>
      <c r="E6" s="635"/>
      <c r="F6" s="635"/>
      <c r="G6" s="638"/>
      <c r="H6" s="638"/>
      <c r="I6" s="639"/>
      <c r="J6" s="639"/>
      <c r="K6" s="906"/>
      <c r="L6" s="639"/>
    </row>
    <row customHeight="1" ht="14.25">
      <c r="D7" s="604"/>
      <c r="E7" s="2274" t="s">
        <v>300</v>
      </c>
      <c r="F7" s="2274"/>
      <c r="G7" s="2275"/>
      <c r="H7" s="2275"/>
      <c r="I7" s="2275"/>
      <c r="J7" s="2275"/>
      <c r="K7" s="2275"/>
      <c r="L7" s="2280" t="s">
        <v>301</v>
      </c>
    </row>
    <row customHeight="1" ht="45">
      <c r="D8" s="604"/>
      <c r="E8" s="627" t="s">
        <v>85</v>
      </c>
      <c r="F8" s="977"/>
      <c r="G8" s="619" t="s">
        <v>83</v>
      </c>
      <c r="H8" s="619" t="s">
        <v>84</v>
      </c>
      <c r="I8" s="568" t="s">
        <v>82</v>
      </c>
      <c r="J8" s="568" t="s">
        <v>389</v>
      </c>
      <c r="K8" s="568" t="s">
        <v>390</v>
      </c>
      <c r="L8" s="2280"/>
    </row>
    <row customHeight="1" ht="12" hidden="1">
      <c r="D9" s="641"/>
      <c r="E9" s="647"/>
      <c r="F9" s="984"/>
      <c r="G9" s="647"/>
      <c r="H9" s="647"/>
      <c r="I9" s="647"/>
      <c r="J9" s="647"/>
      <c r="K9" s="647"/>
      <c r="L9" s="647"/>
      <c r="M9" s="601"/>
    </row>
    <row customHeight="1" ht="14.25" hidden="1">
      <c r="A10" s="659"/>
      <c r="B10" s="659"/>
      <c r="D10" s="660"/>
      <c r="E10" s="666">
        <v>0</v>
      </c>
      <c r="F10" s="975"/>
      <c r="G10" s="662"/>
      <c r="H10" s="662"/>
      <c r="I10" s="662"/>
      <c r="J10" s="662"/>
      <c r="K10" s="662"/>
      <c r="L10" s="2290" t="s">
        <v>391</v>
      </c>
      <c r="M10" s="661"/>
      <c r="N10" s="659"/>
      <c r="O10" s="659"/>
      <c r="P10" s="659"/>
      <c r="Q10" s="659"/>
      <c r="R10" s="659"/>
      <c r="S10" s="659"/>
      <c r="T10" s="659"/>
      <c r="U10" s="659"/>
      <c r="V10" s="659"/>
    </row>
    <row customHeight="1" ht="15" hidden="1">
      <c r="A11" s="2167"/>
      <c r="B11" s="658"/>
      <c r="C11" s="658"/>
      <c r="D11" s="1019"/>
      <c r="E11" s="667"/>
      <c r="F11" s="667"/>
      <c r="G11" s="667"/>
      <c r="H11" s="667"/>
      <c r="I11" s="668"/>
      <c r="J11" s="669"/>
      <c r="K11" s="867"/>
      <c r="L11" s="2307"/>
      <c r="M11" s="665"/>
      <c r="N11" s="665"/>
      <c r="O11" s="665"/>
      <c r="P11" s="670"/>
      <c r="Q11" s="670"/>
      <c r="R11" s="671"/>
      <c r="S11" s="665"/>
      <c r="T11" s="665"/>
      <c r="U11" s="665"/>
      <c r="V11" s="665"/>
    </row>
    <row s="8523" customFormat="1" customHeight="1" ht="14.25">
      <c r="A12" s="2167"/>
      <c r="B12" s="658"/>
      <c r="C12" s="658"/>
      <c r="D12" s="1020"/>
      <c r="E12" s="977">
        <v>1</v>
      </c>
      <c r="F12" s="1018">
        <v>23</v>
      </c>
      <c r="G12" s="1017"/>
      <c r="H12" s="947"/>
      <c r="I12" s="945"/>
      <c r="J12" s="674" t="s">
        <v>64</v>
      </c>
      <c r="K12" s="1320" t="s">
        <v>24</v>
      </c>
      <c r="L12" s="2307"/>
      <c r="M12" s="665"/>
      <c r="N12" s="665"/>
      <c r="O12" s="665"/>
      <c r="P12" s="670" t="s">
        <v>392</v>
      </c>
      <c r="Q12" s="670" t="s">
        <v>393</v>
      </c>
      <c r="R12" s="671" t="s">
        <v>394</v>
      </c>
      <c r="S12" s="665" t="s">
        <v>395</v>
      </c>
      <c r="T12" s="665"/>
      <c r="U12" s="665"/>
      <c r="V12" s="665"/>
    </row>
    <row customHeight="1" ht="15">
      <c r="A13" s="2167"/>
      <c r="B13" s="659"/>
      <c r="D13" s="660"/>
      <c r="E13" s="559"/>
      <c r="F13" s="683"/>
      <c r="G13" s="570" t="s">
        <v>99</v>
      </c>
      <c r="H13" s="558"/>
      <c r="I13" s="558"/>
      <c r="J13" s="558"/>
      <c r="K13" s="557"/>
      <c r="L13" s="2291"/>
      <c r="M13" s="663"/>
      <c r="N13" s="659"/>
      <c r="O13" s="659"/>
      <c r="P13" s="659"/>
      <c r="Q13" s="659"/>
      <c r="R13" s="659"/>
      <c r="S13" s="659"/>
      <c r="T13" s="659"/>
      <c r="U13" s="659"/>
      <c r="V13" s="659"/>
    </row>
    <row customHeight="1" ht="11.25">
      <c r="A14" s="633"/>
      <c r="B14" s="634"/>
      <c r="C14" s="634"/>
      <c r="D14" s="649"/>
      <c r="E14" s="634"/>
      <c r="F14" s="634"/>
      <c r="G14" s="634"/>
      <c r="H14" s="634"/>
      <c r="I14" s="634"/>
      <c r="J14" s="634"/>
      <c r="K14" s="634"/>
      <c r="L14" s="634"/>
      <c r="M14" s="634"/>
      <c r="N14" s="634"/>
      <c r="O14" s="634"/>
      <c r="P14" s="634"/>
      <c r="Q14" s="634"/>
      <c r="R14" s="634"/>
      <c r="S14" s="634"/>
      <c r="T14" s="634"/>
      <c r="U14" s="634"/>
      <c r="V14" s="634"/>
    </row>
    <row customHeight="1" ht="14.25">
      <c r="D15" s="620"/>
      <c r="E15" s="490"/>
      <c r="F15" s="490"/>
      <c r="G15" s="818" t="str">
        <f>"&lt;1&gt; Указывается информация по муниципальным районам и муниципальным образованиям, на территории которых регулируемая организация осуществляет "&amp;IF(TEMPLATE_SPHERE&lt;&gt;"TKO","регулируемый вид деятельности в сфере "&amp;TEMPLATE_SPHERE_RUS&amp;".","деятельность в области обращения с "&amp;TEMPLATE_SPHERE_RUS_2&amp;".")</f>
        <v>&lt;1&gt; Указывается информация по муниципальным районам и муниципальным образованиям, на территории которых регулируемая организация осуществляет регулируемый вид деятельности в сфере горячего водоснабжения.</v>
      </c>
      <c r="H15" s="620"/>
      <c r="I15" s="620"/>
      <c r="J15" s="620"/>
      <c r="K15" s="620"/>
      <c r="L15" s="620"/>
    </row>
    <row r="18" customHeight="1" ht="14.25">
      <c r="G18" s="659"/>
    </row>
  </sheetData>
  <sheetProtection formatColumns="0" formatRows="0" autoFilter="0" sort="0" insertRows="0" insertColumns="1" deleteRows="0" deleteColumns="0"/>
  <mergeCells count="6">
    <mergeCell ref="A11:A13"/>
    <mergeCell ref="E4:I4"/>
    <mergeCell ref="E7:K7"/>
    <mergeCell ref="L7:L8"/>
    <mergeCell ref="L10:L13"/>
    <mergeCell ref="E5:I5"/>
  </mergeCells>
  <dataValidations count="3">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K12">
      <formula1>900</formula1>
    </dataValidation>
    <dataValidation allowBlank="1" showInputMessage="1" showErrorMessage="1" prompt="Изменение значения по двойному щелчоку левой кнопки мыши" sqref="J12"/>
    <dataValidation type="decimal" allowBlank="1" showErrorMessage="1" errorTitle="Ошибка" error="Допускается ввод только неотрицательных чисел!" sqref="G10:K10">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82727D1-4756-32AC-3118-ABA5B61B66C4}" mc:Ignorable="x14ac xr xr2 xr3">
  <sheetPr>
    <tabColor theme="6" tint="0.4"/>
  </sheetPr>
  <dimension ref="A1:AR64"/>
  <sheetViews>
    <sheetView topLeftCell="A1" showGridLines="0" zoomScale="90" workbookViewId="0">
      <selection activeCell="A1" sqref="A1"/>
    </sheetView>
  </sheetViews>
  <sheetFormatPr defaultColWidth="10.57421875" customHeight="1" defaultRowHeight="14.25"/>
  <cols>
    <col min="1" max="1" style="8721" width="10.57421875" hidden="1"/>
    <col min="2" max="2" style="8721" width="11.00390625" hidden="1" customWidth="1"/>
    <col min="3" max="3" style="8721" width="10.57421875" hidden="1"/>
    <col min="4" max="4" style="8721" width="11.8515625" hidden="1" customWidth="1"/>
    <col min="5" max="5" style="8721" width="10.00390625" hidden="1" customWidth="1"/>
    <col min="6" max="6" style="8721" width="8.7109375" hidden="1" customWidth="1"/>
    <col min="7" max="7" style="8721" width="7.57421875" hidden="1" customWidth="1"/>
    <col min="8" max="8" style="8721" width="11.421875" hidden="1" customWidth="1"/>
    <col min="9" max="9" style="8721" width="12.00390625" hidden="1" customWidth="1"/>
    <col min="10" max="10" style="8721" width="9.8515625" hidden="1" customWidth="1"/>
    <col min="11" max="11" style="8721" width="11.421875" hidden="1" customWidth="1"/>
    <col min="12" max="12" style="8802" width="19.140625" hidden="1" customWidth="1"/>
    <col min="13" max="14" style="8803" width="12.28125" hidden="1" customWidth="1"/>
    <col min="15" max="15" style="8803" width="23.421875" hidden="1" customWidth="1"/>
    <col min="16" max="16" style="8804" width="3.7109375" customWidth="1"/>
    <col min="17" max="18" style="8805" width="3.7109375" customWidth="1"/>
    <col min="19" max="19" style="8806" width="12.7109375" customWidth="1"/>
    <col min="20" max="20" style="8807" width="35.7109375" customWidth="1"/>
    <col min="21" max="21" style="8807" width="0.140625" customWidth="1"/>
    <col min="22" max="22" style="8807" width="24.7109375" hidden="1" customWidth="1"/>
    <col min="23" max="23" style="8807" width="0.140625" hidden="1" customWidth="1"/>
    <col min="24" max="25" style="8807" width="24.7109375" hidden="1" customWidth="1"/>
    <col min="26" max="26" style="8807" width="11.7109375" hidden="1" customWidth="1"/>
    <col min="27" max="27" style="8807" width="3.7109375" hidden="1" customWidth="1"/>
    <col min="28" max="28" style="8807" width="11.7109375" hidden="1" customWidth="1"/>
    <col min="29" max="29" style="8807" width="8.57421875" hidden="1" customWidth="1"/>
    <col min="30" max="30" style="8807" width="24.7109375" customWidth="1"/>
    <col min="31" max="31" style="8807" width="0.140625" customWidth="1"/>
    <col min="32" max="33" style="8807" width="24.7109375" customWidth="1"/>
    <col min="34" max="34" style="8807" width="11.7109375" customWidth="1"/>
    <col min="35" max="35" style="8807" width="3.7109375" customWidth="1"/>
    <col min="36" max="36" style="8807" width="11.7109375" customWidth="1"/>
    <col min="37" max="37" style="8807" width="8.57421875" hidden="1" customWidth="1"/>
    <col min="38" max="38" style="8807" width="4.7109375" customWidth="1"/>
    <col min="39" max="39" style="8807" width="115.7109375" customWidth="1"/>
    <col min="40" max="41" style="8794" width="10.57421875"/>
    <col min="42" max="42" style="8794" width="11.140625" customWidth="1"/>
    <col min="43" max="44" style="8794" width="10.57421875"/>
  </cols>
  <sheetData>
    <row customHeight="1" ht="14.25" hidden="1">
      <c r="Y1" s="481"/>
      <c r="Z1" s="481"/>
      <c r="AG1" s="481"/>
      <c r="AH1" s="481"/>
    </row>
    <row customHeight="1" ht="21" hidden="1">
      <c r="A2" s="1522"/>
      <c r="B2" s="1522"/>
      <c r="C2" s="1522"/>
      <c r="D2" s="1522"/>
      <c r="E2" s="2320">
        <v>1</v>
      </c>
      <c r="F2" s="1522"/>
      <c r="G2" s="1522"/>
      <c r="H2" s="1522"/>
      <c r="I2" s="1522"/>
      <c r="J2" s="1522"/>
      <c r="K2" s="1522"/>
      <c r="L2" s="1523"/>
      <c r="M2" s="1524"/>
      <c r="N2" s="1524"/>
      <c r="O2" s="1524"/>
      <c r="P2" s="515"/>
      <c r="Q2" s="514"/>
      <c r="R2" s="509"/>
      <c r="S2" s="1468">
        <f>INDEX(PT_DIFFERENTIATION_NUM_NTAR,MATCH(A2,PT_DIFFERENTIATION_NTAR_ID,0))</f>
      </c>
      <c r="T2" s="452" t="s">
        <v>120</v>
      </c>
      <c r="U2" s="454"/>
      <c r="V2" s="2314"/>
      <c r="W2" s="2315"/>
      <c r="X2" s="2315"/>
      <c r="Y2" s="2315"/>
      <c r="Z2" s="2315"/>
      <c r="AA2" s="2315"/>
      <c r="AB2" s="2315"/>
      <c r="AC2" s="2316"/>
      <c r="AD2" s="2314">
        <f>INDEX(PT_DIFFERENTIATION_NTAR,MATCH(A2,PT_DIFFERENTIATION_NTAR_ID,0))</f>
      </c>
      <c r="AE2" s="2315"/>
      <c r="AF2" s="2315"/>
      <c r="AG2" s="2315"/>
      <c r="AH2" s="2315"/>
      <c r="AI2" s="2315"/>
      <c r="AJ2" s="2315"/>
      <c r="AK2" s="2315"/>
      <c r="AL2" s="2316"/>
      <c r="AM2" s="1416" t="s">
        <v>396</v>
      </c>
      <c r="AO2" s="654"/>
      <c r="AP2" s="654" t="str">
        <f>IF(T2="","",T2)</f>
        <v>Наименование тарифа</v>
      </c>
      <c r="AQ2" s="654"/>
      <c r="AR2" s="654"/>
    </row>
    <row customHeight="1" ht="21" hidden="1">
      <c r="A3" s="1522"/>
      <c r="B3" s="1522"/>
      <c r="C3" s="1522"/>
      <c r="D3" s="1522"/>
      <c r="E3" s="2321"/>
      <c r="F3" s="2320">
        <v>1</v>
      </c>
      <c r="G3" s="1522"/>
      <c r="H3" s="1522"/>
      <c r="I3" s="1522"/>
      <c r="J3" s="1522"/>
      <c r="K3" s="1522"/>
      <c r="L3" s="1523"/>
      <c r="M3" s="1524"/>
      <c r="N3" s="1524"/>
      <c r="O3" s="1524"/>
      <c r="P3" s="1463"/>
      <c r="Q3" s="506"/>
      <c r="R3" s="507"/>
      <c r="S3" s="1468">
        <f>INDEX(PT_DIFFERENTIATION_NUM_TER,MATCH(B3,PT_DIFFERENTIATION_TER_ID,0))</f>
      </c>
      <c r="T3" s="462" t="s">
        <v>397</v>
      </c>
      <c r="U3" s="454"/>
      <c r="V3" s="2314"/>
      <c r="W3" s="2315"/>
      <c r="X3" s="2315"/>
      <c r="Y3" s="2315"/>
      <c r="Z3" s="2315"/>
      <c r="AA3" s="2315"/>
      <c r="AB3" s="2315"/>
      <c r="AC3" s="2316"/>
      <c r="AD3" s="2314">
        <f>INDEX(PT_DIFFERENTIATION_TER,MATCH(B3,PT_DIFFERENTIATION_TER_ID,0))</f>
      </c>
      <c r="AE3" s="2315"/>
      <c r="AF3" s="2315"/>
      <c r="AG3" s="2315"/>
      <c r="AH3" s="2315"/>
      <c r="AI3" s="2315"/>
      <c r="AJ3" s="2315"/>
      <c r="AK3" s="2315"/>
      <c r="AL3" s="2316"/>
      <c r="AM3" s="1416" t="s">
        <v>398</v>
      </c>
      <c r="AO3" s="654"/>
      <c r="AP3" s="654" t="str">
        <f>IF(T3="","",T3)</f>
        <v>Территория действия тарифа</v>
      </c>
      <c r="AQ3" s="654"/>
      <c r="AR3" s="654"/>
    </row>
    <row customHeight="1" ht="23.25" hidden="1">
      <c r="A4" s="1522"/>
      <c r="B4" s="1522"/>
      <c r="C4" s="1522"/>
      <c r="D4" s="1522"/>
      <c r="E4" s="2321"/>
      <c r="F4" s="2321"/>
      <c r="G4" s="2320">
        <v>1</v>
      </c>
      <c r="H4" s="1522"/>
      <c r="I4" s="1522"/>
      <c r="J4" s="1522"/>
      <c r="K4" s="1522"/>
      <c r="L4" s="1523"/>
      <c r="M4" s="1524"/>
      <c r="N4" s="1524"/>
      <c r="O4" s="1524"/>
      <c r="P4" s="508"/>
      <c r="Q4" s="506"/>
      <c r="R4" s="507"/>
      <c r="S4" s="1468">
        <f>INDEX(PT_DIFFERENTIATION_NUM_CS,MATCH(C4,PT_DIFFERENTIATION_CS_ID,0))</f>
      </c>
      <c r="T4" s="463" t="s">
        <v>399</v>
      </c>
      <c r="U4" s="454"/>
      <c r="V4" s="2314"/>
      <c r="W4" s="2315"/>
      <c r="X4" s="2315"/>
      <c r="Y4" s="2315"/>
      <c r="Z4" s="2315"/>
      <c r="AA4" s="2315"/>
      <c r="AB4" s="2315"/>
      <c r="AC4" s="2316"/>
      <c r="AD4" s="2314">
        <f>INDEX(PT_DIFFERENTIATION_CS,MATCH(C4,PT_DIFFERENTIATION_CS_ID,0))</f>
      </c>
      <c r="AE4" s="2315"/>
      <c r="AF4" s="2315"/>
      <c r="AG4" s="2315"/>
      <c r="AH4" s="2315"/>
      <c r="AI4" s="2315"/>
      <c r="AJ4" s="2315"/>
      <c r="AK4" s="2315"/>
      <c r="AL4" s="2316"/>
      <c r="AM4" s="1416" t="s">
        <v>400</v>
      </c>
      <c r="AO4" s="654"/>
      <c r="AP4" s="654" t="str">
        <f>IF(T4="","",T4)</f>
        <v>Наименование системы теплоснабжения </v>
      </c>
      <c r="AQ4" s="654"/>
      <c r="AR4" s="654"/>
    </row>
    <row customHeight="1" ht="21" hidden="1">
      <c r="A5" s="1522"/>
      <c r="B5" s="1522"/>
      <c r="C5" s="1522"/>
      <c r="D5" s="1522"/>
      <c r="E5" s="2321"/>
      <c r="F5" s="2321"/>
      <c r="G5" s="2321"/>
      <c r="H5" s="2320">
        <v>1</v>
      </c>
      <c r="I5" s="1522"/>
      <c r="J5" s="1522"/>
      <c r="K5" s="1522"/>
      <c r="L5" s="1523"/>
      <c r="M5" s="1524"/>
      <c r="N5" s="1524"/>
      <c r="O5" s="1524"/>
      <c r="P5" s="508"/>
      <c r="Q5" s="506"/>
      <c r="R5" s="507"/>
      <c r="S5" s="1468">
        <f>INDEX(PT_DIFFERENTIATION_NUM_IST_TE,MATCH(D5,PT_DIFFERENTIATION_IST_TE_ID,0))</f>
      </c>
      <c r="T5" s="464" t="s">
        <v>401</v>
      </c>
      <c r="U5" s="454"/>
      <c r="V5" s="2314"/>
      <c r="W5" s="2315"/>
      <c r="X5" s="2315"/>
      <c r="Y5" s="2315"/>
      <c r="Z5" s="2315"/>
      <c r="AA5" s="2315"/>
      <c r="AB5" s="2315"/>
      <c r="AC5" s="2316"/>
      <c r="AD5" s="2314">
        <f>INDEX(PT_DIFFERENTIATION_IST_TE,MATCH(D5,PT_DIFFERENTIATION_IST_TE_ID,0))</f>
      </c>
      <c r="AE5" s="2315"/>
      <c r="AF5" s="2315"/>
      <c r="AG5" s="2315"/>
      <c r="AH5" s="2315"/>
      <c r="AI5" s="2315"/>
      <c r="AJ5" s="2315"/>
      <c r="AK5" s="2315"/>
      <c r="AL5" s="2316"/>
      <c r="AM5" s="1416" t="s">
        <v>402</v>
      </c>
      <c r="AO5" s="654"/>
      <c r="AP5" s="654" t="str">
        <f>IF(T5="","",T5)</f>
        <v>Источник тепловой энергии  </v>
      </c>
      <c r="AQ5" s="654"/>
      <c r="AR5" s="654"/>
    </row>
    <row customHeight="1" ht="47.25" hidden="1">
      <c r="A6" s="1522"/>
      <c r="B6" s="1522"/>
      <c r="C6" s="1522"/>
      <c r="D6" s="1522"/>
      <c r="E6" s="2321"/>
      <c r="F6" s="2321"/>
      <c r="G6" s="2321"/>
      <c r="H6" s="2321"/>
      <c r="I6" s="2322">
        <f>S5&amp;".1"</f>
      </c>
      <c r="J6" s="1522"/>
      <c r="K6" s="1522"/>
      <c r="L6" s="1523" t="s">
        <v>403</v>
      </c>
      <c r="M6" s="691"/>
      <c r="P6" s="2324">
        <v>1</v>
      </c>
      <c r="Q6" s="1464"/>
      <c r="R6" s="510"/>
      <c r="S6" s="1468">
        <f>$I6</f>
      </c>
      <c r="T6" s="439" t="s">
        <v>404</v>
      </c>
      <c r="U6" s="454"/>
      <c r="V6" s="2308"/>
      <c r="W6" s="2309"/>
      <c r="X6" s="2309"/>
      <c r="Y6" s="2309"/>
      <c r="Z6" s="2309"/>
      <c r="AA6" s="2309"/>
      <c r="AB6" s="2309"/>
      <c r="AC6" s="2310"/>
      <c r="AD6" s="2308"/>
      <c r="AE6" s="2309"/>
      <c r="AF6" s="2309"/>
      <c r="AG6" s="2309"/>
      <c r="AH6" s="2309"/>
      <c r="AI6" s="2309"/>
      <c r="AJ6" s="2309"/>
      <c r="AK6" s="2309"/>
      <c r="AL6" s="2310"/>
      <c r="AM6" s="1416" t="s">
        <v>405</v>
      </c>
      <c r="AO6" s="654"/>
      <c r="AP6" s="654" t="str">
        <f>IF(T6="","",T6)</f>
        <v>Схема подключения теплопотребляющей установки к коллектору источника тепловой энергии</v>
      </c>
      <c r="AQ6" s="654"/>
      <c r="AR6" s="654"/>
    </row>
    <row customHeight="1" ht="21" hidden="1">
      <c r="A7" s="1522"/>
      <c r="B7" s="1522"/>
      <c r="C7" s="1522"/>
      <c r="D7" s="1522"/>
      <c r="E7" s="2321"/>
      <c r="F7" s="2321"/>
      <c r="G7" s="2321"/>
      <c r="H7" s="2321"/>
      <c r="I7" s="2323"/>
      <c r="J7" s="2322">
        <f>I6&amp;".1"</f>
      </c>
      <c r="K7" s="1522"/>
      <c r="L7" s="1523" t="s">
        <v>406</v>
      </c>
      <c r="M7" s="691"/>
      <c r="N7" s="1525"/>
      <c r="P7" s="2324"/>
      <c r="Q7" s="2324">
        <v>1</v>
      </c>
      <c r="R7" s="511"/>
      <c r="S7" s="1468">
        <f>$J7</f>
      </c>
      <c r="T7" s="440" t="s">
        <v>407</v>
      </c>
      <c r="U7" s="454"/>
      <c r="V7" s="2308"/>
      <c r="W7" s="2309"/>
      <c r="X7" s="2309"/>
      <c r="Y7" s="2309"/>
      <c r="Z7" s="2309"/>
      <c r="AA7" s="2309"/>
      <c r="AB7" s="2309"/>
      <c r="AC7" s="2310"/>
      <c r="AD7" s="2308"/>
      <c r="AE7" s="2309"/>
      <c r="AF7" s="2309"/>
      <c r="AG7" s="2309"/>
      <c r="AH7" s="2309"/>
      <c r="AI7" s="2309"/>
      <c r="AJ7" s="2309"/>
      <c r="AK7" s="2309"/>
      <c r="AL7" s="2310"/>
      <c r="AM7" s="1416" t="s">
        <v>408</v>
      </c>
      <c r="AO7" s="654"/>
      <c r="AP7" s="654" t="str">
        <f>IF(T7="","",T7)</f>
        <v>Группа потребителей</v>
      </c>
      <c r="AQ7" s="654"/>
      <c r="AR7" s="654"/>
    </row>
    <row customHeight="1" ht="21" hidden="1">
      <c r="A8" s="1522"/>
      <c r="B8" s="1522"/>
      <c r="C8" s="1522"/>
      <c r="D8" s="1522"/>
      <c r="E8" s="2321"/>
      <c r="F8" s="2321"/>
      <c r="G8" s="2321"/>
      <c r="H8" s="2321"/>
      <c r="I8" s="2323"/>
      <c r="J8" s="2323"/>
      <c r="K8" s="2322">
        <f>J7&amp;".1"</f>
      </c>
      <c r="L8" s="1523" t="s">
        <v>409</v>
      </c>
      <c r="M8" s="691"/>
      <c r="N8" s="1525"/>
      <c r="O8" s="1525"/>
      <c r="P8" s="2324"/>
      <c r="Q8" s="2324"/>
      <c r="R8" s="511">
        <v>1</v>
      </c>
      <c r="S8" s="1468">
        <f>$K8</f>
      </c>
      <c r="T8" s="1506"/>
      <c r="U8" s="454"/>
      <c r="V8" s="905"/>
      <c r="W8" s="479"/>
      <c r="X8" s="905"/>
      <c r="Y8" s="1415"/>
      <c r="Z8" s="2325"/>
      <c r="AA8" s="2195" t="s">
        <v>64</v>
      </c>
      <c r="AB8" s="2325"/>
      <c r="AC8" s="2195" t="s">
        <v>64</v>
      </c>
      <c r="AD8" s="905"/>
      <c r="AE8" s="479"/>
      <c r="AF8" s="905"/>
      <c r="AG8" s="1415"/>
      <c r="AH8" s="2325"/>
      <c r="AI8" s="2195" t="s">
        <v>64</v>
      </c>
      <c r="AJ8" s="2325"/>
      <c r="AK8" s="2195" t="s">
        <v>64</v>
      </c>
      <c r="AL8" s="479"/>
      <c r="AM8" s="2350" t="s">
        <v>410</v>
      </c>
      <c r="AN8" s="665">
        <f>STRCHECKDATE(V9:AL9)</f>
      </c>
      <c r="AO8" s="654"/>
      <c r="AP8" s="654" t="str">
        <f>IF(T8="","",T8)</f>
        <v/>
      </c>
      <c r="AQ8" s="654"/>
      <c r="AR8" s="654"/>
    </row>
    <row customHeight="1" ht="0.75" hidden="1">
      <c r="A9" s="1522"/>
      <c r="B9" s="1522"/>
      <c r="C9" s="1522"/>
      <c r="D9" s="1522"/>
      <c r="E9" s="2321"/>
      <c r="F9" s="2321"/>
      <c r="G9" s="2321"/>
      <c r="H9" s="2321"/>
      <c r="I9" s="2323"/>
      <c r="J9" s="2323"/>
      <c r="K9" s="2322"/>
      <c r="L9" s="1523"/>
      <c r="M9" s="691"/>
      <c r="N9" s="1525"/>
      <c r="O9" s="1525"/>
      <c r="P9" s="2324"/>
      <c r="Q9" s="2324"/>
      <c r="R9" s="511"/>
      <c r="S9" s="1465"/>
      <c r="T9" s="454"/>
      <c r="U9" s="454"/>
      <c r="V9" s="479"/>
      <c r="W9" s="479"/>
      <c r="X9" s="479"/>
      <c r="Y9" s="482" t="str">
        <f>Z8&amp;"-"&amp;AB8</f>
        <v>-</v>
      </c>
      <c r="Z9" s="2326"/>
      <c r="AA9" s="2195"/>
      <c r="AB9" s="2326"/>
      <c r="AC9" s="2195"/>
      <c r="AD9" s="479"/>
      <c r="AE9" s="479"/>
      <c r="AF9" s="479"/>
      <c r="AG9" s="482" t="str">
        <f>AH8&amp;"-"&amp;AJ8</f>
        <v>-</v>
      </c>
      <c r="AH9" s="2326"/>
      <c r="AI9" s="2195"/>
      <c r="AJ9" s="2326"/>
      <c r="AK9" s="2195"/>
      <c r="AL9" s="479"/>
      <c r="AM9" s="2351"/>
      <c r="AO9" s="654"/>
      <c r="AP9" s="654" t="str">
        <f>IF(T9="","",T9)</f>
        <v/>
      </c>
      <c r="AQ9" s="654"/>
      <c r="AR9" s="654"/>
    </row>
    <row customHeight="1" ht="15" hidden="1">
      <c r="A10" s="1522"/>
      <c r="B10" s="1522"/>
      <c r="C10" s="1522"/>
      <c r="D10" s="1522"/>
      <c r="E10" s="2321"/>
      <c r="F10" s="2321"/>
      <c r="G10" s="2321"/>
      <c r="H10" s="2321"/>
      <c r="I10" s="2323"/>
      <c r="J10" s="2322"/>
      <c r="K10" s="1522"/>
      <c r="L10" s="1523"/>
      <c r="M10" s="691"/>
      <c r="N10" s="1525"/>
      <c r="P10" s="2324"/>
      <c r="Q10" s="2324"/>
      <c r="R10" s="510"/>
      <c r="S10" s="1437"/>
      <c r="T10" s="442" t="s">
        <v>411</v>
      </c>
      <c r="U10" s="521"/>
      <c r="V10" s="521"/>
      <c r="W10" s="521"/>
      <c r="X10" s="521"/>
      <c r="Y10" s="521"/>
      <c r="Z10" s="521"/>
      <c r="AA10" s="521"/>
      <c r="AB10" s="521"/>
      <c r="AC10" s="521"/>
      <c r="AD10" s="521"/>
      <c r="AE10" s="521"/>
      <c r="AF10" s="521"/>
      <c r="AG10" s="521"/>
      <c r="AH10" s="521"/>
      <c r="AI10" s="521"/>
      <c r="AJ10" s="521"/>
      <c r="AK10" s="521"/>
      <c r="AL10" s="478"/>
      <c r="AM10" s="2352"/>
      <c r="AO10" s="654"/>
      <c r="AP10" s="654" t="str">
        <f>IF(T10="","",T10)</f>
        <v>Добавить вид теплоносителя (параметры теплоносителя)</v>
      </c>
      <c r="AQ10" s="654"/>
      <c r="AR10" s="654"/>
    </row>
    <row customHeight="1" ht="15" hidden="1">
      <c r="A11" s="1522"/>
      <c r="B11" s="1522"/>
      <c r="C11" s="1522"/>
      <c r="D11" s="1522"/>
      <c r="E11" s="2321"/>
      <c r="F11" s="2321"/>
      <c r="G11" s="2321"/>
      <c r="H11" s="2321"/>
      <c r="I11" s="2322"/>
      <c r="J11" s="1522"/>
      <c r="K11" s="1522"/>
      <c r="L11" s="1523"/>
      <c r="M11" s="691"/>
      <c r="P11" s="2324"/>
      <c r="Q11" s="1464"/>
      <c r="R11" s="510"/>
      <c r="S11" s="1437"/>
      <c r="T11" s="441" t="s">
        <v>412</v>
      </c>
      <c r="U11" s="521"/>
      <c r="V11" s="521"/>
      <c r="W11" s="521"/>
      <c r="X11" s="521"/>
      <c r="Y11" s="521"/>
      <c r="Z11" s="521"/>
      <c r="AA11" s="521"/>
      <c r="AB11" s="521"/>
      <c r="AC11" s="520"/>
      <c r="AD11" s="521"/>
      <c r="AE11" s="521"/>
      <c r="AF11" s="521"/>
      <c r="AG11" s="521"/>
      <c r="AH11" s="521"/>
      <c r="AI11" s="521"/>
      <c r="AJ11" s="521"/>
      <c r="AK11" s="520"/>
      <c r="AL11" s="521"/>
      <c r="AM11" s="457"/>
      <c r="AO11" s="654"/>
      <c r="AP11" s="654" t="str">
        <f>IF(T11="","",T11)</f>
        <v>Добавить группу потребителей</v>
      </c>
      <c r="AQ11" s="654"/>
      <c r="AR11" s="654"/>
    </row>
    <row customHeight="1" ht="14.25" hidden="1">
      <c r="A12" s="1522"/>
      <c r="B12" s="1522"/>
      <c r="C12" s="1522"/>
      <c r="D12" s="1522"/>
      <c r="E12" s="2321"/>
      <c r="F12" s="2321"/>
      <c r="G12" s="2321"/>
      <c r="H12" s="2320"/>
      <c r="I12" s="1522"/>
      <c r="J12" s="1522"/>
      <c r="K12" s="1522"/>
      <c r="L12" s="1523"/>
      <c r="M12" s="1524"/>
      <c r="N12" s="1524"/>
      <c r="O12" s="691"/>
      <c r="P12" s="514"/>
      <c r="Q12" s="529"/>
      <c r="R12" s="509"/>
      <c r="S12" s="1437"/>
      <c r="T12" s="519" t="s">
        <v>413</v>
      </c>
      <c r="U12" s="521"/>
      <c r="V12" s="521"/>
      <c r="W12" s="521"/>
      <c r="X12" s="521"/>
      <c r="Y12" s="521"/>
      <c r="Z12" s="521"/>
      <c r="AA12" s="521"/>
      <c r="AB12" s="521"/>
      <c r="AC12" s="520"/>
      <c r="AD12" s="521"/>
      <c r="AE12" s="521"/>
      <c r="AF12" s="521"/>
      <c r="AG12" s="521"/>
      <c r="AH12" s="521"/>
      <c r="AI12" s="521"/>
      <c r="AJ12" s="521"/>
      <c r="AK12" s="520"/>
      <c r="AL12" s="521"/>
      <c r="AM12" s="457"/>
      <c r="AO12" s="654"/>
      <c r="AP12" s="654" t="str">
        <f>IF(T12="","",T12)</f>
        <v>Добавить схему подключения</v>
      </c>
      <c r="AQ12" s="654"/>
      <c r="AR12" s="654"/>
    </row>
    <row s="8702" customFormat="1" customHeight="1" ht="0.75" hidden="1">
      <c r="A13" s="1473"/>
      <c r="B13" s="1473"/>
      <c r="C13" s="1473"/>
      <c r="D13" s="1473"/>
      <c r="E13" s="2321"/>
      <c r="F13" s="2321"/>
      <c r="G13" s="2320"/>
      <c r="H13" s="1473"/>
      <c r="I13" s="1473"/>
      <c r="J13" s="1473"/>
      <c r="K13" s="1473"/>
      <c r="L13" s="1498"/>
      <c r="M13" s="1474"/>
      <c r="N13" s="1474"/>
      <c r="P13" s="1475"/>
      <c r="Q13" s="1476"/>
      <c r="R13" s="1475"/>
      <c r="S13" s="1477"/>
      <c r="T13" s="1478" t="s">
        <v>414</v>
      </c>
      <c r="U13" s="1479"/>
      <c r="V13" s="1479"/>
      <c r="W13" s="1479"/>
      <c r="X13" s="1479"/>
      <c r="Y13" s="1479"/>
      <c r="Z13" s="1479"/>
      <c r="AA13" s="1479"/>
      <c r="AB13" s="1479"/>
      <c r="AC13" s="1479"/>
      <c r="AD13" s="1479"/>
      <c r="AE13" s="1479"/>
      <c r="AF13" s="1479"/>
      <c r="AG13" s="1479"/>
      <c r="AH13" s="1479"/>
      <c r="AI13" s="1479"/>
      <c r="AJ13" s="1479"/>
      <c r="AK13" s="1479"/>
      <c r="AL13" s="1479"/>
      <c r="AM13" s="1479"/>
      <c r="AO13" s="943"/>
      <c r="AP13" s="943" t="str">
        <f>IF(T13="","",T13)</f>
        <v>Добавить источник для дифференциации</v>
      </c>
      <c r="AQ13" s="943"/>
      <c r="AR13" s="943"/>
    </row>
    <row s="8702" customFormat="1" customHeight="1" ht="0.75" hidden="1">
      <c r="A14" s="1473"/>
      <c r="B14" s="1473"/>
      <c r="C14" s="1473"/>
      <c r="D14" s="1473"/>
      <c r="E14" s="2321"/>
      <c r="F14" s="2320"/>
      <c r="G14" s="1473"/>
      <c r="H14" s="1473"/>
      <c r="I14" s="1473"/>
      <c r="J14" s="1473"/>
      <c r="K14" s="1473"/>
      <c r="L14" s="1498"/>
      <c r="M14" s="1480"/>
      <c r="N14" s="1480"/>
      <c r="P14" s="1475"/>
      <c r="Q14" s="1476"/>
      <c r="R14" s="1475"/>
      <c r="S14" s="1481"/>
      <c r="T14" s="1482" t="s">
        <v>251</v>
      </c>
      <c r="U14" s="1483"/>
      <c r="V14" s="1483"/>
      <c r="W14" s="1483"/>
      <c r="X14" s="1483"/>
      <c r="Y14" s="1483"/>
      <c r="Z14" s="1483"/>
      <c r="AA14" s="1483"/>
      <c r="AB14" s="1483"/>
      <c r="AC14" s="1483"/>
      <c r="AD14" s="1483"/>
      <c r="AE14" s="1483"/>
      <c r="AF14" s="1483"/>
      <c r="AG14" s="1483"/>
      <c r="AH14" s="1483"/>
      <c r="AI14" s="1483"/>
      <c r="AJ14" s="1483"/>
      <c r="AK14" s="1483"/>
      <c r="AL14" s="1483"/>
      <c r="AM14" s="1483"/>
      <c r="AO14" s="943"/>
      <c r="AP14" s="943" t="str">
        <f>IF(T14="","",T14)</f>
        <v>Добавить централизованную систему для дифференциации</v>
      </c>
      <c r="AQ14" s="943"/>
      <c r="AR14" s="943"/>
    </row>
    <row s="8702" customFormat="1" customHeight="1" ht="0.75" hidden="1">
      <c r="A15" s="1473"/>
      <c r="B15" s="1473"/>
      <c r="C15" s="1473"/>
      <c r="D15" s="1473"/>
      <c r="E15" s="2320"/>
      <c r="F15" s="1473"/>
      <c r="G15" s="1473"/>
      <c r="H15" s="1473"/>
      <c r="I15" s="1473"/>
      <c r="J15" s="1473"/>
      <c r="K15" s="1473"/>
      <c r="L15" s="1498"/>
      <c r="M15" s="1480"/>
      <c r="N15" s="1480"/>
      <c r="P15" s="1475"/>
      <c r="Q15" s="1476"/>
      <c r="R15" s="1475"/>
      <c r="S15" s="1481"/>
      <c r="T15" s="1484" t="s">
        <v>252</v>
      </c>
      <c r="U15" s="1483"/>
      <c r="V15" s="1483"/>
      <c r="W15" s="1483"/>
      <c r="X15" s="1483"/>
      <c r="Y15" s="1483"/>
      <c r="Z15" s="1483"/>
      <c r="AA15" s="1483"/>
      <c r="AB15" s="1483"/>
      <c r="AC15" s="1483"/>
      <c r="AD15" s="1483"/>
      <c r="AE15" s="1483"/>
      <c r="AF15" s="1483"/>
      <c r="AG15" s="1483"/>
      <c r="AH15" s="1483"/>
      <c r="AI15" s="1483"/>
      <c r="AJ15" s="1483"/>
      <c r="AK15" s="1483"/>
      <c r="AL15" s="1483"/>
      <c r="AM15" s="1483"/>
      <c r="AO15" s="943"/>
      <c r="AP15" s="943" t="str">
        <f>IF(T15="","",T15)</f>
        <v>Добавить территорию для дифференциации</v>
      </c>
      <c r="AQ15" s="943"/>
      <c r="AR15" s="943"/>
    </row>
    <row customHeight="1" ht="14.25" hidden="1">
      <c r="AC16" s="481"/>
      <c r="AK16" s="481"/>
    </row>
    <row customHeight="1" ht="14.25" hidden="1">
      <c r="P17" s="1470"/>
      <c r="AD17" s="1519"/>
      <c r="AE17" s="1519"/>
      <c r="AF17" s="1519"/>
      <c r="AG17" s="1520"/>
      <c r="AH17" s="2318"/>
      <c r="AI17" s="2317" t="s">
        <v>64</v>
      </c>
      <c r="AJ17" s="2318"/>
      <c r="AK17" s="2317" t="s">
        <v>64</v>
      </c>
    </row>
    <row customHeight="1" ht="14.25" hidden="1">
      <c r="P18" s="1470"/>
      <c r="AD18" s="1519"/>
      <c r="AE18" s="1519"/>
      <c r="AF18" s="1519"/>
      <c r="AG18" s="482" t="str">
        <f>AH17&amp;"-"&amp;AJ17</f>
        <v>-</v>
      </c>
      <c r="AH18" s="2317"/>
      <c r="AI18" s="2317"/>
      <c r="AJ18" s="2317"/>
      <c r="AK18" s="2317"/>
    </row>
    <row customHeight="1" ht="14.25" hidden="1">
      <c r="P19" s="1470"/>
      <c r="AK19" s="481"/>
    </row>
    <row s="8721" customFormat="1" customHeight="1" ht="22.5" hidden="1">
      <c r="L20" s="1488"/>
      <c r="M20" s="1521"/>
      <c r="N20" s="1521"/>
      <c r="O20" s="1526" t="s">
        <v>415</v>
      </c>
      <c r="P20" s="1521"/>
      <c r="Q20" s="1530"/>
      <c r="R20" s="1530"/>
      <c r="S20" s="883"/>
      <c r="Z20" s="1526"/>
      <c r="AB20" s="1526"/>
      <c r="AC20" s="1525"/>
      <c r="AH20" s="1526"/>
      <c r="AJ20" s="1526"/>
      <c r="AK20" s="1525"/>
      <c r="AN20" s="665"/>
      <c r="AO20" s="665"/>
      <c r="AP20" s="665"/>
      <c r="AQ20" s="665"/>
      <c r="AR20" s="665"/>
    </row>
    <row s="8721" customFormat="1" customHeight="1" ht="14.25" hidden="1">
      <c r="L21" s="1488"/>
      <c r="M21" s="1521"/>
      <c r="N21" s="1521"/>
      <c r="O21" s="1521"/>
      <c r="P21" s="1521"/>
      <c r="Q21" s="1530"/>
      <c r="R21" s="1530"/>
      <c r="S21" s="883"/>
      <c r="AC21" s="1525"/>
      <c r="AK21" s="1525"/>
      <c r="AN21" s="665"/>
      <c r="AO21" s="665"/>
      <c r="AP21" s="665"/>
      <c r="AQ21" s="665"/>
      <c r="AR21" s="665"/>
    </row>
    <row s="8721" customFormat="1" customHeight="1" ht="14.25" hidden="1">
      <c r="L22" s="1488"/>
      <c r="M22" s="1521"/>
      <c r="N22" s="1521"/>
      <c r="O22" s="1523" t="s">
        <v>416</v>
      </c>
      <c r="P22" s="1521"/>
      <c r="Q22" s="1530"/>
      <c r="R22" s="1530"/>
      <c r="S22" s="883"/>
      <c r="T22" s="1316" t="s">
        <v>417</v>
      </c>
      <c r="AA22" s="340" t="s">
        <v>418</v>
      </c>
      <c r="AC22" s="340" t="s">
        <v>419</v>
      </c>
      <c r="AD22" s="1316" t="s">
        <v>417</v>
      </c>
      <c r="AI22" s="340" t="s">
        <v>420</v>
      </c>
      <c r="AK22" s="340" t="s">
        <v>419</v>
      </c>
      <c r="AN22" s="665"/>
      <c r="AO22" s="665"/>
      <c r="AP22" s="665"/>
      <c r="AQ22" s="665"/>
      <c r="AR22" s="665"/>
    </row>
    <row customHeight="1" ht="14.25" hidden="1">
      <c r="O23" s="1523"/>
      <c r="P23" s="1470"/>
    </row>
    <row customHeight="1" ht="14.25" hidden="1">
      <c r="O24" s="1523"/>
      <c r="P24" s="1470"/>
    </row>
    <row customHeight="1" ht="14.25">
      <c r="Q25" s="530"/>
      <c r="R25" s="530"/>
      <c r="S25" s="1434"/>
      <c r="T25" s="517"/>
      <c r="U25" s="517"/>
      <c r="V25" s="663"/>
      <c r="W25" s="663"/>
      <c r="X25" s="663"/>
      <c r="Y25" s="663"/>
      <c r="Z25" s="663"/>
      <c r="AA25" s="663"/>
      <c r="AB25" s="663"/>
      <c r="AC25" s="663"/>
      <c r="AD25" s="663"/>
      <c r="AE25" s="663"/>
      <c r="AF25" s="663"/>
      <c r="AG25" s="663"/>
      <c r="AH25" s="663"/>
      <c r="AI25" s="663"/>
      <c r="AJ25" s="663"/>
      <c r="AK25" s="663"/>
    </row>
    <row customHeight="1" ht="14.25">
      <c r="Q26" s="530"/>
      <c r="R26" s="530"/>
      <c r="S26" s="2353" t="str">
        <f>IF(TEMPLATE_GROUP="P",PT_P_FORM_HEAT_4_NAME_FORM,PT_R_FORM_HEAT_21_NAME_FORM)</f>
        <v>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v>
      </c>
      <c r="T26" s="2353"/>
      <c r="U26" s="2353"/>
      <c r="V26" s="2353"/>
      <c r="W26" s="2353"/>
      <c r="X26" s="2353"/>
      <c r="Y26" s="2353"/>
      <c r="Z26" s="2353"/>
      <c r="AA26" s="2353"/>
      <c r="AB26" s="2353"/>
      <c r="AC26" s="2353"/>
      <c r="AD26" s="2353"/>
      <c r="AE26" s="2353"/>
      <c r="AF26" s="2353"/>
      <c r="AG26" s="2353"/>
      <c r="AH26" s="2353"/>
      <c r="AI26" s="2353"/>
      <c r="AJ26" s="2353"/>
      <c r="AK26" s="1401"/>
    </row>
    <row customHeight="1" ht="14.25">
      <c r="Q27" s="530"/>
      <c r="R27" s="530"/>
      <c r="S27" s="2354" t="str">
        <f>IF(org=0,"Не определено",org)</f>
        <v>АО "Теплокоммунэнерго"</v>
      </c>
      <c r="T27" s="2354"/>
      <c r="U27" s="2354"/>
      <c r="V27" s="2354"/>
      <c r="W27" s="2354"/>
      <c r="X27" s="2354"/>
      <c r="Y27" s="2354"/>
      <c r="Z27" s="2354"/>
      <c r="AA27" s="2354"/>
      <c r="AB27" s="2354"/>
      <c r="AC27" s="2354"/>
      <c r="AD27" s="2354"/>
      <c r="AE27" s="2354"/>
      <c r="AF27" s="2354"/>
      <c r="AG27" s="2354"/>
      <c r="AH27" s="2354"/>
      <c r="AI27" s="2354"/>
      <c r="AJ27" s="2354"/>
      <c r="AK27" s="1401"/>
    </row>
    <row customHeight="1" ht="14.25">
      <c r="Q28" s="530"/>
      <c r="R28" s="530"/>
      <c r="S28" s="1434"/>
      <c r="T28" s="517"/>
      <c r="U28" s="517"/>
      <c r="V28" s="476"/>
      <c r="W28" s="476"/>
      <c r="X28" s="476"/>
      <c r="Y28" s="476"/>
      <c r="Z28" s="476"/>
      <c r="AA28" s="476"/>
      <c r="AB28" s="476"/>
      <c r="AC28" s="476"/>
      <c r="AD28" s="476"/>
      <c r="AE28" s="476"/>
      <c r="AF28" s="476"/>
      <c r="AG28" s="476"/>
      <c r="AH28" s="476"/>
      <c r="AI28" s="476"/>
      <c r="AJ28" s="476"/>
      <c r="AK28" s="476"/>
      <c r="AL28" s="663"/>
    </row>
    <row s="8735" customFormat="1" customHeight="1" ht="25.5">
      <c r="A29" s="1527"/>
      <c r="B29" s="1527"/>
      <c r="C29" s="1527"/>
      <c r="D29" s="1527"/>
      <c r="E29" s="1527"/>
      <c r="F29" s="1527"/>
      <c r="G29" s="1527"/>
      <c r="H29" s="1527"/>
      <c r="I29" s="1527"/>
      <c r="J29" s="1527"/>
      <c r="K29" s="1527"/>
      <c r="L29" s="1528"/>
      <c r="M29" s="1527"/>
      <c r="N29" s="1527"/>
      <c r="O29" s="1527"/>
      <c r="S29" s="2311" t="s">
        <v>38</v>
      </c>
      <c r="T29" s="2311"/>
      <c r="U29" s="1531"/>
      <c r="V29" s="2313" t="str">
        <f>IF(TITLE_NAME_OR_PR_CHANGE="",IF(TITLE_NAME_OR_PR="","",TITLE_NAME_OR_PR),TITLE_NAME_OR_PR_CHANGE)</f>
        <v>Региональная служба по тарифам Ростовской области</v>
      </c>
      <c r="W29" s="2313"/>
      <c r="X29" s="2313"/>
      <c r="Y29" s="2313"/>
      <c r="Z29" s="2313"/>
      <c r="AA29" s="2313"/>
      <c r="AB29" s="2313"/>
      <c r="AC29" s="480"/>
      <c r="AD29" s="2313" t="str">
        <f>IF(TITLE_NAME_OR_PR_CHANGE="",IF(TITLE_NAME_OR_PR="","",TITLE_NAME_OR_PR),TITLE_NAME_OR_PR_CHANGE)</f>
        <v>Региональная служба по тарифам Ростовской области</v>
      </c>
      <c r="AE29" s="2313"/>
      <c r="AF29" s="2313"/>
      <c r="AG29" s="2313"/>
      <c r="AH29" s="2313"/>
      <c r="AI29" s="2313"/>
      <c r="AJ29" s="2313"/>
      <c r="AK29" s="480"/>
      <c r="AL29" s="480"/>
      <c r="AM29" s="434"/>
      <c r="AN29" s="522"/>
      <c r="AO29" s="522"/>
      <c r="AP29" s="522"/>
      <c r="AQ29" s="522"/>
      <c r="AR29" s="522"/>
    </row>
    <row s="8735" customFormat="1" customHeight="1" ht="18.75">
      <c r="A30" s="1527"/>
      <c r="B30" s="1527"/>
      <c r="C30" s="1527"/>
      <c r="D30" s="1527"/>
      <c r="E30" s="1527"/>
      <c r="F30" s="1527"/>
      <c r="G30" s="1527"/>
      <c r="H30" s="1527"/>
      <c r="I30" s="1527"/>
      <c r="J30" s="1527"/>
      <c r="K30" s="1527"/>
      <c r="L30" s="1528"/>
      <c r="M30" s="1527"/>
      <c r="N30" s="1527"/>
      <c r="O30" s="1527"/>
      <c r="S30" s="2311" t="s">
        <v>421</v>
      </c>
      <c r="T30" s="2311"/>
      <c r="U30" s="1531"/>
      <c r="V30" s="2312" t="str">
        <f>IF(TITLE_DATE_PR_CHANGE="",IF(TITLE_DATE_PR="","",TITLE_DATE_PR),TITLE_DATE_PR_CHANGE)</f>
        <v>45279</v>
      </c>
      <c r="W30" s="2312"/>
      <c r="X30" s="2312"/>
      <c r="Y30" s="2312"/>
      <c r="Z30" s="2312"/>
      <c r="AA30" s="2312"/>
      <c r="AB30" s="2312"/>
      <c r="AC30" s="480"/>
      <c r="AD30" s="2312" t="str">
        <f>IF(TITLE_DATE_PR_CHANGE="",IF(TITLE_DATE_PR="","",TITLE_DATE_PR),TITLE_DATE_PR_CHANGE)</f>
        <v>45279</v>
      </c>
      <c r="AE30" s="2312"/>
      <c r="AF30" s="2312"/>
      <c r="AG30" s="2312"/>
      <c r="AH30" s="2312"/>
      <c r="AI30" s="2312"/>
      <c r="AJ30" s="2312"/>
      <c r="AK30" s="480"/>
      <c r="AL30" s="480"/>
      <c r="AM30" s="434"/>
      <c r="AN30" s="522"/>
      <c r="AO30" s="522"/>
      <c r="AP30" s="522"/>
      <c r="AQ30" s="522"/>
      <c r="AR30" s="522"/>
    </row>
    <row s="8735" customFormat="1" customHeight="1" ht="18.75">
      <c r="A31" s="1527"/>
      <c r="B31" s="1527"/>
      <c r="C31" s="1527"/>
      <c r="D31" s="1527"/>
      <c r="E31" s="1527"/>
      <c r="F31" s="1527"/>
      <c r="G31" s="1527"/>
      <c r="H31" s="1527"/>
      <c r="I31" s="1527"/>
      <c r="J31" s="1527"/>
      <c r="K31" s="1527"/>
      <c r="L31" s="1528"/>
      <c r="M31" s="1527"/>
      <c r="N31" s="1527"/>
      <c r="O31" s="1527"/>
      <c r="S31" s="2311" t="s">
        <v>422</v>
      </c>
      <c r="T31" s="2311"/>
      <c r="U31" s="1531"/>
      <c r="V31" s="2313" t="str">
        <f>IF(TITLE_NUMBER_PR_CHANGE="",IF(TITLE_NUMBER_PR="","",TITLE_NUMBER_PR),TITLE_NUMBER_PR_CHANGE)</f>
        <v>877</v>
      </c>
      <c r="W31" s="2313"/>
      <c r="X31" s="2313"/>
      <c r="Y31" s="2313"/>
      <c r="Z31" s="2313"/>
      <c r="AA31" s="2313"/>
      <c r="AB31" s="2313"/>
      <c r="AC31" s="480"/>
      <c r="AD31" s="2313" t="str">
        <f>IF(TITLE_NUMBER_PR_CHANGE="",IF(TITLE_NUMBER_PR="","",TITLE_NUMBER_PR),TITLE_NUMBER_PR_CHANGE)</f>
        <v>877</v>
      </c>
      <c r="AE31" s="2313"/>
      <c r="AF31" s="2313"/>
      <c r="AG31" s="2313"/>
      <c r="AH31" s="2313"/>
      <c r="AI31" s="2313"/>
      <c r="AJ31" s="2313"/>
      <c r="AK31" s="480"/>
      <c r="AL31" s="480"/>
      <c r="AM31" s="434"/>
      <c r="AN31" s="522"/>
      <c r="AO31" s="522"/>
      <c r="AP31" s="522"/>
      <c r="AQ31" s="522"/>
      <c r="AR31" s="522"/>
    </row>
    <row s="8735" customFormat="1" customHeight="1" ht="18.75">
      <c r="A32" s="1527"/>
      <c r="B32" s="1527"/>
      <c r="C32" s="1527"/>
      <c r="D32" s="1527"/>
      <c r="E32" s="1527"/>
      <c r="F32" s="1527"/>
      <c r="G32" s="1527"/>
      <c r="H32" s="1527"/>
      <c r="I32" s="1527"/>
      <c r="J32" s="1527"/>
      <c r="K32" s="1527"/>
      <c r="L32" s="1528"/>
      <c r="M32" s="1527"/>
      <c r="N32" s="1527"/>
      <c r="O32" s="1527"/>
      <c r="S32" s="2311" t="s">
        <v>40</v>
      </c>
      <c r="T32" s="2311"/>
      <c r="U32" s="1531"/>
      <c r="V32" s="2313" t="str">
        <f>IF(TITLE_IST_PUB_CHANGE="",IF(TITLE_IST_PUB="","",TITLE_IST_PUB),TITLE_IST_PUB_CHANGE)</f>
        <v>Официальный портал правовой информации Ростовской области</v>
      </c>
      <c r="W32" s="2313"/>
      <c r="X32" s="2313"/>
      <c r="Y32" s="2313"/>
      <c r="Z32" s="2313"/>
      <c r="AA32" s="2313"/>
      <c r="AB32" s="2313"/>
      <c r="AC32" s="480"/>
      <c r="AD32" s="2313" t="str">
        <f>IF(TITLE_IST_PUB_CHANGE="",IF(TITLE_IST_PUB="","",TITLE_IST_PUB),TITLE_IST_PUB_CHANGE)</f>
        <v>Официальный портал правовой информации Ростовской области</v>
      </c>
      <c r="AE32" s="2313"/>
      <c r="AF32" s="2313"/>
      <c r="AG32" s="2313"/>
      <c r="AH32" s="2313"/>
      <c r="AI32" s="2313"/>
      <c r="AJ32" s="2313"/>
      <c r="AK32" s="480"/>
      <c r="AL32" s="480"/>
      <c r="AM32" s="434"/>
      <c r="AN32" s="522"/>
      <c r="AO32" s="522"/>
      <c r="AP32" s="522"/>
      <c r="AQ32" s="522"/>
      <c r="AR32" s="522"/>
    </row>
    <row customHeight="1" ht="14.25" hidden="1">
      <c r="P33" s="1487"/>
      <c r="Q33" s="530"/>
      <c r="R33" s="530"/>
      <c r="S33" s="1434"/>
      <c r="T33" s="517"/>
      <c r="U33" s="517"/>
      <c r="V33" s="476"/>
      <c r="W33" s="476"/>
      <c r="X33" s="476"/>
      <c r="Y33" s="476"/>
      <c r="Z33" s="476"/>
      <c r="AA33" s="476"/>
      <c r="AB33" s="476"/>
      <c r="AC33" s="476"/>
      <c r="AD33" s="476"/>
      <c r="AE33" s="476"/>
      <c r="AF33" s="476"/>
      <c r="AG33" s="476"/>
      <c r="AH33" s="476"/>
      <c r="AI33" s="476"/>
      <c r="AJ33" s="476"/>
      <c r="AK33" s="476"/>
      <c r="AL33" s="663"/>
    </row>
    <row s="8735" customFormat="1" customHeight="1" ht="18.75" hidden="1">
      <c r="A34" s="1527"/>
      <c r="B34" s="1527"/>
      <c r="C34" s="1527"/>
      <c r="D34" s="1527"/>
      <c r="E34" s="1527"/>
      <c r="F34" s="1527"/>
      <c r="G34" s="1527"/>
      <c r="H34" s="1527"/>
      <c r="I34" s="1527"/>
      <c r="J34" s="1527"/>
      <c r="K34" s="1527"/>
      <c r="L34" s="1528"/>
      <c r="M34" s="1527"/>
      <c r="N34" s="1527"/>
      <c r="O34" s="1527"/>
      <c r="S34" s="2311" t="s">
        <v>423</v>
      </c>
      <c r="T34" s="2311"/>
      <c r="U34" s="1531"/>
      <c r="V34" s="2312" t="str">
        <f>IF(TITLE_DATE_PR_CHANGE="",IF(TITLE_DATE_PR="","",TITLE_DATE_PR),TITLE_DATE_PR_CHANGE)</f>
        <v>45279</v>
      </c>
      <c r="W34" s="2312"/>
      <c r="X34" s="2312"/>
      <c r="Y34" s="2312"/>
      <c r="Z34" s="2312"/>
      <c r="AA34" s="2312"/>
      <c r="AB34" s="2312"/>
      <c r="AC34" s="480"/>
      <c r="AD34" s="2312" t="str">
        <f>IF(TITLE_DATE_PR_CHANGE="",IF(TITLE_DATE_PR="","",TITLE_DATE_PR),TITLE_DATE_PR_CHANGE)</f>
        <v>45279</v>
      </c>
      <c r="AE34" s="2312"/>
      <c r="AF34" s="2312"/>
      <c r="AG34" s="2312"/>
      <c r="AH34" s="2312"/>
      <c r="AI34" s="2312"/>
      <c r="AJ34" s="2312"/>
      <c r="AK34" s="480"/>
      <c r="AL34" s="480"/>
      <c r="AM34" s="434"/>
      <c r="AN34" s="522"/>
      <c r="AO34" s="522"/>
      <c r="AP34" s="522"/>
      <c r="AQ34" s="522"/>
      <c r="AR34" s="522"/>
    </row>
    <row s="8735" customFormat="1" customHeight="1" ht="18.75" hidden="1">
      <c r="A35" s="1527"/>
      <c r="B35" s="1527"/>
      <c r="C35" s="1527"/>
      <c r="D35" s="1527"/>
      <c r="E35" s="1527"/>
      <c r="F35" s="1527"/>
      <c r="G35" s="1527"/>
      <c r="H35" s="1527"/>
      <c r="I35" s="1527"/>
      <c r="J35" s="1527"/>
      <c r="K35" s="1527"/>
      <c r="L35" s="1528"/>
      <c r="M35" s="1527"/>
      <c r="N35" s="1527"/>
      <c r="O35" s="1527"/>
      <c r="S35" s="2311" t="s">
        <v>424</v>
      </c>
      <c r="T35" s="2311"/>
      <c r="U35" s="1531"/>
      <c r="V35" s="2313" t="str">
        <f>IF(TITLE_NUMBER_PR_CHANGE="",IF(TITLE_NUMBER_PR="","",TITLE_NUMBER_PR),TITLE_NUMBER_PR_CHANGE)</f>
        <v>877</v>
      </c>
      <c r="W35" s="2313"/>
      <c r="X35" s="2313"/>
      <c r="Y35" s="2313"/>
      <c r="Z35" s="2313"/>
      <c r="AA35" s="2313"/>
      <c r="AB35" s="2313"/>
      <c r="AC35" s="480"/>
      <c r="AD35" s="2313" t="str">
        <f>IF(TITLE_NUMBER_PR_CHANGE="",IF(TITLE_NUMBER_PR="","",TITLE_NUMBER_PR),TITLE_NUMBER_PR_CHANGE)</f>
        <v>877</v>
      </c>
      <c r="AE35" s="2313"/>
      <c r="AF35" s="2313"/>
      <c r="AG35" s="2313"/>
      <c r="AH35" s="2313"/>
      <c r="AI35" s="2313"/>
      <c r="AJ35" s="2313"/>
      <c r="AK35" s="480"/>
      <c r="AL35" s="480"/>
      <c r="AM35" s="434"/>
      <c r="AN35" s="522"/>
      <c r="AO35" s="522"/>
      <c r="AP35" s="522"/>
      <c r="AQ35" s="522"/>
      <c r="AR35" s="522"/>
    </row>
    <row s="8735" customFormat="1" customHeight="1" ht="0">
      <c r="A36" s="1527"/>
      <c r="B36" s="1527"/>
      <c r="C36" s="1527"/>
      <c r="D36" s="1527"/>
      <c r="E36" s="1527"/>
      <c r="F36" s="1527"/>
      <c r="G36" s="1527"/>
      <c r="H36" s="1527"/>
      <c r="I36" s="1527"/>
      <c r="J36" s="1527"/>
      <c r="K36" s="1527"/>
      <c r="L36" s="1528"/>
      <c r="M36" s="1527"/>
      <c r="N36" s="1527"/>
      <c r="O36" s="1527"/>
      <c r="S36" s="477"/>
      <c r="T36" s="477"/>
      <c r="U36" s="1377"/>
      <c r="V36" s="480"/>
      <c r="W36" s="480"/>
      <c r="X36" s="480"/>
      <c r="Y36" s="480"/>
      <c r="Z36" s="480"/>
      <c r="AA36" s="480"/>
      <c r="AB36" s="480"/>
      <c r="AC36" s="432" t="s">
        <v>425</v>
      </c>
      <c r="AD36" s="480"/>
      <c r="AE36" s="480"/>
      <c r="AF36" s="480"/>
      <c r="AG36" s="480"/>
      <c r="AH36" s="480"/>
      <c r="AI36" s="480"/>
      <c r="AJ36" s="480"/>
      <c r="AK36" s="432" t="s">
        <v>425</v>
      </c>
      <c r="AN36" s="522"/>
      <c r="AO36" s="522"/>
      <c r="AP36" s="522"/>
      <c r="AQ36" s="522"/>
      <c r="AR36" s="522"/>
    </row>
    <row customHeight="1" ht="14.25">
      <c r="Q37" s="530"/>
      <c r="R37" s="530"/>
      <c r="S37" s="1434"/>
      <c r="T37" s="517"/>
      <c r="U37" s="1402"/>
      <c r="V37" s="2337"/>
      <c r="W37" s="2337"/>
      <c r="X37" s="2337"/>
      <c r="Y37" s="2337"/>
      <c r="Z37" s="2337"/>
      <c r="AA37" s="2337"/>
      <c r="AB37" s="2337"/>
      <c r="AC37" s="2337"/>
      <c r="AD37" s="2337"/>
      <c r="AE37" s="2337"/>
      <c r="AF37" s="2337"/>
      <c r="AG37" s="2337"/>
      <c r="AH37" s="2337"/>
      <c r="AI37" s="2337"/>
      <c r="AJ37" s="2337"/>
      <c r="AK37" s="2337"/>
    </row>
    <row customHeight="1" ht="14.25">
      <c r="Q38" s="530"/>
      <c r="R38" s="530"/>
      <c r="S38" s="2185" t="s">
        <v>300</v>
      </c>
      <c r="T38" s="2185"/>
      <c r="U38" s="2185"/>
      <c r="V38" s="2185"/>
      <c r="W38" s="2185"/>
      <c r="X38" s="2185"/>
      <c r="Y38" s="2185"/>
      <c r="Z38" s="2185"/>
      <c r="AA38" s="2185"/>
      <c r="AB38" s="2185"/>
      <c r="AC38" s="2185"/>
      <c r="AD38" s="2185"/>
      <c r="AE38" s="2185"/>
      <c r="AF38" s="2185"/>
      <c r="AG38" s="2185"/>
      <c r="AH38" s="2185"/>
      <c r="AI38" s="2185"/>
      <c r="AJ38" s="2185"/>
      <c r="AK38" s="2185"/>
      <c r="AL38" s="2185"/>
      <c r="AM38" s="2185" t="s">
        <v>301</v>
      </c>
    </row>
    <row customHeight="1" ht="14.25">
      <c r="Q39" s="530"/>
      <c r="R39" s="530"/>
      <c r="S39" s="2338" t="s">
        <v>85</v>
      </c>
      <c r="T39" s="2275" t="s">
        <v>426</v>
      </c>
      <c r="U39" s="455"/>
      <c r="V39" s="2339" t="s">
        <v>427</v>
      </c>
      <c r="W39" s="2340"/>
      <c r="X39" s="2340"/>
      <c r="Y39" s="2340"/>
      <c r="Z39" s="2340"/>
      <c r="AA39" s="2340"/>
      <c r="AB39" s="2341"/>
      <c r="AC39" s="2342" t="s">
        <v>428</v>
      </c>
      <c r="AD39" s="2339" t="s">
        <v>427</v>
      </c>
      <c r="AE39" s="2340"/>
      <c r="AF39" s="2340"/>
      <c r="AG39" s="2340"/>
      <c r="AH39" s="2340"/>
      <c r="AI39" s="2340"/>
      <c r="AJ39" s="2341"/>
      <c r="AK39" s="2342" t="s">
        <v>429</v>
      </c>
      <c r="AL39" s="2345" t="s">
        <v>430</v>
      </c>
      <c r="AM39" s="2185"/>
    </row>
    <row customHeight="1" ht="33.75">
      <c r="Q40" s="530"/>
      <c r="R40" s="530"/>
      <c r="S40" s="2338"/>
      <c r="T40" s="2275"/>
      <c r="U40" s="1186"/>
      <c r="V40" s="2348" t="s">
        <v>431</v>
      </c>
      <c r="W40" s="2329" t="s">
        <v>432</v>
      </c>
      <c r="X40" s="2331" t="s">
        <v>433</v>
      </c>
      <c r="Y40" s="2333"/>
      <c r="Z40" s="2331" t="s">
        <v>434</v>
      </c>
      <c r="AA40" s="2332"/>
      <c r="AB40" s="2333"/>
      <c r="AC40" s="2343"/>
      <c r="AD40" s="2348" t="s">
        <v>431</v>
      </c>
      <c r="AE40" s="2329" t="s">
        <v>432</v>
      </c>
      <c r="AF40" s="2331" t="s">
        <v>433</v>
      </c>
      <c r="AG40" s="2333"/>
      <c r="AH40" s="2331" t="s">
        <v>434</v>
      </c>
      <c r="AI40" s="2332"/>
      <c r="AJ40" s="2333"/>
      <c r="AK40" s="2343"/>
      <c r="AL40" s="2346"/>
      <c r="AM40" s="2185"/>
    </row>
    <row customHeight="1" ht="33.75">
      <c r="A41" s="1529"/>
      <c r="B41" s="1529" t="s">
        <v>132</v>
      </c>
      <c r="C41" s="1529" t="s">
        <v>133</v>
      </c>
      <c r="D41" s="1529" t="s">
        <v>134</v>
      </c>
      <c r="E41" s="1523" t="s">
        <v>435</v>
      </c>
      <c r="F41" s="1523" t="s">
        <v>436</v>
      </c>
      <c r="G41" s="1523" t="s">
        <v>437</v>
      </c>
      <c r="H41" s="1523" t="s">
        <v>438</v>
      </c>
      <c r="I41" s="1523" t="s">
        <v>439</v>
      </c>
      <c r="J41" s="1523" t="s">
        <v>440</v>
      </c>
      <c r="K41" s="1523" t="s">
        <v>441</v>
      </c>
      <c r="L41" s="1523" t="s">
        <v>416</v>
      </c>
      <c r="Q41" s="530"/>
      <c r="R41" s="530"/>
      <c r="S41" s="2338"/>
      <c r="T41" s="2275"/>
      <c r="U41" s="456"/>
      <c r="V41" s="2349"/>
      <c r="W41" s="2330"/>
      <c r="X41" s="1380" t="s">
        <v>442</v>
      </c>
      <c r="Y41" s="1380" t="s">
        <v>443</v>
      </c>
      <c r="Z41" s="1379" t="s">
        <v>444</v>
      </c>
      <c r="AA41" s="2334" t="s">
        <v>445</v>
      </c>
      <c r="AB41" s="2335"/>
      <c r="AC41" s="2344"/>
      <c r="AD41" s="2349"/>
      <c r="AE41" s="2330"/>
      <c r="AF41" s="1380" t="s">
        <v>442</v>
      </c>
      <c r="AG41" s="1380" t="s">
        <v>443</v>
      </c>
      <c r="AH41" s="1472" t="s">
        <v>444</v>
      </c>
      <c r="AI41" s="2334" t="s">
        <v>445</v>
      </c>
      <c r="AJ41" s="2335"/>
      <c r="AK41" s="2344"/>
      <c r="AL41" s="2347"/>
      <c r="AM41" s="2185"/>
    </row>
    <row s="8552" customFormat="1" customHeight="1" ht="11.25" hidden="1">
      <c r="A42" s="1529"/>
      <c r="B42" s="1529"/>
      <c r="C42" s="1529"/>
      <c r="D42" s="1529"/>
      <c r="E42" s="1529"/>
      <c r="F42" s="1529"/>
      <c r="G42" s="1529"/>
      <c r="H42" s="1529"/>
      <c r="I42" s="1529"/>
      <c r="J42" s="1529"/>
      <c r="K42" s="1529"/>
      <c r="L42" s="1523"/>
      <c r="M42" s="1521"/>
      <c r="N42" s="1521"/>
      <c r="O42" s="1521"/>
      <c r="P42" s="1404"/>
      <c r="Q42" s="1405"/>
      <c r="R42" s="1412">
        <v>1</v>
      </c>
      <c r="S42" s="1436" t="s">
        <v>106</v>
      </c>
      <c r="T42" s="1413" t="s">
        <v>107</v>
      </c>
      <c r="U42" s="1403" t="str">
        <f>OFFSET(U42,0,-1)</f>
        <v>2</v>
      </c>
      <c r="V42" s="1414">
        <f>OFFSET(V42,0,-1)+1</f>
        <v>3</v>
      </c>
      <c r="W42" s="1414"/>
      <c r="X42" s="1414">
        <f>OFFSET(X42,0,-1)+1</f>
        <v>1</v>
      </c>
      <c r="Y42" s="1414">
        <f>OFFSET(Y42,0,-1)+1</f>
        <v>2</v>
      </c>
      <c r="Z42" s="1414">
        <f>OFFSET(Z42,0,-1)+1</f>
        <v>3</v>
      </c>
      <c r="AA42" s="2336">
        <f>OFFSET(AA42,0,-1)+1</f>
        <v>4</v>
      </c>
      <c r="AB42" s="2336"/>
      <c r="AC42" s="1414">
        <f>OFFSET(AC42,0,-2)+1</f>
        <v>5</v>
      </c>
      <c r="AD42" s="1471">
        <f>OFFSET(AD42,0,-1)+1</f>
        <v>6</v>
      </c>
      <c r="AE42" s="1471"/>
      <c r="AF42" s="1471">
        <f>OFFSET(AF42,0,-1)+1</f>
        <v>1</v>
      </c>
      <c r="AG42" s="1471">
        <f>OFFSET(AG42,0,-1)+1</f>
        <v>2</v>
      </c>
      <c r="AH42" s="1471">
        <f>OFFSET(AH42,0,-1)+1</f>
        <v>3</v>
      </c>
      <c r="AI42" s="2336">
        <f>OFFSET(AI42,0,-1)+1</f>
        <v>4</v>
      </c>
      <c r="AJ42" s="2336"/>
      <c r="AK42" s="1471">
        <f>OFFSET(AK42,0,-2)+1</f>
        <v>5</v>
      </c>
      <c r="AL42" s="1403">
        <f>OFFSET(AL42,0,-1)</f>
        <v>5</v>
      </c>
      <c r="AM42" s="1414">
        <f>OFFSET(AM42,0,-1)+1</f>
        <v>6</v>
      </c>
      <c r="AN42" s="665"/>
      <c r="AO42" s="665"/>
      <c r="AP42" s="665"/>
      <c r="AQ42" s="665"/>
      <c r="AR42" s="665"/>
    </row>
    <row customHeight="1" ht="23.25">
      <c r="A43" s="1522" t="s">
        <v>153</v>
      </c>
      <c r="B43" s="1522"/>
      <c r="C43" s="1522"/>
      <c r="D43" s="1522"/>
      <c r="E43" s="2320">
        <v>1</v>
      </c>
      <c r="F43" s="1522"/>
      <c r="G43" s="1522"/>
      <c r="H43" s="1522"/>
      <c r="I43" s="1522"/>
      <c r="J43" s="1522"/>
      <c r="K43" s="1522"/>
      <c r="L43" s="1523"/>
      <c r="M43" s="1524"/>
      <c r="N43" s="1524"/>
      <c r="O43" s="1524"/>
      <c r="P43" s="515"/>
      <c r="Q43" s="514"/>
      <c r="R43" s="509"/>
      <c r="S43" s="1382">
        <f>INDEX(PT_DIFFERENTIATION_NUM_NTAR,MATCH(A43,PT_DIFFERENTIATION_NTAR_ID,0))</f>
        <v>0</v>
      </c>
      <c r="T43" s="452" t="s">
        <v>120</v>
      </c>
      <c r="U43" s="454"/>
      <c r="V43" s="2314"/>
      <c r="W43" s="2315"/>
      <c r="X43" s="2315"/>
      <c r="Y43" s="2315"/>
      <c r="Z43" s="2315"/>
      <c r="AA43" s="2315"/>
      <c r="AB43" s="2315"/>
      <c r="AC43" s="2316"/>
      <c r="AD43" s="2314" t="str">
        <f>INDEX(PT_DIFFERENTIATION_NTAR,MATCH(A43,PT_DIFFERENTIATION_NTAR_ID,0))</f>
        <v/>
      </c>
      <c r="AE43" s="2315"/>
      <c r="AF43" s="2315"/>
      <c r="AG43" s="2315"/>
      <c r="AH43" s="2315"/>
      <c r="AI43" s="2315"/>
      <c r="AJ43" s="2315"/>
      <c r="AK43" s="2315"/>
      <c r="AL43" s="2316"/>
      <c r="AM43" s="1416"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O43" s="654"/>
      <c r="AP43" s="654" t="str">
        <f>IF(T43="","",T43)</f>
        <v>Наименование тарифа</v>
      </c>
      <c r="AQ43" s="654"/>
      <c r="AR43" s="654"/>
    </row>
    <row customHeight="1" ht="23.25">
      <c r="A44" s="1522" t="s">
        <v>153</v>
      </c>
      <c r="B44" s="1522" t="s">
        <v>154</v>
      </c>
      <c r="C44" s="1522"/>
      <c r="D44" s="1522"/>
      <c r="E44" s="2321"/>
      <c r="F44" s="2320">
        <v>1</v>
      </c>
      <c r="G44" s="1522"/>
      <c r="H44" s="1522"/>
      <c r="I44" s="1522"/>
      <c r="J44" s="1522"/>
      <c r="K44" s="1522"/>
      <c r="L44" s="1523"/>
      <c r="M44" s="1524"/>
      <c r="N44" s="1524"/>
      <c r="O44" s="1524"/>
      <c r="P44" s="676"/>
      <c r="Q44" s="506"/>
      <c r="R44" s="507"/>
      <c r="S44" s="1382" t="str">
        <f>INDEX(PT_DIFFERENTIATION_NUM_TER,MATCH(B44,PT_DIFFERENTIATION_TER_ID,0))</f>
        <v>.</v>
      </c>
      <c r="T44" s="462" t="s">
        <v>397</v>
      </c>
      <c r="U44" s="454"/>
      <c r="V44" s="2314"/>
      <c r="W44" s="2315"/>
      <c r="X44" s="2315"/>
      <c r="Y44" s="2315"/>
      <c r="Z44" s="2315"/>
      <c r="AA44" s="2315"/>
      <c r="AB44" s="2315"/>
      <c r="AC44" s="2316"/>
      <c r="AD44" s="2314" t="str">
        <f>INDEX(PT_DIFFERENTIATION_TER,MATCH(B44,PT_DIFFERENTIATION_TER_ID,0))</f>
        <v/>
      </c>
      <c r="AE44" s="2315"/>
      <c r="AF44" s="2315"/>
      <c r="AG44" s="2315"/>
      <c r="AH44" s="2315"/>
      <c r="AI44" s="2315"/>
      <c r="AJ44" s="2315"/>
      <c r="AK44" s="2315"/>
      <c r="AL44" s="2316"/>
      <c r="AM44" s="1416" t="s">
        <v>398</v>
      </c>
      <c r="AO44" s="654"/>
      <c r="AP44" s="654" t="str">
        <f>IF(T44="","",T44)</f>
        <v>Территория действия тарифа</v>
      </c>
      <c r="AQ44" s="654"/>
      <c r="AR44" s="654"/>
    </row>
    <row customHeight="1" ht="23.25">
      <c r="A45" s="1522" t="s">
        <v>153</v>
      </c>
      <c r="B45" s="1522" t="s">
        <v>154</v>
      </c>
      <c r="C45" s="1522" t="s">
        <v>155</v>
      </c>
      <c r="D45" s="1522"/>
      <c r="E45" s="2321"/>
      <c r="F45" s="2321"/>
      <c r="G45" s="2320">
        <v>1</v>
      </c>
      <c r="H45" s="1522"/>
      <c r="I45" s="1522"/>
      <c r="J45" s="1522"/>
      <c r="K45" s="1522"/>
      <c r="L45" s="1523"/>
      <c r="M45" s="1524"/>
      <c r="N45" s="1524"/>
      <c r="O45" s="1524"/>
      <c r="P45" s="508"/>
      <c r="Q45" s="506"/>
      <c r="R45" s="507"/>
      <c r="S45" s="1382" t="str">
        <f>INDEX(PT_DIFFERENTIATION_NUM_CS,MATCH(C45,PT_DIFFERENTIATION_CS_ID,0))</f>
        <v>..</v>
      </c>
      <c r="T45" s="463" t="s">
        <v>399</v>
      </c>
      <c r="U45" s="454"/>
      <c r="V45" s="2314"/>
      <c r="W45" s="2315"/>
      <c r="X45" s="2315"/>
      <c r="Y45" s="2315"/>
      <c r="Z45" s="2315"/>
      <c r="AA45" s="2315"/>
      <c r="AB45" s="2315"/>
      <c r="AC45" s="2316"/>
      <c r="AD45" s="2314" t="str">
        <f>INDEX(PT_DIFFERENTIATION_CS,MATCH(C45,PT_DIFFERENTIATION_CS_ID,0))</f>
        <v/>
      </c>
      <c r="AE45" s="2315"/>
      <c r="AF45" s="2315"/>
      <c r="AG45" s="2315"/>
      <c r="AH45" s="2315"/>
      <c r="AI45" s="2315"/>
      <c r="AJ45" s="2315"/>
      <c r="AK45" s="2315"/>
      <c r="AL45" s="2316"/>
      <c r="AM45" s="1416" t="s">
        <v>400</v>
      </c>
      <c r="AO45" s="654"/>
      <c r="AP45" s="654" t="str">
        <f>IF(T45="","",T45)</f>
        <v>Наименование системы теплоснабжения </v>
      </c>
      <c r="AQ45" s="654"/>
      <c r="AR45" s="654"/>
    </row>
    <row customHeight="1" ht="23.25">
      <c r="A46" s="1522" t="s">
        <v>153</v>
      </c>
      <c r="B46" s="1522" t="s">
        <v>154</v>
      </c>
      <c r="C46" s="1522" t="s">
        <v>155</v>
      </c>
      <c r="D46" s="1522" t="s">
        <v>156</v>
      </c>
      <c r="E46" s="2321"/>
      <c r="F46" s="2321"/>
      <c r="G46" s="2321"/>
      <c r="H46" s="2320">
        <v>1</v>
      </c>
      <c r="I46" s="1522"/>
      <c r="J46" s="1522"/>
      <c r="K46" s="1522"/>
      <c r="L46" s="1523"/>
      <c r="M46" s="1524"/>
      <c r="N46" s="1524"/>
      <c r="O46" s="1524"/>
      <c r="P46" s="508"/>
      <c r="Q46" s="506"/>
      <c r="R46" s="507"/>
      <c r="S46" s="1382" t="str">
        <f>INDEX(PT_DIFFERENTIATION_NUM_IST_TE,MATCH(D46,PT_DIFFERENTIATION_IST_TE_ID,0))</f>
        <v>...</v>
      </c>
      <c r="T46" s="464" t="s">
        <v>401</v>
      </c>
      <c r="U46" s="454"/>
      <c r="V46" s="2314"/>
      <c r="W46" s="2315"/>
      <c r="X46" s="2315"/>
      <c r="Y46" s="2315"/>
      <c r="Z46" s="2315"/>
      <c r="AA46" s="2315"/>
      <c r="AB46" s="2315"/>
      <c r="AC46" s="2316"/>
      <c r="AD46" s="2314" t="str">
        <f>INDEX(PT_DIFFERENTIATION_IST_TE,MATCH(D46,PT_DIFFERENTIATION_IST_TE_ID,0))</f>
        <v/>
      </c>
      <c r="AE46" s="2315"/>
      <c r="AF46" s="2315"/>
      <c r="AG46" s="2315"/>
      <c r="AH46" s="2315"/>
      <c r="AI46" s="2315"/>
      <c r="AJ46" s="2315"/>
      <c r="AK46" s="2315"/>
      <c r="AL46" s="2316"/>
      <c r="AM46" s="1416" t="s">
        <v>402</v>
      </c>
      <c r="AO46" s="654"/>
      <c r="AP46" s="654" t="str">
        <f>IF(T46="","",T46)</f>
        <v>Источник тепловой энергии  </v>
      </c>
      <c r="AQ46" s="654"/>
      <c r="AR46" s="654"/>
    </row>
    <row customHeight="1" ht="47.25">
      <c r="A47" s="1522" t="s">
        <v>153</v>
      </c>
      <c r="B47" s="1522" t="s">
        <v>154</v>
      </c>
      <c r="C47" s="1522" t="s">
        <v>155</v>
      </c>
      <c r="D47" s="1522" t="s">
        <v>156</v>
      </c>
      <c r="E47" s="2321"/>
      <c r="F47" s="2321"/>
      <c r="G47" s="2321"/>
      <c r="H47" s="2321"/>
      <c r="I47" s="2322" t="str">
        <f>S46&amp;".1"</f>
        <v>....1</v>
      </c>
      <c r="J47" s="1522"/>
      <c r="K47" s="1522"/>
      <c r="L47" s="1523" t="s">
        <v>403</v>
      </c>
      <c r="P47" s="2324">
        <v>1</v>
      </c>
      <c r="Q47" s="1378"/>
      <c r="R47" s="510"/>
      <c r="S47" s="1382" t="str">
        <f>$I47</f>
        <v>....1</v>
      </c>
      <c r="T47" s="439" t="s">
        <v>404</v>
      </c>
      <c r="U47" s="454"/>
      <c r="V47" s="2308"/>
      <c r="W47" s="2309"/>
      <c r="X47" s="2309"/>
      <c r="Y47" s="2309"/>
      <c r="Z47" s="2309"/>
      <c r="AA47" s="2309"/>
      <c r="AB47" s="2309"/>
      <c r="AC47" s="2310"/>
      <c r="AD47" s="2308"/>
      <c r="AE47" s="2309"/>
      <c r="AF47" s="2309"/>
      <c r="AG47" s="2309"/>
      <c r="AH47" s="2309"/>
      <c r="AI47" s="2309"/>
      <c r="AJ47" s="2309"/>
      <c r="AK47" s="2309"/>
      <c r="AL47" s="2310"/>
      <c r="AM47" s="1416" t="s">
        <v>405</v>
      </c>
      <c r="AO47" s="654"/>
      <c r="AP47" s="654" t="str">
        <f>IF(T47="","",T47)</f>
        <v>Схема подключения теплопотребляющей установки к коллектору источника тепловой энергии</v>
      </c>
      <c r="AQ47" s="654"/>
      <c r="AR47" s="654"/>
    </row>
    <row customHeight="1" ht="23.25">
      <c r="A48" s="1522" t="s">
        <v>153</v>
      </c>
      <c r="B48" s="1522" t="s">
        <v>154</v>
      </c>
      <c r="C48" s="1522" t="s">
        <v>155</v>
      </c>
      <c r="D48" s="1522" t="s">
        <v>156</v>
      </c>
      <c r="E48" s="2321"/>
      <c r="F48" s="2321"/>
      <c r="G48" s="2321"/>
      <c r="H48" s="2321"/>
      <c r="I48" s="2323"/>
      <c r="J48" s="2322" t="str">
        <f>I47&amp;".1"</f>
        <v>....1.1</v>
      </c>
      <c r="K48" s="1522"/>
      <c r="L48" s="1523" t="s">
        <v>406</v>
      </c>
      <c r="P48" s="2324"/>
      <c r="Q48" s="2324">
        <v>1</v>
      </c>
      <c r="R48" s="511"/>
      <c r="S48" s="1382" t="str">
        <f>$J48</f>
        <v>....1.1</v>
      </c>
      <c r="T48" s="440" t="s">
        <v>407</v>
      </c>
      <c r="U48" s="454"/>
      <c r="V48" s="2308"/>
      <c r="W48" s="2309"/>
      <c r="X48" s="2309"/>
      <c r="Y48" s="2309"/>
      <c r="Z48" s="2309"/>
      <c r="AA48" s="2309"/>
      <c r="AB48" s="2309"/>
      <c r="AC48" s="2310"/>
      <c r="AD48" s="2308"/>
      <c r="AE48" s="2309"/>
      <c r="AF48" s="2309"/>
      <c r="AG48" s="2309"/>
      <c r="AH48" s="2309"/>
      <c r="AI48" s="2309"/>
      <c r="AJ48" s="2309"/>
      <c r="AK48" s="2309"/>
      <c r="AL48" s="2310"/>
      <c r="AM48" s="1416" t="s">
        <v>408</v>
      </c>
      <c r="AO48" s="654"/>
      <c r="AP48" s="654" t="str">
        <f>IF(T48="","",T48)</f>
        <v>Группа потребителей</v>
      </c>
      <c r="AQ48" s="654"/>
      <c r="AR48" s="654"/>
    </row>
    <row customHeight="1" ht="23.25">
      <c r="A49" s="1522" t="s">
        <v>153</v>
      </c>
      <c r="B49" s="1522" t="s">
        <v>154</v>
      </c>
      <c r="C49" s="1522" t="s">
        <v>155</v>
      </c>
      <c r="D49" s="1522" t="s">
        <v>156</v>
      </c>
      <c r="E49" s="2321"/>
      <c r="F49" s="2321"/>
      <c r="G49" s="2321"/>
      <c r="H49" s="2321"/>
      <c r="I49" s="2323"/>
      <c r="J49" s="2323"/>
      <c r="K49" s="2322" t="str">
        <f>J48&amp;".1"</f>
        <v>....1.1.1</v>
      </c>
      <c r="L49" s="1523" t="s">
        <v>409</v>
      </c>
      <c r="P49" s="2324"/>
      <c r="Q49" s="2324"/>
      <c r="R49" s="511">
        <v>1</v>
      </c>
      <c r="S49" s="1382" t="str">
        <f>$K49</f>
        <v>....1.1.1</v>
      </c>
      <c r="T49" s="1506"/>
      <c r="U49" s="454"/>
      <c r="V49" s="905"/>
      <c r="W49" s="479"/>
      <c r="X49" s="905"/>
      <c r="Y49" s="1415"/>
      <c r="Z49" s="2325"/>
      <c r="AA49" s="2195" t="s">
        <v>64</v>
      </c>
      <c r="AB49" s="2325"/>
      <c r="AC49" s="2195" t="s">
        <v>64</v>
      </c>
      <c r="AD49" s="905"/>
      <c r="AE49" s="479"/>
      <c r="AF49" s="905"/>
      <c r="AG49" s="1415"/>
      <c r="AH49" s="2325"/>
      <c r="AI49" s="2195" t="s">
        <v>64</v>
      </c>
      <c r="AJ49" s="2327"/>
      <c r="AK49" s="2195" t="s">
        <v>64</v>
      </c>
      <c r="AL49" s="1507"/>
      <c r="AM49" s="2350" t="s">
        <v>410</v>
      </c>
      <c r="AN49" s="665">
        <f>STRCHECKDATE(V50:AL50)</f>
      </c>
      <c r="AO49" s="654"/>
      <c r="AP49" s="654" t="str">
        <f>IF(T49="","",T49)</f>
        <v/>
      </c>
      <c r="AQ49" s="654"/>
      <c r="AR49" s="654"/>
    </row>
    <row customHeight="1" ht="0.75">
      <c r="A50" s="1522" t="s">
        <v>153</v>
      </c>
      <c r="B50" s="1522" t="s">
        <v>154</v>
      </c>
      <c r="C50" s="1522" t="s">
        <v>155</v>
      </c>
      <c r="D50" s="1522" t="s">
        <v>156</v>
      </c>
      <c r="E50" s="2321"/>
      <c r="F50" s="2321"/>
      <c r="G50" s="2321"/>
      <c r="H50" s="2321"/>
      <c r="I50" s="2323"/>
      <c r="J50" s="2323"/>
      <c r="K50" s="2322"/>
      <c r="L50" s="1523"/>
      <c r="P50" s="2324"/>
      <c r="Q50" s="2324"/>
      <c r="R50" s="511"/>
      <c r="S50" s="1381"/>
      <c r="T50" s="454"/>
      <c r="U50" s="454"/>
      <c r="V50" s="479"/>
      <c r="W50" s="479"/>
      <c r="X50" s="479"/>
      <c r="Y50" s="482" t="str">
        <f>Z49&amp;"-"&amp;AB49</f>
        <v>-</v>
      </c>
      <c r="Z50" s="2326"/>
      <c r="AA50" s="2195"/>
      <c r="AB50" s="2326"/>
      <c r="AC50" s="2195"/>
      <c r="AD50" s="479"/>
      <c r="AE50" s="479"/>
      <c r="AF50" s="479"/>
      <c r="AG50" s="482" t="str">
        <f>AH49&amp;"-"&amp;AJ49</f>
        <v>-</v>
      </c>
      <c r="AH50" s="2326"/>
      <c r="AI50" s="2195"/>
      <c r="AJ50" s="2328"/>
      <c r="AK50" s="2195"/>
      <c r="AL50" s="1508"/>
      <c r="AM50" s="2351"/>
      <c r="AO50" s="654"/>
      <c r="AP50" s="654" t="str">
        <f>IF(T50="","",T50)</f>
        <v/>
      </c>
      <c r="AQ50" s="654"/>
      <c r="AR50" s="654"/>
    </row>
    <row customHeight="1" ht="11.25">
      <c r="A51" s="1522" t="s">
        <v>153</v>
      </c>
      <c r="B51" s="1522" t="s">
        <v>154</v>
      </c>
      <c r="C51" s="1522" t="s">
        <v>155</v>
      </c>
      <c r="D51" s="1522" t="s">
        <v>156</v>
      </c>
      <c r="E51" s="2321"/>
      <c r="F51" s="2321"/>
      <c r="G51" s="2321"/>
      <c r="H51" s="2321"/>
      <c r="I51" s="2323"/>
      <c r="J51" s="2322"/>
      <c r="K51" s="1522"/>
      <c r="L51" s="1523"/>
      <c r="P51" s="2324"/>
      <c r="Q51" s="2324"/>
      <c r="R51" s="510"/>
      <c r="S51" s="1437"/>
      <c r="T51" s="442" t="s">
        <v>411</v>
      </c>
      <c r="U51" s="521"/>
      <c r="V51" s="521"/>
      <c r="W51" s="521"/>
      <c r="X51" s="521"/>
      <c r="Y51" s="521"/>
      <c r="Z51" s="521"/>
      <c r="AA51" s="521"/>
      <c r="AB51" s="521"/>
      <c r="AC51" s="521"/>
      <c r="AD51" s="521"/>
      <c r="AE51" s="521"/>
      <c r="AF51" s="521"/>
      <c r="AG51" s="521"/>
      <c r="AH51" s="521"/>
      <c r="AI51" s="521"/>
      <c r="AJ51" s="521"/>
      <c r="AK51" s="521"/>
      <c r="AL51" s="478"/>
      <c r="AM51" s="2352"/>
      <c r="AO51" s="654"/>
      <c r="AP51" s="654" t="str">
        <f>IF(T51="","",T51)</f>
        <v>Добавить вид теплоносителя (параметры теплоносителя)</v>
      </c>
      <c r="AQ51" s="654"/>
      <c r="AR51" s="654"/>
    </row>
    <row customHeight="1" ht="11.25">
      <c r="A52" s="1522" t="s">
        <v>153</v>
      </c>
      <c r="B52" s="1522" t="s">
        <v>154</v>
      </c>
      <c r="C52" s="1522" t="s">
        <v>155</v>
      </c>
      <c r="D52" s="1522" t="s">
        <v>156</v>
      </c>
      <c r="E52" s="2321"/>
      <c r="F52" s="2321"/>
      <c r="G52" s="2321"/>
      <c r="H52" s="2321"/>
      <c r="I52" s="2322"/>
      <c r="J52" s="1522"/>
      <c r="K52" s="1522"/>
      <c r="L52" s="1523"/>
      <c r="P52" s="2324"/>
      <c r="Q52" s="1378"/>
      <c r="R52" s="510"/>
      <c r="S52" s="1437"/>
      <c r="T52" s="441" t="s">
        <v>412</v>
      </c>
      <c r="U52" s="521"/>
      <c r="V52" s="521"/>
      <c r="W52" s="521"/>
      <c r="X52" s="521"/>
      <c r="Y52" s="521"/>
      <c r="Z52" s="521"/>
      <c r="AA52" s="521"/>
      <c r="AB52" s="521"/>
      <c r="AC52" s="520"/>
      <c r="AD52" s="521"/>
      <c r="AE52" s="521"/>
      <c r="AF52" s="521"/>
      <c r="AG52" s="521"/>
      <c r="AH52" s="521"/>
      <c r="AI52" s="521"/>
      <c r="AJ52" s="521"/>
      <c r="AK52" s="520"/>
      <c r="AL52" s="521"/>
      <c r="AM52" s="457"/>
      <c r="AO52" s="654"/>
      <c r="AP52" s="654" t="str">
        <f>IF(T52="","",T52)</f>
        <v>Добавить группу потребителей</v>
      </c>
      <c r="AQ52" s="654"/>
      <c r="AR52" s="654"/>
    </row>
    <row customHeight="1" ht="14.25">
      <c r="A53" s="1522" t="s">
        <v>153</v>
      </c>
      <c r="B53" s="1522" t="s">
        <v>154</v>
      </c>
      <c r="C53" s="1522" t="s">
        <v>155</v>
      </c>
      <c r="D53" s="1522" t="s">
        <v>156</v>
      </c>
      <c r="E53" s="2321"/>
      <c r="F53" s="2321"/>
      <c r="G53" s="2321"/>
      <c r="H53" s="2320"/>
      <c r="I53" s="1522"/>
      <c r="J53" s="1522"/>
      <c r="K53" s="1522"/>
      <c r="L53" s="1523"/>
      <c r="M53" s="1524"/>
      <c r="N53" s="1524"/>
      <c r="O53" s="691"/>
      <c r="P53" s="514"/>
      <c r="Q53" s="529"/>
      <c r="R53" s="509"/>
      <c r="S53" s="1437"/>
      <c r="T53" s="519" t="s">
        <v>413</v>
      </c>
      <c r="U53" s="521"/>
      <c r="V53" s="521"/>
      <c r="W53" s="521"/>
      <c r="X53" s="521"/>
      <c r="Y53" s="521"/>
      <c r="Z53" s="521"/>
      <c r="AA53" s="521"/>
      <c r="AB53" s="521"/>
      <c r="AC53" s="520"/>
      <c r="AD53" s="521"/>
      <c r="AE53" s="521"/>
      <c r="AF53" s="521"/>
      <c r="AG53" s="521"/>
      <c r="AH53" s="521"/>
      <c r="AI53" s="521"/>
      <c r="AJ53" s="521"/>
      <c r="AK53" s="520"/>
      <c r="AL53" s="521"/>
      <c r="AM53" s="457"/>
      <c r="AO53" s="654"/>
      <c r="AP53" s="654" t="str">
        <f>IF(T53="","",T53)</f>
        <v>Добавить схему подключения</v>
      </c>
      <c r="AQ53" s="654"/>
      <c r="AR53" s="654"/>
    </row>
    <row s="8702" customFormat="1" customHeight="1" ht="0.75">
      <c r="A54" s="1502" t="s">
        <v>153</v>
      </c>
      <c r="B54" s="1502" t="s">
        <v>154</v>
      </c>
      <c r="C54" s="1502" t="s">
        <v>155</v>
      </c>
      <c r="D54" s="1473"/>
      <c r="E54" s="2321"/>
      <c r="F54" s="2321"/>
      <c r="G54" s="2320"/>
      <c r="H54" s="1473"/>
      <c r="I54" s="1473"/>
      <c r="J54" s="1473"/>
      <c r="K54" s="1473"/>
      <c r="L54" s="1498"/>
      <c r="M54" s="1474"/>
      <c r="N54" s="1474"/>
      <c r="P54" s="1475"/>
      <c r="Q54" s="1476"/>
      <c r="R54" s="1475"/>
      <c r="S54" s="1481"/>
      <c r="T54" s="1484" t="s">
        <v>414</v>
      </c>
      <c r="U54" s="1483"/>
      <c r="V54" s="1483"/>
      <c r="W54" s="1483"/>
      <c r="X54" s="1483"/>
      <c r="Y54" s="1483"/>
      <c r="Z54" s="1483"/>
      <c r="AA54" s="1483"/>
      <c r="AB54" s="1483"/>
      <c r="AC54" s="1483"/>
      <c r="AD54" s="1483"/>
      <c r="AE54" s="1483"/>
      <c r="AF54" s="1483"/>
      <c r="AG54" s="1483"/>
      <c r="AH54" s="1483"/>
      <c r="AI54" s="1483"/>
      <c r="AJ54" s="1483"/>
      <c r="AK54" s="1483"/>
      <c r="AL54" s="1483"/>
      <c r="AM54" s="1483"/>
      <c r="AO54" s="943"/>
      <c r="AP54" s="943" t="str">
        <f>IF(T54="","",T54)</f>
        <v>Добавить источник для дифференциации</v>
      </c>
      <c r="AQ54" s="943"/>
      <c r="AR54" s="943"/>
    </row>
    <row s="8702" customFormat="1" customHeight="1" ht="0.75">
      <c r="A55" s="1502" t="s">
        <v>153</v>
      </c>
      <c r="B55" s="1502" t="s">
        <v>154</v>
      </c>
      <c r="C55" s="1473"/>
      <c r="D55" s="1473"/>
      <c r="E55" s="2321"/>
      <c r="F55" s="2320"/>
      <c r="G55" s="1473"/>
      <c r="H55" s="1473"/>
      <c r="I55" s="1473"/>
      <c r="J55" s="1473"/>
      <c r="K55" s="1473"/>
      <c r="L55" s="1498"/>
      <c r="M55" s="1480"/>
      <c r="N55" s="1480"/>
      <c r="P55" s="1475"/>
      <c r="Q55" s="1476"/>
      <c r="R55" s="1475"/>
      <c r="S55" s="1481"/>
      <c r="T55" s="1484" t="s">
        <v>251</v>
      </c>
      <c r="U55" s="1483"/>
      <c r="V55" s="1483"/>
      <c r="W55" s="1483"/>
      <c r="X55" s="1483"/>
      <c r="Y55" s="1483"/>
      <c r="Z55" s="1483"/>
      <c r="AA55" s="1483"/>
      <c r="AB55" s="1483"/>
      <c r="AC55" s="1483"/>
      <c r="AD55" s="1483"/>
      <c r="AE55" s="1483"/>
      <c r="AF55" s="1483"/>
      <c r="AG55" s="1483"/>
      <c r="AH55" s="1483"/>
      <c r="AI55" s="1483"/>
      <c r="AJ55" s="1483"/>
      <c r="AK55" s="1483"/>
      <c r="AL55" s="1483"/>
      <c r="AM55" s="1483"/>
      <c r="AO55" s="943"/>
      <c r="AP55" s="943" t="str">
        <f>IF(T55="","",T55)</f>
        <v>Добавить централизованную систему для дифференциации</v>
      </c>
      <c r="AQ55" s="943"/>
      <c r="AR55" s="943"/>
    </row>
    <row s="8794" customFormat="1" customHeight="1" ht="0.75">
      <c r="A56" s="1502" t="s">
        <v>153</v>
      </c>
      <c r="B56" s="1502"/>
      <c r="C56" s="1502"/>
      <c r="D56" s="1502"/>
      <c r="E56" s="2320"/>
      <c r="F56" s="1502"/>
      <c r="G56" s="1502"/>
      <c r="H56" s="1502"/>
      <c r="I56" s="1502"/>
      <c r="J56" s="1502"/>
      <c r="K56" s="1502"/>
      <c r="L56" s="1505"/>
      <c r="M56" s="1480"/>
      <c r="N56" s="1480"/>
      <c r="O56" s="672"/>
      <c r="P56" s="534"/>
      <c r="Q56" s="1503"/>
      <c r="R56" s="534"/>
      <c r="S56" s="1481"/>
      <c r="T56" s="1484" t="s">
        <v>252</v>
      </c>
      <c r="U56" s="1483"/>
      <c r="V56" s="1483"/>
      <c r="W56" s="1483"/>
      <c r="X56" s="1483"/>
      <c r="Y56" s="1483"/>
      <c r="Z56" s="1483"/>
      <c r="AA56" s="1483"/>
      <c r="AB56" s="1483"/>
      <c r="AC56" s="1483"/>
      <c r="AD56" s="1483"/>
      <c r="AE56" s="1483"/>
      <c r="AF56" s="1483"/>
      <c r="AG56" s="1483"/>
      <c r="AH56" s="1483"/>
      <c r="AI56" s="1483"/>
      <c r="AJ56" s="1483"/>
      <c r="AK56" s="1483"/>
      <c r="AL56" s="1483"/>
      <c r="AM56" s="1483"/>
      <c r="AO56" s="654"/>
      <c r="AP56" s="654" t="str">
        <f>IF(T56="","",T56)</f>
        <v>Добавить территорию для дифференциации</v>
      </c>
      <c r="AQ56" s="654"/>
      <c r="AR56" s="654"/>
    </row>
    <row s="8702" customFormat="1" customHeight="1" ht="0.75">
      <c r="A57" s="1473"/>
      <c r="B57" s="1473"/>
      <c r="C57" s="1473"/>
      <c r="D57" s="1473"/>
      <c r="E57" s="1502"/>
      <c r="F57" s="1473"/>
      <c r="G57" s="1473"/>
      <c r="H57" s="1473"/>
      <c r="I57" s="1473"/>
      <c r="J57" s="1473"/>
      <c r="K57" s="1473"/>
      <c r="L57" s="1498"/>
      <c r="M57" s="1480"/>
      <c r="N57" s="1480"/>
      <c r="P57" s="1475"/>
      <c r="Q57" s="1476"/>
      <c r="R57" s="1475"/>
      <c r="S57" s="1481"/>
      <c r="T57" s="1484" t="s">
        <v>253</v>
      </c>
      <c r="U57" s="1483"/>
      <c r="V57" s="1483"/>
      <c r="W57" s="1483"/>
      <c r="X57" s="1483"/>
      <c r="Y57" s="1483"/>
      <c r="Z57" s="1483"/>
      <c r="AA57" s="1483"/>
      <c r="AB57" s="1483"/>
      <c r="AC57" s="1483"/>
      <c r="AD57" s="1483"/>
      <c r="AE57" s="1483"/>
      <c r="AF57" s="1483"/>
      <c r="AG57" s="1483"/>
      <c r="AH57" s="1483"/>
      <c r="AI57" s="1483"/>
      <c r="AJ57" s="1483"/>
      <c r="AK57" s="1483"/>
      <c r="AL57" s="1483"/>
      <c r="AM57" s="1483"/>
      <c r="AO57" s="943"/>
      <c r="AP57" s="943" t="str">
        <f>IF(T57="","",T57)</f>
        <v>Добавить наименование тарифа</v>
      </c>
      <c r="AQ57" s="943"/>
      <c r="AR57" s="943"/>
    </row>
    <row customHeight="1" ht="11.25">
      <c r="M58" s="1316"/>
      <c r="N58" s="1316"/>
      <c r="O58" s="691"/>
      <c r="P58" s="1311"/>
      <c r="Q58" s="1311"/>
      <c r="R58" s="1311"/>
      <c r="S58" s="1311"/>
      <c r="AN58" s="1311"/>
      <c r="AO58" s="1311"/>
      <c r="AP58" s="1311"/>
      <c r="AQ58" s="1311"/>
      <c r="AR58" s="1311"/>
    </row>
    <row customHeight="1" ht="27">
      <c r="O59" s="691"/>
      <c r="S59" s="1411"/>
      <c r="T59" s="2319"/>
      <c r="U59" s="2319"/>
      <c r="V59" s="2319"/>
      <c r="W59" s="2319"/>
      <c r="X59" s="2319"/>
      <c r="Y59" s="2319"/>
      <c r="Z59" s="2319"/>
      <c r="AA59" s="2319"/>
      <c r="AB59" s="2319"/>
      <c r="AC59" s="2319"/>
      <c r="AD59" s="2319"/>
      <c r="AE59" s="2319"/>
      <c r="AF59" s="2319"/>
      <c r="AG59" s="2319"/>
      <c r="AH59" s="2319"/>
      <c r="AI59" s="2319"/>
      <c r="AJ59" s="2319"/>
      <c r="AK59" s="2319"/>
      <c r="AL59" s="2319"/>
      <c r="AM59" s="2319"/>
    </row>
    <row customHeight="1" ht="64.5">
      <c r="O60" s="691"/>
      <c r="P60" s="1462"/>
      <c r="T60" s="2319"/>
      <c r="U60" s="2319"/>
      <c r="V60" s="2319"/>
      <c r="W60" s="2319"/>
      <c r="X60" s="2319"/>
      <c r="Y60" s="2319"/>
      <c r="Z60" s="2319"/>
      <c r="AA60" s="2319"/>
      <c r="AB60" s="2319"/>
      <c r="AC60" s="2319"/>
      <c r="AD60" s="2319"/>
      <c r="AE60" s="2319"/>
      <c r="AF60" s="2319"/>
      <c r="AG60" s="2319"/>
      <c r="AH60" s="2319"/>
      <c r="AI60" s="2319"/>
      <c r="AJ60" s="2319"/>
      <c r="AK60" s="2319"/>
      <c r="AL60" s="2319"/>
      <c r="AM60" s="2319"/>
    </row>
    <row customHeight="1" ht="14.25">
      <c r="O61" s="691"/>
    </row>
    <row customHeight="1" ht="18">
      <c r="O62" s="691"/>
      <c r="P62" s="1487"/>
      <c r="S62" s="1411"/>
      <c r="T62" s="2319"/>
      <c r="U62" s="2319"/>
      <c r="V62" s="2319"/>
      <c r="W62" s="2319"/>
      <c r="X62" s="2319"/>
      <c r="Y62" s="2319"/>
      <c r="Z62" s="2319"/>
      <c r="AA62" s="2319"/>
      <c r="AB62" s="2319"/>
      <c r="AC62" s="2319"/>
      <c r="AD62" s="2319"/>
      <c r="AE62" s="2319"/>
      <c r="AF62" s="2319"/>
      <c r="AG62" s="2319"/>
      <c r="AH62" s="2319"/>
      <c r="AI62" s="2319"/>
      <c r="AJ62" s="2319"/>
      <c r="AK62" s="2319"/>
      <c r="AL62" s="2319"/>
      <c r="AM62" s="2319"/>
    </row>
    <row customHeight="1" ht="18">
      <c r="O63" s="691"/>
      <c r="P63" s="1487"/>
      <c r="T63" s="2319"/>
      <c r="U63" s="2319"/>
      <c r="V63" s="2319"/>
      <c r="W63" s="2319"/>
      <c r="X63" s="2319"/>
      <c r="Y63" s="2319"/>
      <c r="Z63" s="2319"/>
      <c r="AA63" s="2319"/>
      <c r="AB63" s="2319"/>
      <c r="AC63" s="2319"/>
      <c r="AD63" s="2319"/>
      <c r="AE63" s="2319"/>
      <c r="AF63" s="2319"/>
      <c r="AG63" s="2319"/>
      <c r="AH63" s="2319"/>
      <c r="AI63" s="2319"/>
      <c r="AJ63" s="2319"/>
      <c r="AK63" s="2319"/>
      <c r="AL63" s="2319"/>
      <c r="AM63" s="2319"/>
    </row>
    <row customHeight="1" ht="27.75">
      <c r="O64" s="691"/>
      <c r="P64" s="1487"/>
      <c r="S64" s="1411"/>
      <c r="T64" s="2319"/>
      <c r="U64" s="2319"/>
      <c r="V64" s="2319"/>
      <c r="W64" s="2319"/>
      <c r="X64" s="2319"/>
      <c r="Y64" s="2319"/>
      <c r="Z64" s="2319"/>
      <c r="AA64" s="2319"/>
      <c r="AB64" s="2319"/>
      <c r="AC64" s="2319"/>
      <c r="AD64" s="2319"/>
      <c r="AE64" s="2319"/>
      <c r="AF64" s="2319"/>
      <c r="AG64" s="2319"/>
      <c r="AH64" s="2319"/>
      <c r="AI64" s="2319"/>
      <c r="AJ64" s="2319"/>
      <c r="AK64" s="2319"/>
      <c r="AL64" s="2319"/>
      <c r="AM64" s="2319"/>
    </row>
  </sheetData>
  <sheetProtection formatColumns="0" formatRows="0" autoFilter="0" sort="0" insertRows="0" insertColumns="1" deleteRows="0" deleteColumns="0"/>
  <mergeCells count="112">
    <mergeCell ref="V43:AC43"/>
    <mergeCell ref="V44:AC44"/>
    <mergeCell ref="V45:AC45"/>
    <mergeCell ref="V46:AC46"/>
    <mergeCell ref="V47:AC47"/>
    <mergeCell ref="V48:AC48"/>
    <mergeCell ref="AD43:AL43"/>
    <mergeCell ref="AD44:AL44"/>
    <mergeCell ref="AD45:AL45"/>
    <mergeCell ref="AD46:AL46"/>
    <mergeCell ref="AD47:AL47"/>
    <mergeCell ref="AD48:AL48"/>
    <mergeCell ref="S26:AJ26"/>
    <mergeCell ref="S27:AJ27"/>
    <mergeCell ref="S29:T29"/>
    <mergeCell ref="S30:T30"/>
    <mergeCell ref="S31:T31"/>
    <mergeCell ref="S32:T32"/>
    <mergeCell ref="AD31:AJ31"/>
    <mergeCell ref="AD32:AJ32"/>
    <mergeCell ref="AD37:AK37"/>
    <mergeCell ref="AC49:AC50"/>
    <mergeCell ref="AM49:AM51"/>
    <mergeCell ref="AM8:AM10"/>
    <mergeCell ref="K8:K9"/>
    <mergeCell ref="P6:P11"/>
    <mergeCell ref="E43:E56"/>
    <mergeCell ref="F44:F55"/>
    <mergeCell ref="G45:G54"/>
    <mergeCell ref="H46:H53"/>
    <mergeCell ref="V40:V41"/>
    <mergeCell ref="X40:Y40"/>
    <mergeCell ref="V29:AB29"/>
    <mergeCell ref="V30:AB30"/>
    <mergeCell ref="V31:AB31"/>
    <mergeCell ref="V32:AB32"/>
    <mergeCell ref="Q7:Q10"/>
    <mergeCell ref="AH8:AH9"/>
    <mergeCell ref="AI8:AI9"/>
    <mergeCell ref="AJ8:AJ9"/>
    <mergeCell ref="Z8:Z9"/>
    <mergeCell ref="AA8:AA9"/>
    <mergeCell ref="AB8:AB9"/>
    <mergeCell ref="AC8:AC9"/>
    <mergeCell ref="AH17:AH18"/>
    <mergeCell ref="Z40:AB40"/>
    <mergeCell ref="AA41:AB41"/>
    <mergeCell ref="AA42:AB42"/>
    <mergeCell ref="V37:AC37"/>
    <mergeCell ref="S38:AL38"/>
    <mergeCell ref="AM38:AM41"/>
    <mergeCell ref="S39:S41"/>
    <mergeCell ref="T39:T41"/>
    <mergeCell ref="V39:AB39"/>
    <mergeCell ref="AC39:AC41"/>
    <mergeCell ref="AL39:AL41"/>
    <mergeCell ref="AI42:AJ42"/>
    <mergeCell ref="AD39:AJ39"/>
    <mergeCell ref="AK39:AK41"/>
    <mergeCell ref="AD40:AD41"/>
    <mergeCell ref="AE40:AE41"/>
    <mergeCell ref="AF40:AG40"/>
    <mergeCell ref="AH40:AJ40"/>
    <mergeCell ref="AI41:AJ41"/>
    <mergeCell ref="T62:AM62"/>
    <mergeCell ref="T63:AM63"/>
    <mergeCell ref="T64:AM64"/>
    <mergeCell ref="E2:E15"/>
    <mergeCell ref="F3:F14"/>
    <mergeCell ref="G4:G13"/>
    <mergeCell ref="H5:H12"/>
    <mergeCell ref="I6:I11"/>
    <mergeCell ref="J7:J10"/>
    <mergeCell ref="I47:I52"/>
    <mergeCell ref="J48:J51"/>
    <mergeCell ref="K49:K50"/>
    <mergeCell ref="P47:P52"/>
    <mergeCell ref="Q48:Q51"/>
    <mergeCell ref="AH49:AH50"/>
    <mergeCell ref="AI49:AI50"/>
    <mergeCell ref="AJ49:AJ50"/>
    <mergeCell ref="AK49:AK50"/>
    <mergeCell ref="T59:AM59"/>
    <mergeCell ref="W40:W41"/>
    <mergeCell ref="T60:AM60"/>
    <mergeCell ref="Z49:Z50"/>
    <mergeCell ref="AA49:AA50"/>
    <mergeCell ref="AB49:AB50"/>
    <mergeCell ref="V7:AC7"/>
    <mergeCell ref="AD7:AL7"/>
    <mergeCell ref="S34:T34"/>
    <mergeCell ref="V34:AB34"/>
    <mergeCell ref="AD34:AJ34"/>
    <mergeCell ref="S35:T35"/>
    <mergeCell ref="V35:AB35"/>
    <mergeCell ref="AD35:AJ35"/>
    <mergeCell ref="V2:AC2"/>
    <mergeCell ref="AD2:AL2"/>
    <mergeCell ref="V3:AC3"/>
    <mergeCell ref="AD3:AL3"/>
    <mergeCell ref="V4:AC4"/>
    <mergeCell ref="AD4:AL4"/>
    <mergeCell ref="V5:AC5"/>
    <mergeCell ref="AD5:AL5"/>
    <mergeCell ref="V6:AC6"/>
    <mergeCell ref="AD6:AL6"/>
    <mergeCell ref="AI17:AI18"/>
    <mergeCell ref="AJ17:AJ18"/>
    <mergeCell ref="AK17:AK18"/>
    <mergeCell ref="AK8:AK9"/>
    <mergeCell ref="AD29:AJ29"/>
    <mergeCell ref="AD30:AJ30"/>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06B5D0E-5221-19FA-551E-94C77647229B}" mc:Ignorable="x14ac xr xr2 xr3">
  <sheetPr>
    <tabColor theme="6" tint="0.4"/>
  </sheetPr>
  <dimension ref="A1:AR64"/>
  <sheetViews>
    <sheetView topLeftCell="A1" showGridLines="0" zoomScale="90" workbookViewId="0">
      <selection activeCell="A1" sqref="A1"/>
    </sheetView>
  </sheetViews>
  <sheetFormatPr defaultColWidth="10.57421875" customHeight="1" defaultRowHeight="14.25"/>
  <cols>
    <col min="1" max="1" style="8721" width="10.57421875" hidden="1"/>
    <col min="2" max="2" style="8721" width="11.00390625" hidden="1" customWidth="1"/>
    <col min="3" max="3" style="8721" width="10.57421875" hidden="1"/>
    <col min="4" max="4" style="8721" width="11.8515625" hidden="1" customWidth="1"/>
    <col min="5" max="5" style="8721" width="10.00390625" hidden="1" customWidth="1"/>
    <col min="6" max="6" style="8721" width="8.7109375" hidden="1" customWidth="1"/>
    <col min="7" max="7" style="8721" width="7.57421875" hidden="1" customWidth="1"/>
    <col min="8" max="8" style="8721" width="11.421875" hidden="1" customWidth="1"/>
    <col min="9" max="9" style="8721" width="12.00390625" hidden="1" customWidth="1"/>
    <col min="10" max="10" style="8721" width="9.8515625" hidden="1" customWidth="1"/>
    <col min="11" max="11" style="8721" width="11.421875" hidden="1" customWidth="1"/>
    <col min="12" max="12" style="8802" width="19.140625" hidden="1" customWidth="1"/>
    <col min="13" max="14" style="8803" width="12.28125" hidden="1" customWidth="1"/>
    <col min="15" max="15" style="8803" width="23.421875" hidden="1" customWidth="1"/>
    <col min="16" max="16" style="8815" width="3.7109375" customWidth="1"/>
    <col min="17" max="18" style="8805" width="3.7109375" customWidth="1"/>
    <col min="19" max="19" style="8806" width="12.7109375" customWidth="1"/>
    <col min="20" max="20" style="8807" width="32.00390625" customWidth="1"/>
    <col min="21" max="21" style="8807" width="0.140625" customWidth="1"/>
    <col min="22" max="22" style="8807" width="24.7109375" hidden="1" customWidth="1"/>
    <col min="23" max="23" style="8807" width="0.140625" hidden="1" customWidth="1"/>
    <col min="24" max="25" style="8807" width="24.7109375" hidden="1" customWidth="1"/>
    <col min="26" max="26" style="8807" width="11.7109375" hidden="1" customWidth="1"/>
    <col min="27" max="27" style="8807" width="3.7109375" hidden="1" customWidth="1"/>
    <col min="28" max="28" style="8807" width="11.7109375" hidden="1" customWidth="1"/>
    <col min="29" max="29" style="8807" width="8.57421875" hidden="1" customWidth="1"/>
    <col min="30" max="30" style="8807" width="24.7109375" customWidth="1"/>
    <col min="31" max="31" style="8807" width="0.140625" customWidth="1"/>
    <col min="32" max="33" style="8807" width="24.7109375" customWidth="1"/>
    <col min="34" max="34" style="8807" width="11.7109375" customWidth="1"/>
    <col min="35" max="35" style="8807" width="3.7109375" customWidth="1"/>
    <col min="36" max="36" style="8807" width="11.7109375" customWidth="1"/>
    <col min="37" max="37" style="8807" width="8.57421875" hidden="1" customWidth="1"/>
    <col min="38" max="38" style="8807" width="4.7109375" customWidth="1"/>
    <col min="39" max="39" style="8807" width="115.7109375" customWidth="1"/>
    <col min="40" max="41" style="8794" width="10.57421875"/>
    <col min="42" max="42" style="8794" width="11.140625" customWidth="1"/>
    <col min="43" max="44" style="8794" width="10.57421875"/>
  </cols>
  <sheetData>
    <row customHeight="1" ht="14.25" hidden="1">
      <c r="Y1" s="481"/>
      <c r="Z1" s="481"/>
      <c r="AG1" s="481"/>
      <c r="AH1" s="481"/>
    </row>
    <row customHeight="1" ht="21" hidden="1">
      <c r="A2" s="1522"/>
      <c r="B2" s="1522"/>
      <c r="C2" s="1522"/>
      <c r="D2" s="1522"/>
      <c r="E2" s="2320">
        <v>1</v>
      </c>
      <c r="F2" s="1522"/>
      <c r="G2" s="1522"/>
      <c r="H2" s="1522"/>
      <c r="I2" s="1522"/>
      <c r="J2" s="1522"/>
      <c r="K2" s="1522"/>
      <c r="L2" s="1523"/>
      <c r="M2" s="1524"/>
      <c r="N2" s="1524"/>
      <c r="O2" s="1524"/>
      <c r="P2" s="515"/>
      <c r="Q2" s="514"/>
      <c r="R2" s="509"/>
      <c r="S2" s="1495">
        <f>INDEX(PT_DIFFERENTIATION_NUM_NTAR,MATCH(A2,PT_DIFFERENTIATION_NTAR_ID,0))</f>
      </c>
      <c r="T2" s="452" t="s">
        <v>120</v>
      </c>
      <c r="U2" s="454"/>
      <c r="V2" s="2314"/>
      <c r="W2" s="2315"/>
      <c r="X2" s="2315"/>
      <c r="Y2" s="2315"/>
      <c r="Z2" s="2315"/>
      <c r="AA2" s="2315"/>
      <c r="AB2" s="2315"/>
      <c r="AC2" s="2316"/>
      <c r="AD2" s="2314">
        <f>INDEX(PT_DIFFERENTIATION_NTAR,MATCH(A2,PT_DIFFERENTIATION_NTAR_ID,0))</f>
      </c>
      <c r="AE2" s="2315"/>
      <c r="AF2" s="2315"/>
      <c r="AG2" s="2315"/>
      <c r="AH2" s="2315"/>
      <c r="AI2" s="2315"/>
      <c r="AJ2" s="2315"/>
      <c r="AK2" s="2315"/>
      <c r="AL2" s="2316"/>
      <c r="AM2" s="1416" t="s">
        <v>396</v>
      </c>
      <c r="AO2" s="654"/>
      <c r="AP2" s="654" t="str">
        <f>IF(T2="","",T2)</f>
        <v>Наименование тарифа</v>
      </c>
      <c r="AQ2" s="654"/>
      <c r="AR2" s="654"/>
    </row>
    <row customHeight="1" ht="21" hidden="1">
      <c r="A3" s="1522"/>
      <c r="B3" s="1522"/>
      <c r="C3" s="1522"/>
      <c r="D3" s="1522"/>
      <c r="E3" s="2321"/>
      <c r="F3" s="2320">
        <v>1</v>
      </c>
      <c r="G3" s="1522"/>
      <c r="H3" s="1522"/>
      <c r="I3" s="1522"/>
      <c r="J3" s="1522"/>
      <c r="K3" s="1522"/>
      <c r="L3" s="1523"/>
      <c r="M3" s="1524"/>
      <c r="N3" s="1524"/>
      <c r="O3" s="1524"/>
      <c r="P3" s="1491"/>
      <c r="Q3" s="506"/>
      <c r="R3" s="507"/>
      <c r="S3" s="1495">
        <f>INDEX(PT_DIFFERENTIATION_NUM_TER,MATCH(B3,PT_DIFFERENTIATION_TER_ID,0))</f>
      </c>
      <c r="T3" s="462" t="s">
        <v>397</v>
      </c>
      <c r="U3" s="454"/>
      <c r="V3" s="2314"/>
      <c r="W3" s="2315"/>
      <c r="X3" s="2315"/>
      <c r="Y3" s="2315"/>
      <c r="Z3" s="2315"/>
      <c r="AA3" s="2315"/>
      <c r="AB3" s="2315"/>
      <c r="AC3" s="2316"/>
      <c r="AD3" s="2314">
        <f>INDEX(PT_DIFFERENTIATION_TER,MATCH(B3,PT_DIFFERENTIATION_TER_ID,0))</f>
      </c>
      <c r="AE3" s="2315"/>
      <c r="AF3" s="2315"/>
      <c r="AG3" s="2315"/>
      <c r="AH3" s="2315"/>
      <c r="AI3" s="2315"/>
      <c r="AJ3" s="2315"/>
      <c r="AK3" s="2315"/>
      <c r="AL3" s="2316"/>
      <c r="AM3" s="1416" t="s">
        <v>398</v>
      </c>
      <c r="AO3" s="654"/>
      <c r="AP3" s="654" t="str">
        <f>IF(T3="","",T3)</f>
        <v>Территория действия тарифа</v>
      </c>
      <c r="AQ3" s="654"/>
      <c r="AR3" s="654"/>
    </row>
    <row customHeight="1" ht="23.25" hidden="1">
      <c r="A4" s="1522"/>
      <c r="B4" s="1522"/>
      <c r="C4" s="1522"/>
      <c r="D4" s="1522"/>
      <c r="E4" s="2321"/>
      <c r="F4" s="2321"/>
      <c r="G4" s="2320">
        <v>1</v>
      </c>
      <c r="H4" s="1522"/>
      <c r="I4" s="1522"/>
      <c r="J4" s="1522"/>
      <c r="K4" s="1522"/>
      <c r="L4" s="1523"/>
      <c r="M4" s="1524"/>
      <c r="N4" s="1524"/>
      <c r="O4" s="1524"/>
      <c r="P4" s="508"/>
      <c r="Q4" s="506"/>
      <c r="R4" s="507"/>
      <c r="S4" s="1495">
        <f>INDEX(PT_DIFFERENTIATION_NUM_CS,MATCH(C4,PT_DIFFERENTIATION_CS_ID,0))</f>
      </c>
      <c r="T4" s="463" t="s">
        <v>399</v>
      </c>
      <c r="U4" s="454"/>
      <c r="V4" s="2314"/>
      <c r="W4" s="2315"/>
      <c r="X4" s="2315"/>
      <c r="Y4" s="2315"/>
      <c r="Z4" s="2315"/>
      <c r="AA4" s="2315"/>
      <c r="AB4" s="2315"/>
      <c r="AC4" s="2316"/>
      <c r="AD4" s="2314">
        <f>INDEX(PT_DIFFERENTIATION_CS,MATCH(C4,PT_DIFFERENTIATION_CS_ID,0))</f>
      </c>
      <c r="AE4" s="2315"/>
      <c r="AF4" s="2315"/>
      <c r="AG4" s="2315"/>
      <c r="AH4" s="2315"/>
      <c r="AI4" s="2315"/>
      <c r="AJ4" s="2315"/>
      <c r="AK4" s="2315"/>
      <c r="AL4" s="2316"/>
      <c r="AM4" s="1416" t="s">
        <v>400</v>
      </c>
      <c r="AO4" s="654"/>
      <c r="AP4" s="654" t="str">
        <f>IF(T4="","",T4)</f>
        <v>Наименование системы теплоснабжения </v>
      </c>
      <c r="AQ4" s="654"/>
      <c r="AR4" s="654"/>
    </row>
    <row customHeight="1" ht="21" hidden="1">
      <c r="A5" s="1522"/>
      <c r="B5" s="1522"/>
      <c r="C5" s="1522"/>
      <c r="D5" s="1522"/>
      <c r="E5" s="2321"/>
      <c r="F5" s="2321"/>
      <c r="G5" s="2321"/>
      <c r="H5" s="2320">
        <v>1</v>
      </c>
      <c r="I5" s="1522"/>
      <c r="J5" s="1522"/>
      <c r="K5" s="1522"/>
      <c r="L5" s="1523"/>
      <c r="M5" s="1524"/>
      <c r="N5" s="1524"/>
      <c r="O5" s="1524"/>
      <c r="P5" s="508"/>
      <c r="Q5" s="506"/>
      <c r="R5" s="507"/>
      <c r="S5" s="1495">
        <f>INDEX(PT_DIFFERENTIATION_NUM_IST_TE,MATCH(D5,PT_DIFFERENTIATION_IST_TE_ID,0))</f>
      </c>
      <c r="T5" s="464" t="s">
        <v>401</v>
      </c>
      <c r="U5" s="454"/>
      <c r="V5" s="2314"/>
      <c r="W5" s="2315"/>
      <c r="X5" s="2315"/>
      <c r="Y5" s="2315"/>
      <c r="Z5" s="2315"/>
      <c r="AA5" s="2315"/>
      <c r="AB5" s="2315"/>
      <c r="AC5" s="2316"/>
      <c r="AD5" s="2314">
        <f>INDEX(PT_DIFFERENTIATION_IST_TE,MATCH(D5,PT_DIFFERENTIATION_IST_TE_ID,0))</f>
      </c>
      <c r="AE5" s="2315"/>
      <c r="AF5" s="2315"/>
      <c r="AG5" s="2315"/>
      <c r="AH5" s="2315"/>
      <c r="AI5" s="2315"/>
      <c r="AJ5" s="2315"/>
      <c r="AK5" s="2315"/>
      <c r="AL5" s="2316"/>
      <c r="AM5" s="1416" t="s">
        <v>402</v>
      </c>
      <c r="AO5" s="654"/>
      <c r="AP5" s="654" t="str">
        <f>IF(T5="","",T5)</f>
        <v>Источник тепловой энергии  </v>
      </c>
      <c r="AQ5" s="654"/>
      <c r="AR5" s="654"/>
    </row>
    <row customHeight="1" ht="47.25" hidden="1">
      <c r="A6" s="1522"/>
      <c r="B6" s="1522"/>
      <c r="C6" s="1522"/>
      <c r="D6" s="1522"/>
      <c r="E6" s="2321"/>
      <c r="F6" s="2321"/>
      <c r="G6" s="2321"/>
      <c r="H6" s="2321"/>
      <c r="I6" s="2322">
        <f>S5&amp;".1"</f>
      </c>
      <c r="J6" s="1522"/>
      <c r="K6" s="1522"/>
      <c r="L6" s="1523" t="s">
        <v>403</v>
      </c>
      <c r="M6" s="691"/>
      <c r="P6" s="2324">
        <v>1</v>
      </c>
      <c r="Q6" s="1490"/>
      <c r="R6" s="510"/>
      <c r="S6" s="1495">
        <f>$I6</f>
      </c>
      <c r="T6" s="439" t="s">
        <v>404</v>
      </c>
      <c r="U6" s="454"/>
      <c r="V6" s="2308"/>
      <c r="W6" s="2309"/>
      <c r="X6" s="2309"/>
      <c r="Y6" s="2309"/>
      <c r="Z6" s="2309"/>
      <c r="AA6" s="2309"/>
      <c r="AB6" s="2309"/>
      <c r="AC6" s="2310"/>
      <c r="AD6" s="2308"/>
      <c r="AE6" s="2309"/>
      <c r="AF6" s="2309"/>
      <c r="AG6" s="2309"/>
      <c r="AH6" s="2309"/>
      <c r="AI6" s="2309"/>
      <c r="AJ6" s="2309"/>
      <c r="AK6" s="2309"/>
      <c r="AL6" s="2310"/>
      <c r="AM6" s="1416" t="s">
        <v>405</v>
      </c>
      <c r="AO6" s="654"/>
      <c r="AP6" s="654" t="str">
        <f>IF(T6="","",T6)</f>
        <v>Схема подключения теплопотребляющей установки к коллектору источника тепловой энергии</v>
      </c>
      <c r="AQ6" s="654"/>
      <c r="AR6" s="654"/>
    </row>
    <row customHeight="1" ht="21" hidden="1">
      <c r="A7" s="1522"/>
      <c r="B7" s="1522"/>
      <c r="C7" s="1522"/>
      <c r="D7" s="1522"/>
      <c r="E7" s="2321"/>
      <c r="F7" s="2321"/>
      <c r="G7" s="2321"/>
      <c r="H7" s="2321"/>
      <c r="I7" s="2323"/>
      <c r="J7" s="2322">
        <f>I6&amp;".1"</f>
      </c>
      <c r="K7" s="1522"/>
      <c r="L7" s="1523" t="s">
        <v>406</v>
      </c>
      <c r="M7" s="691"/>
      <c r="N7" s="1525"/>
      <c r="P7" s="2324"/>
      <c r="Q7" s="2324">
        <v>1</v>
      </c>
      <c r="R7" s="511"/>
      <c r="S7" s="1495">
        <f>$J7</f>
      </c>
      <c r="T7" s="440" t="s">
        <v>407</v>
      </c>
      <c r="U7" s="454"/>
      <c r="V7" s="2308"/>
      <c r="W7" s="2309"/>
      <c r="X7" s="2309"/>
      <c r="Y7" s="2309"/>
      <c r="Z7" s="2309"/>
      <c r="AA7" s="2309"/>
      <c r="AB7" s="2309"/>
      <c r="AC7" s="2310"/>
      <c r="AD7" s="2308"/>
      <c r="AE7" s="2309"/>
      <c r="AF7" s="2309"/>
      <c r="AG7" s="2309"/>
      <c r="AH7" s="2309"/>
      <c r="AI7" s="2309"/>
      <c r="AJ7" s="2309"/>
      <c r="AK7" s="2309"/>
      <c r="AL7" s="2310"/>
      <c r="AM7" s="1416" t="s">
        <v>408</v>
      </c>
      <c r="AO7" s="654"/>
      <c r="AP7" s="654" t="str">
        <f>IF(T7="","",T7)</f>
        <v>Группа потребителей</v>
      </c>
      <c r="AQ7" s="654"/>
      <c r="AR7" s="654"/>
    </row>
    <row customHeight="1" ht="21" hidden="1">
      <c r="A8" s="1522"/>
      <c r="B8" s="1522"/>
      <c r="C8" s="1522"/>
      <c r="D8" s="1522"/>
      <c r="E8" s="2321"/>
      <c r="F8" s="2321"/>
      <c r="G8" s="2321"/>
      <c r="H8" s="2321"/>
      <c r="I8" s="2323"/>
      <c r="J8" s="2323"/>
      <c r="K8" s="2322">
        <f>J7&amp;".1"</f>
      </c>
      <c r="L8" s="1523" t="s">
        <v>409</v>
      </c>
      <c r="M8" s="691"/>
      <c r="N8" s="1525"/>
      <c r="O8" s="1525"/>
      <c r="P8" s="2324"/>
      <c r="Q8" s="2324"/>
      <c r="R8" s="511">
        <v>1</v>
      </c>
      <c r="S8" s="1495">
        <f>$K8</f>
      </c>
      <c r="T8" s="1506"/>
      <c r="U8" s="454"/>
      <c r="V8" s="905"/>
      <c r="W8" s="479"/>
      <c r="X8" s="905"/>
      <c r="Y8" s="1415"/>
      <c r="Z8" s="2325"/>
      <c r="AA8" s="2195" t="s">
        <v>64</v>
      </c>
      <c r="AB8" s="2325"/>
      <c r="AC8" s="2195" t="s">
        <v>64</v>
      </c>
      <c r="AD8" s="905"/>
      <c r="AE8" s="479"/>
      <c r="AF8" s="905"/>
      <c r="AG8" s="1415"/>
      <c r="AH8" s="2325"/>
      <c r="AI8" s="2195" t="s">
        <v>64</v>
      </c>
      <c r="AJ8" s="2325"/>
      <c r="AK8" s="2195" t="s">
        <v>64</v>
      </c>
      <c r="AL8" s="479"/>
      <c r="AM8" s="2350" t="s">
        <v>410</v>
      </c>
      <c r="AN8" s="665">
        <f>STRCHECKDATE(V9:AL9)</f>
      </c>
      <c r="AO8" s="654"/>
      <c r="AP8" s="654" t="str">
        <f>IF(T8="","",T8)</f>
        <v/>
      </c>
      <c r="AQ8" s="654"/>
      <c r="AR8" s="654"/>
    </row>
    <row customHeight="1" ht="0.75" hidden="1">
      <c r="A9" s="1522"/>
      <c r="B9" s="1522"/>
      <c r="C9" s="1522"/>
      <c r="D9" s="1522"/>
      <c r="E9" s="2321"/>
      <c r="F9" s="2321"/>
      <c r="G9" s="2321"/>
      <c r="H9" s="2321"/>
      <c r="I9" s="2323"/>
      <c r="J9" s="2323"/>
      <c r="K9" s="2322"/>
      <c r="L9" s="1523"/>
      <c r="M9" s="691"/>
      <c r="N9" s="1525"/>
      <c r="O9" s="1525"/>
      <c r="P9" s="2324"/>
      <c r="Q9" s="2324"/>
      <c r="R9" s="511"/>
      <c r="S9" s="1501"/>
      <c r="T9" s="454"/>
      <c r="U9" s="454"/>
      <c r="V9" s="479"/>
      <c r="W9" s="479"/>
      <c r="X9" s="479"/>
      <c r="Y9" s="482" t="str">
        <f>Z8&amp;"-"&amp;AB8</f>
        <v>-</v>
      </c>
      <c r="Z9" s="2326"/>
      <c r="AA9" s="2195"/>
      <c r="AB9" s="2326"/>
      <c r="AC9" s="2195"/>
      <c r="AD9" s="479"/>
      <c r="AE9" s="479"/>
      <c r="AF9" s="479"/>
      <c r="AG9" s="482" t="str">
        <f>AH8&amp;"-"&amp;AJ8</f>
        <v>-</v>
      </c>
      <c r="AH9" s="2326"/>
      <c r="AI9" s="2195"/>
      <c r="AJ9" s="2326"/>
      <c r="AK9" s="2195"/>
      <c r="AL9" s="479"/>
      <c r="AM9" s="2351"/>
      <c r="AO9" s="654"/>
      <c r="AP9" s="654" t="str">
        <f>IF(T9="","",T9)</f>
        <v/>
      </c>
      <c r="AQ9" s="654"/>
      <c r="AR9" s="654"/>
    </row>
    <row customHeight="1" ht="15" hidden="1">
      <c r="A10" s="1522"/>
      <c r="B10" s="1522"/>
      <c r="C10" s="1522"/>
      <c r="D10" s="1522"/>
      <c r="E10" s="2321"/>
      <c r="F10" s="2321"/>
      <c r="G10" s="2321"/>
      <c r="H10" s="2321"/>
      <c r="I10" s="2323"/>
      <c r="J10" s="2322"/>
      <c r="K10" s="1522"/>
      <c r="L10" s="1523"/>
      <c r="M10" s="691"/>
      <c r="N10" s="1525"/>
      <c r="P10" s="2324"/>
      <c r="Q10" s="2324"/>
      <c r="R10" s="510"/>
      <c r="S10" s="1437"/>
      <c r="T10" s="442" t="s">
        <v>411</v>
      </c>
      <c r="U10" s="521"/>
      <c r="V10" s="521"/>
      <c r="W10" s="521"/>
      <c r="X10" s="521"/>
      <c r="Y10" s="521"/>
      <c r="Z10" s="521"/>
      <c r="AA10" s="521"/>
      <c r="AB10" s="521"/>
      <c r="AC10" s="521"/>
      <c r="AD10" s="521"/>
      <c r="AE10" s="521"/>
      <c r="AF10" s="521"/>
      <c r="AG10" s="521"/>
      <c r="AH10" s="521"/>
      <c r="AI10" s="521"/>
      <c r="AJ10" s="521"/>
      <c r="AK10" s="521"/>
      <c r="AL10" s="478"/>
      <c r="AM10" s="2352"/>
      <c r="AO10" s="654"/>
      <c r="AP10" s="654" t="str">
        <f>IF(T10="","",T10)</f>
        <v>Добавить вид теплоносителя (параметры теплоносителя)</v>
      </c>
      <c r="AQ10" s="654"/>
      <c r="AR10" s="654"/>
    </row>
    <row customHeight="1" ht="15" hidden="1">
      <c r="A11" s="1522"/>
      <c r="B11" s="1522"/>
      <c r="C11" s="1522"/>
      <c r="D11" s="1522"/>
      <c r="E11" s="2321"/>
      <c r="F11" s="2321"/>
      <c r="G11" s="2321"/>
      <c r="H11" s="2321"/>
      <c r="I11" s="2322"/>
      <c r="J11" s="1522"/>
      <c r="K11" s="1522"/>
      <c r="L11" s="1523"/>
      <c r="M11" s="691"/>
      <c r="P11" s="2324"/>
      <c r="Q11" s="1490"/>
      <c r="R11" s="510"/>
      <c r="S11" s="1437"/>
      <c r="T11" s="441" t="s">
        <v>412</v>
      </c>
      <c r="U11" s="521"/>
      <c r="V11" s="521"/>
      <c r="W11" s="521"/>
      <c r="X11" s="521"/>
      <c r="Y11" s="521"/>
      <c r="Z11" s="521"/>
      <c r="AA11" s="521"/>
      <c r="AB11" s="521"/>
      <c r="AC11" s="520"/>
      <c r="AD11" s="521"/>
      <c r="AE11" s="521"/>
      <c r="AF11" s="521"/>
      <c r="AG11" s="521"/>
      <c r="AH11" s="521"/>
      <c r="AI11" s="521"/>
      <c r="AJ11" s="521"/>
      <c r="AK11" s="520"/>
      <c r="AL11" s="521"/>
      <c r="AM11" s="457"/>
      <c r="AO11" s="654"/>
      <c r="AP11" s="654" t="str">
        <f>IF(T11="","",T11)</f>
        <v>Добавить группу потребителей</v>
      </c>
      <c r="AQ11" s="654"/>
      <c r="AR11" s="654"/>
    </row>
    <row customHeight="1" ht="14.25" hidden="1">
      <c r="A12" s="1522"/>
      <c r="B12" s="1522"/>
      <c r="C12" s="1522"/>
      <c r="D12" s="1522"/>
      <c r="E12" s="2321"/>
      <c r="F12" s="2321"/>
      <c r="G12" s="2321"/>
      <c r="H12" s="2320"/>
      <c r="I12" s="1522"/>
      <c r="J12" s="1522"/>
      <c r="K12" s="1522"/>
      <c r="L12" s="1523"/>
      <c r="M12" s="1524"/>
      <c r="N12" s="1524"/>
      <c r="O12" s="691"/>
      <c r="P12" s="514"/>
      <c r="Q12" s="529"/>
      <c r="R12" s="509"/>
      <c r="S12" s="1437"/>
      <c r="T12" s="519" t="s">
        <v>413</v>
      </c>
      <c r="U12" s="521"/>
      <c r="V12" s="521"/>
      <c r="W12" s="521"/>
      <c r="X12" s="521"/>
      <c r="Y12" s="521"/>
      <c r="Z12" s="521"/>
      <c r="AA12" s="521"/>
      <c r="AB12" s="521"/>
      <c r="AC12" s="520"/>
      <c r="AD12" s="521"/>
      <c r="AE12" s="521"/>
      <c r="AF12" s="521"/>
      <c r="AG12" s="521"/>
      <c r="AH12" s="521"/>
      <c r="AI12" s="521"/>
      <c r="AJ12" s="521"/>
      <c r="AK12" s="520"/>
      <c r="AL12" s="521"/>
      <c r="AM12" s="457"/>
      <c r="AO12" s="654"/>
      <c r="AP12" s="654" t="str">
        <f>IF(T12="","",T12)</f>
        <v>Добавить схему подключения</v>
      </c>
      <c r="AQ12" s="654"/>
      <c r="AR12" s="654"/>
    </row>
    <row s="8702" customFormat="1" customHeight="1" ht="0.75" hidden="1">
      <c r="A13" s="1473"/>
      <c r="B13" s="1473"/>
      <c r="C13" s="1473"/>
      <c r="D13" s="1473"/>
      <c r="E13" s="2321"/>
      <c r="F13" s="2321"/>
      <c r="G13" s="2320"/>
      <c r="H13" s="1473"/>
      <c r="I13" s="1473"/>
      <c r="J13" s="1473"/>
      <c r="K13" s="1473"/>
      <c r="L13" s="1498"/>
      <c r="M13" s="1474"/>
      <c r="N13" s="1474"/>
      <c r="P13" s="1475"/>
      <c r="Q13" s="1476"/>
      <c r="R13" s="1475"/>
      <c r="S13" s="1477"/>
      <c r="T13" s="1478" t="s">
        <v>414</v>
      </c>
      <c r="U13" s="1479"/>
      <c r="V13" s="1479"/>
      <c r="W13" s="1479"/>
      <c r="X13" s="1479"/>
      <c r="Y13" s="1479"/>
      <c r="Z13" s="1479"/>
      <c r="AA13" s="1479"/>
      <c r="AB13" s="1479"/>
      <c r="AC13" s="1479"/>
      <c r="AD13" s="1479"/>
      <c r="AE13" s="1479"/>
      <c r="AF13" s="1479"/>
      <c r="AG13" s="1479"/>
      <c r="AH13" s="1479"/>
      <c r="AI13" s="1479"/>
      <c r="AJ13" s="1479"/>
      <c r="AK13" s="1479"/>
      <c r="AL13" s="1479"/>
      <c r="AM13" s="1479"/>
      <c r="AO13" s="943"/>
      <c r="AP13" s="943" t="str">
        <f>IF(T13="","",T13)</f>
        <v>Добавить источник для дифференциации</v>
      </c>
      <c r="AQ13" s="943"/>
      <c r="AR13" s="943"/>
    </row>
    <row s="8702" customFormat="1" customHeight="1" ht="0.75" hidden="1">
      <c r="A14" s="1473"/>
      <c r="B14" s="1473"/>
      <c r="C14" s="1473"/>
      <c r="D14" s="1473"/>
      <c r="E14" s="2321"/>
      <c r="F14" s="2320"/>
      <c r="G14" s="1473"/>
      <c r="H14" s="1473"/>
      <c r="I14" s="1473"/>
      <c r="J14" s="1473"/>
      <c r="K14" s="1473"/>
      <c r="L14" s="1498"/>
      <c r="M14" s="1480"/>
      <c r="N14" s="1480"/>
      <c r="P14" s="1475"/>
      <c r="Q14" s="1476"/>
      <c r="R14" s="1475"/>
      <c r="S14" s="1481"/>
      <c r="T14" s="1482" t="s">
        <v>251</v>
      </c>
      <c r="U14" s="1483"/>
      <c r="V14" s="1483"/>
      <c r="W14" s="1483"/>
      <c r="X14" s="1483"/>
      <c r="Y14" s="1483"/>
      <c r="Z14" s="1483"/>
      <c r="AA14" s="1483"/>
      <c r="AB14" s="1483"/>
      <c r="AC14" s="1483"/>
      <c r="AD14" s="1483"/>
      <c r="AE14" s="1483"/>
      <c r="AF14" s="1483"/>
      <c r="AG14" s="1483"/>
      <c r="AH14" s="1483"/>
      <c r="AI14" s="1483"/>
      <c r="AJ14" s="1483"/>
      <c r="AK14" s="1483"/>
      <c r="AL14" s="1483"/>
      <c r="AM14" s="1483"/>
      <c r="AO14" s="943"/>
      <c r="AP14" s="943" t="str">
        <f>IF(T14="","",T14)</f>
        <v>Добавить централизованную систему для дифференциации</v>
      </c>
      <c r="AQ14" s="943"/>
      <c r="AR14" s="943"/>
    </row>
    <row s="8702" customFormat="1" customHeight="1" ht="0.75" hidden="1">
      <c r="A15" s="1473"/>
      <c r="B15" s="1473"/>
      <c r="C15" s="1473"/>
      <c r="D15" s="1473"/>
      <c r="E15" s="2320"/>
      <c r="F15" s="1473"/>
      <c r="G15" s="1473"/>
      <c r="H15" s="1473"/>
      <c r="I15" s="1473"/>
      <c r="J15" s="1473"/>
      <c r="K15" s="1473"/>
      <c r="L15" s="1498"/>
      <c r="M15" s="1480"/>
      <c r="N15" s="1480"/>
      <c r="P15" s="1475"/>
      <c r="Q15" s="1476"/>
      <c r="R15" s="1475"/>
      <c r="S15" s="1481"/>
      <c r="T15" s="1484" t="s">
        <v>252</v>
      </c>
      <c r="U15" s="1483"/>
      <c r="V15" s="1483"/>
      <c r="W15" s="1483"/>
      <c r="X15" s="1483"/>
      <c r="Y15" s="1483"/>
      <c r="Z15" s="1483"/>
      <c r="AA15" s="1483"/>
      <c r="AB15" s="1483"/>
      <c r="AC15" s="1483"/>
      <c r="AD15" s="1483"/>
      <c r="AE15" s="1483"/>
      <c r="AF15" s="1483"/>
      <c r="AG15" s="1483"/>
      <c r="AH15" s="1483"/>
      <c r="AI15" s="1483"/>
      <c r="AJ15" s="1483"/>
      <c r="AK15" s="1483"/>
      <c r="AL15" s="1483"/>
      <c r="AM15" s="1483"/>
      <c r="AO15" s="943"/>
      <c r="AP15" s="943" t="str">
        <f>IF(T15="","",T15)</f>
        <v>Добавить территорию для дифференциации</v>
      </c>
      <c r="AQ15" s="943"/>
      <c r="AR15" s="943"/>
    </row>
    <row customHeight="1" ht="14.25" hidden="1">
      <c r="AC16" s="481"/>
      <c r="AK16" s="481"/>
    </row>
    <row customHeight="1" ht="14.25" hidden="1">
      <c r="AD17" s="1519"/>
      <c r="AE17" s="1519"/>
      <c r="AF17" s="1519"/>
      <c r="AG17" s="1520"/>
      <c r="AH17" s="2318"/>
      <c r="AI17" s="2317" t="s">
        <v>64</v>
      </c>
      <c r="AJ17" s="2318"/>
      <c r="AK17" s="2317" t="s">
        <v>64</v>
      </c>
    </row>
    <row customHeight="1" ht="14.25" hidden="1">
      <c r="AD18" s="1519"/>
      <c r="AE18" s="1519"/>
      <c r="AF18" s="1519"/>
      <c r="AG18" s="482" t="str">
        <f>AH17&amp;"-"&amp;AJ17</f>
        <v>-</v>
      </c>
      <c r="AH18" s="2317"/>
      <c r="AI18" s="2317"/>
      <c r="AJ18" s="2317"/>
      <c r="AK18" s="2317"/>
    </row>
    <row customHeight="1" ht="14.25" hidden="1">
      <c r="AK19" s="481"/>
    </row>
    <row s="8721" customFormat="1" customHeight="1" ht="22.5" hidden="1">
      <c r="L20" s="1488"/>
      <c r="M20" s="1521"/>
      <c r="N20" s="1521"/>
      <c r="O20" s="1526" t="s">
        <v>415</v>
      </c>
      <c r="P20" s="1521"/>
      <c r="Q20" s="1530"/>
      <c r="R20" s="1530"/>
      <c r="S20" s="883"/>
      <c r="Z20" s="1526"/>
      <c r="AB20" s="1526"/>
      <c r="AC20" s="1525"/>
      <c r="AH20" s="1526"/>
      <c r="AJ20" s="1526"/>
      <c r="AK20" s="1525"/>
      <c r="AN20" s="665"/>
      <c r="AO20" s="665"/>
      <c r="AP20" s="665"/>
      <c r="AQ20" s="665"/>
      <c r="AR20" s="665"/>
    </row>
    <row s="8721" customFormat="1" customHeight="1" ht="14.25" hidden="1">
      <c r="L21" s="1488"/>
      <c r="M21" s="1521"/>
      <c r="N21" s="1521"/>
      <c r="O21" s="1521"/>
      <c r="P21" s="1521"/>
      <c r="Q21" s="1530"/>
      <c r="R21" s="1530"/>
      <c r="S21" s="883"/>
      <c r="AC21" s="1525"/>
      <c r="AK21" s="1525"/>
      <c r="AN21" s="665"/>
      <c r="AO21" s="665"/>
      <c r="AP21" s="665"/>
      <c r="AQ21" s="665"/>
      <c r="AR21" s="665"/>
    </row>
    <row s="8721" customFormat="1" customHeight="1" ht="14.25" hidden="1">
      <c r="L22" s="1488"/>
      <c r="M22" s="1521"/>
      <c r="N22" s="1521"/>
      <c r="O22" s="1523" t="s">
        <v>416</v>
      </c>
      <c r="P22" s="1521"/>
      <c r="Q22" s="1530"/>
      <c r="R22" s="1530"/>
      <c r="S22" s="883"/>
      <c r="T22" s="1316" t="s">
        <v>417</v>
      </c>
      <c r="AA22" s="340" t="s">
        <v>418</v>
      </c>
      <c r="AC22" s="340" t="s">
        <v>419</v>
      </c>
      <c r="AD22" s="1316" t="s">
        <v>417</v>
      </c>
      <c r="AI22" s="340" t="s">
        <v>420</v>
      </c>
      <c r="AK22" s="340" t="s">
        <v>419</v>
      </c>
      <c r="AN22" s="665"/>
      <c r="AO22" s="665"/>
      <c r="AP22" s="665"/>
      <c r="AQ22" s="665"/>
      <c r="AR22" s="665"/>
    </row>
    <row customHeight="1" ht="14.25" hidden="1">
      <c r="O23" s="1523"/>
    </row>
    <row customHeight="1" ht="14.25" hidden="1">
      <c r="O24" s="1523"/>
    </row>
    <row customHeight="1" ht="14.25">
      <c r="Q25" s="530"/>
      <c r="R25" s="530"/>
      <c r="S25" s="1434"/>
      <c r="T25" s="517"/>
      <c r="U25" s="517"/>
      <c r="V25" s="663"/>
      <c r="W25" s="663"/>
      <c r="X25" s="663"/>
      <c r="Y25" s="663"/>
      <c r="Z25" s="663"/>
      <c r="AA25" s="663"/>
      <c r="AB25" s="663"/>
      <c r="AC25" s="663"/>
      <c r="AD25" s="663"/>
      <c r="AE25" s="663"/>
      <c r="AF25" s="663"/>
      <c r="AG25" s="663"/>
      <c r="AH25" s="663"/>
      <c r="AI25" s="663"/>
      <c r="AJ25" s="663"/>
      <c r="AK25" s="663"/>
    </row>
    <row customHeight="1" ht="14.25">
      <c r="Q26" s="530"/>
      <c r="R26" s="530"/>
      <c r="S26" s="2353" t="str">
        <f>IF(TEMPLATE_GROUP="P",PT_P_FORM_HEAT_4_NAME_FORM,PT_R_FORM_HEAT_21_NAME_FORM)</f>
        <v>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v>
      </c>
      <c r="T26" s="2353"/>
      <c r="U26" s="2353"/>
      <c r="V26" s="2353"/>
      <c r="W26" s="2353"/>
      <c r="X26" s="2353"/>
      <c r="Y26" s="2353"/>
      <c r="Z26" s="2353"/>
      <c r="AA26" s="2353"/>
      <c r="AB26" s="2353"/>
      <c r="AC26" s="2353"/>
      <c r="AD26" s="2353"/>
      <c r="AE26" s="2353"/>
      <c r="AF26" s="2353"/>
      <c r="AG26" s="2353"/>
      <c r="AH26" s="2353"/>
      <c r="AI26" s="2353"/>
      <c r="AJ26" s="2353"/>
      <c r="AK26" s="1401"/>
    </row>
    <row customHeight="1" ht="14.25">
      <c r="Q27" s="530"/>
      <c r="R27" s="530"/>
      <c r="S27" s="2354" t="str">
        <f>IF(org=0,"Не определено",org)</f>
        <v>АО "Теплокоммунэнерго"</v>
      </c>
      <c r="T27" s="2354"/>
      <c r="U27" s="2354"/>
      <c r="V27" s="2354"/>
      <c r="W27" s="2354"/>
      <c r="X27" s="2354"/>
      <c r="Y27" s="2354"/>
      <c r="Z27" s="2354"/>
      <c r="AA27" s="2354"/>
      <c r="AB27" s="2354"/>
      <c r="AC27" s="2354"/>
      <c r="AD27" s="2354"/>
      <c r="AE27" s="2354"/>
      <c r="AF27" s="2354"/>
      <c r="AG27" s="2354"/>
      <c r="AH27" s="2354"/>
      <c r="AI27" s="2354"/>
      <c r="AJ27" s="2354"/>
      <c r="AK27" s="1401"/>
    </row>
    <row customHeight="1" ht="14.25">
      <c r="Q28" s="530"/>
      <c r="R28" s="530"/>
      <c r="S28" s="1434"/>
      <c r="T28" s="517"/>
      <c r="U28" s="517"/>
      <c r="V28" s="476"/>
      <c r="W28" s="476"/>
      <c r="X28" s="476"/>
      <c r="Y28" s="476"/>
      <c r="Z28" s="476"/>
      <c r="AA28" s="476"/>
      <c r="AB28" s="476"/>
      <c r="AC28" s="476"/>
      <c r="AD28" s="476"/>
      <c r="AE28" s="476"/>
      <c r="AF28" s="476"/>
      <c r="AG28" s="476"/>
      <c r="AH28" s="476"/>
      <c r="AI28" s="476"/>
      <c r="AJ28" s="476"/>
      <c r="AK28" s="476"/>
      <c r="AL28" s="663"/>
    </row>
    <row s="8735" customFormat="1" customHeight="1" ht="25.5">
      <c r="A29" s="1527"/>
      <c r="B29" s="1527"/>
      <c r="C29" s="1527"/>
      <c r="D29" s="1527"/>
      <c r="E29" s="1527"/>
      <c r="F29" s="1527"/>
      <c r="G29" s="1527"/>
      <c r="H29" s="1527"/>
      <c r="I29" s="1527"/>
      <c r="J29" s="1527"/>
      <c r="K29" s="1527"/>
      <c r="L29" s="1528"/>
      <c r="M29" s="1527"/>
      <c r="N29" s="1527"/>
      <c r="O29" s="1527"/>
      <c r="S29" s="2311" t="s">
        <v>38</v>
      </c>
      <c r="T29" s="2311"/>
      <c r="U29" s="1531"/>
      <c r="V29" s="2313" t="str">
        <f>IF(TITLE_NAME_OR_PR_CHANGE="",IF(TITLE_NAME_OR_PR="","",TITLE_NAME_OR_PR),TITLE_NAME_OR_PR_CHANGE)</f>
        <v>Региональная служба по тарифам Ростовской области</v>
      </c>
      <c r="W29" s="2313"/>
      <c r="X29" s="2313"/>
      <c r="Y29" s="2313"/>
      <c r="Z29" s="2313"/>
      <c r="AA29" s="2313"/>
      <c r="AB29" s="2313"/>
      <c r="AC29" s="480"/>
      <c r="AD29" s="2313" t="str">
        <f>IF(TITLE_NAME_OR_PR_CHANGE="",IF(TITLE_NAME_OR_PR="","",TITLE_NAME_OR_PR),TITLE_NAME_OR_PR_CHANGE)</f>
        <v>Региональная служба по тарифам Ростовской области</v>
      </c>
      <c r="AE29" s="2313"/>
      <c r="AF29" s="2313"/>
      <c r="AG29" s="2313"/>
      <c r="AH29" s="2313"/>
      <c r="AI29" s="2313"/>
      <c r="AJ29" s="2313"/>
      <c r="AK29" s="480"/>
      <c r="AL29" s="480"/>
      <c r="AM29" s="434"/>
      <c r="AN29" s="522"/>
      <c r="AO29" s="522"/>
      <c r="AP29" s="522"/>
      <c r="AQ29" s="522"/>
      <c r="AR29" s="522"/>
    </row>
    <row s="8735" customFormat="1" customHeight="1" ht="18.75">
      <c r="A30" s="1527"/>
      <c r="B30" s="1527"/>
      <c r="C30" s="1527"/>
      <c r="D30" s="1527"/>
      <c r="E30" s="1527"/>
      <c r="F30" s="1527"/>
      <c r="G30" s="1527"/>
      <c r="H30" s="1527"/>
      <c r="I30" s="1527"/>
      <c r="J30" s="1527"/>
      <c r="K30" s="1527"/>
      <c r="L30" s="1528"/>
      <c r="M30" s="1527"/>
      <c r="N30" s="1527"/>
      <c r="O30" s="1527"/>
      <c r="S30" s="2311" t="s">
        <v>421</v>
      </c>
      <c r="T30" s="2311"/>
      <c r="U30" s="1531"/>
      <c r="V30" s="2312" t="str">
        <f>IF(TITLE_DATE_PR_CHANGE="",IF(TITLE_DATE_PR="","",TITLE_DATE_PR),TITLE_DATE_PR_CHANGE)</f>
        <v>45279</v>
      </c>
      <c r="W30" s="2312"/>
      <c r="X30" s="2312"/>
      <c r="Y30" s="2312"/>
      <c r="Z30" s="2312"/>
      <c r="AA30" s="2312"/>
      <c r="AB30" s="2312"/>
      <c r="AC30" s="480"/>
      <c r="AD30" s="2312" t="str">
        <f>IF(TITLE_DATE_PR_CHANGE="",IF(TITLE_DATE_PR="","",TITLE_DATE_PR),TITLE_DATE_PR_CHANGE)</f>
        <v>45279</v>
      </c>
      <c r="AE30" s="2312"/>
      <c r="AF30" s="2312"/>
      <c r="AG30" s="2312"/>
      <c r="AH30" s="2312"/>
      <c r="AI30" s="2312"/>
      <c r="AJ30" s="2312"/>
      <c r="AK30" s="480"/>
      <c r="AL30" s="480"/>
      <c r="AM30" s="434"/>
      <c r="AN30" s="522"/>
      <c r="AO30" s="522"/>
      <c r="AP30" s="522"/>
      <c r="AQ30" s="522"/>
      <c r="AR30" s="522"/>
    </row>
    <row s="8735" customFormat="1" customHeight="1" ht="18.75">
      <c r="A31" s="1527"/>
      <c r="B31" s="1527"/>
      <c r="C31" s="1527"/>
      <c r="D31" s="1527"/>
      <c r="E31" s="1527"/>
      <c r="F31" s="1527"/>
      <c r="G31" s="1527"/>
      <c r="H31" s="1527"/>
      <c r="I31" s="1527"/>
      <c r="J31" s="1527"/>
      <c r="K31" s="1527"/>
      <c r="L31" s="1528"/>
      <c r="M31" s="1527"/>
      <c r="N31" s="1527"/>
      <c r="O31" s="1527"/>
      <c r="S31" s="2311" t="s">
        <v>422</v>
      </c>
      <c r="T31" s="2311"/>
      <c r="U31" s="1531"/>
      <c r="V31" s="2313" t="str">
        <f>IF(TITLE_NUMBER_PR_CHANGE="",IF(TITLE_NUMBER_PR="","",TITLE_NUMBER_PR),TITLE_NUMBER_PR_CHANGE)</f>
        <v>877</v>
      </c>
      <c r="W31" s="2313"/>
      <c r="X31" s="2313"/>
      <c r="Y31" s="2313"/>
      <c r="Z31" s="2313"/>
      <c r="AA31" s="2313"/>
      <c r="AB31" s="2313"/>
      <c r="AC31" s="480"/>
      <c r="AD31" s="2313" t="str">
        <f>IF(TITLE_NUMBER_PR_CHANGE="",IF(TITLE_NUMBER_PR="","",TITLE_NUMBER_PR),TITLE_NUMBER_PR_CHANGE)</f>
        <v>877</v>
      </c>
      <c r="AE31" s="2313"/>
      <c r="AF31" s="2313"/>
      <c r="AG31" s="2313"/>
      <c r="AH31" s="2313"/>
      <c r="AI31" s="2313"/>
      <c r="AJ31" s="2313"/>
      <c r="AK31" s="480"/>
      <c r="AL31" s="480"/>
      <c r="AM31" s="434"/>
      <c r="AN31" s="522"/>
      <c r="AO31" s="522"/>
      <c r="AP31" s="522"/>
      <c r="AQ31" s="522"/>
      <c r="AR31" s="522"/>
    </row>
    <row s="8735" customFormat="1" customHeight="1" ht="18.75">
      <c r="A32" s="1527"/>
      <c r="B32" s="1527"/>
      <c r="C32" s="1527"/>
      <c r="D32" s="1527"/>
      <c r="E32" s="1527"/>
      <c r="F32" s="1527"/>
      <c r="G32" s="1527"/>
      <c r="H32" s="1527"/>
      <c r="I32" s="1527"/>
      <c r="J32" s="1527"/>
      <c r="K32" s="1527"/>
      <c r="L32" s="1528"/>
      <c r="M32" s="1527"/>
      <c r="N32" s="1527"/>
      <c r="O32" s="1527"/>
      <c r="S32" s="2311" t="s">
        <v>40</v>
      </c>
      <c r="T32" s="2311"/>
      <c r="U32" s="1531"/>
      <c r="V32" s="2313" t="str">
        <f>IF(TITLE_IST_PUB_CHANGE="",IF(TITLE_IST_PUB="","",TITLE_IST_PUB),TITLE_IST_PUB_CHANGE)</f>
        <v>Официальный портал правовой информации Ростовской области</v>
      </c>
      <c r="W32" s="2313"/>
      <c r="X32" s="2313"/>
      <c r="Y32" s="2313"/>
      <c r="Z32" s="2313"/>
      <c r="AA32" s="2313"/>
      <c r="AB32" s="2313"/>
      <c r="AC32" s="480"/>
      <c r="AD32" s="2313" t="str">
        <f>IF(TITLE_IST_PUB_CHANGE="",IF(TITLE_IST_PUB="","",TITLE_IST_PUB),TITLE_IST_PUB_CHANGE)</f>
        <v>Официальный портал правовой информации Ростовской области</v>
      </c>
      <c r="AE32" s="2313"/>
      <c r="AF32" s="2313"/>
      <c r="AG32" s="2313"/>
      <c r="AH32" s="2313"/>
      <c r="AI32" s="2313"/>
      <c r="AJ32" s="2313"/>
      <c r="AK32" s="480"/>
      <c r="AL32" s="480"/>
      <c r="AM32" s="434"/>
      <c r="AN32" s="522"/>
      <c r="AO32" s="522"/>
      <c r="AP32" s="522"/>
      <c r="AQ32" s="522"/>
      <c r="AR32" s="522"/>
    </row>
    <row customHeight="1" ht="14.25" hidden="1">
      <c r="Q33" s="530"/>
      <c r="R33" s="530"/>
      <c r="S33" s="1434"/>
      <c r="T33" s="517"/>
      <c r="U33" s="517"/>
      <c r="V33" s="476"/>
      <c r="W33" s="476"/>
      <c r="X33" s="476"/>
      <c r="Y33" s="476"/>
      <c r="Z33" s="476"/>
      <c r="AA33" s="476"/>
      <c r="AB33" s="476"/>
      <c r="AC33" s="476"/>
      <c r="AD33" s="476"/>
      <c r="AE33" s="476"/>
      <c r="AF33" s="476"/>
      <c r="AG33" s="476"/>
      <c r="AH33" s="476"/>
      <c r="AI33" s="476"/>
      <c r="AJ33" s="476"/>
      <c r="AK33" s="476"/>
      <c r="AL33" s="663"/>
    </row>
    <row s="8735" customFormat="1" customHeight="1" ht="18.75" hidden="1">
      <c r="A34" s="1527"/>
      <c r="B34" s="1527"/>
      <c r="C34" s="1527"/>
      <c r="D34" s="1527"/>
      <c r="E34" s="1527"/>
      <c r="F34" s="1527"/>
      <c r="G34" s="1527"/>
      <c r="H34" s="1527"/>
      <c r="I34" s="1527"/>
      <c r="J34" s="1527"/>
      <c r="K34" s="1527"/>
      <c r="L34" s="1528"/>
      <c r="M34" s="1527"/>
      <c r="N34" s="1527"/>
      <c r="O34" s="1527"/>
      <c r="S34" s="2311" t="s">
        <v>423</v>
      </c>
      <c r="T34" s="2311"/>
      <c r="U34" s="1531"/>
      <c r="V34" s="2312" t="str">
        <f>IF(TITLE_DATE_PR_CHANGE="",IF(TITLE_DATE_PR="","",TITLE_DATE_PR),TITLE_DATE_PR_CHANGE)</f>
        <v>45279</v>
      </c>
      <c r="W34" s="2312"/>
      <c r="X34" s="2312"/>
      <c r="Y34" s="2312"/>
      <c r="Z34" s="2312"/>
      <c r="AA34" s="2312"/>
      <c r="AB34" s="2312"/>
      <c r="AC34" s="480"/>
      <c r="AD34" s="2312" t="str">
        <f>IF(TITLE_DATE_PR_CHANGE="",IF(TITLE_DATE_PR="","",TITLE_DATE_PR),TITLE_DATE_PR_CHANGE)</f>
        <v>45279</v>
      </c>
      <c r="AE34" s="2312"/>
      <c r="AF34" s="2312"/>
      <c r="AG34" s="2312"/>
      <c r="AH34" s="2312"/>
      <c r="AI34" s="2312"/>
      <c r="AJ34" s="2312"/>
      <c r="AK34" s="480"/>
      <c r="AL34" s="480"/>
      <c r="AM34" s="434"/>
      <c r="AN34" s="522"/>
      <c r="AO34" s="522"/>
      <c r="AP34" s="522"/>
      <c r="AQ34" s="522"/>
      <c r="AR34" s="522"/>
    </row>
    <row s="8735" customFormat="1" customHeight="1" ht="18.75" hidden="1">
      <c r="A35" s="1527"/>
      <c r="B35" s="1527"/>
      <c r="C35" s="1527"/>
      <c r="D35" s="1527"/>
      <c r="E35" s="1527"/>
      <c r="F35" s="1527"/>
      <c r="G35" s="1527"/>
      <c r="H35" s="1527"/>
      <c r="I35" s="1527"/>
      <c r="J35" s="1527"/>
      <c r="K35" s="1527"/>
      <c r="L35" s="1528"/>
      <c r="M35" s="1527"/>
      <c r="N35" s="1527"/>
      <c r="O35" s="1527"/>
      <c r="S35" s="2311" t="s">
        <v>424</v>
      </c>
      <c r="T35" s="2311"/>
      <c r="U35" s="1531"/>
      <c r="V35" s="2313" t="str">
        <f>IF(TITLE_NUMBER_PR_CHANGE="",IF(TITLE_NUMBER_PR="","",TITLE_NUMBER_PR),TITLE_NUMBER_PR_CHANGE)</f>
        <v>877</v>
      </c>
      <c r="W35" s="2313"/>
      <c r="X35" s="2313"/>
      <c r="Y35" s="2313"/>
      <c r="Z35" s="2313"/>
      <c r="AA35" s="2313"/>
      <c r="AB35" s="2313"/>
      <c r="AC35" s="480"/>
      <c r="AD35" s="2313" t="str">
        <f>IF(TITLE_NUMBER_PR_CHANGE="",IF(TITLE_NUMBER_PR="","",TITLE_NUMBER_PR),TITLE_NUMBER_PR_CHANGE)</f>
        <v>877</v>
      </c>
      <c r="AE35" s="2313"/>
      <c r="AF35" s="2313"/>
      <c r="AG35" s="2313"/>
      <c r="AH35" s="2313"/>
      <c r="AI35" s="2313"/>
      <c r="AJ35" s="2313"/>
      <c r="AK35" s="480"/>
      <c r="AL35" s="480"/>
      <c r="AM35" s="434"/>
      <c r="AN35" s="522"/>
      <c r="AO35" s="522"/>
      <c r="AP35" s="522"/>
      <c r="AQ35" s="522"/>
      <c r="AR35" s="522"/>
    </row>
    <row s="8735" customFormat="1" customHeight="1" ht="0">
      <c r="A36" s="1527"/>
      <c r="B36" s="1527"/>
      <c r="C36" s="1527"/>
      <c r="D36" s="1527"/>
      <c r="E36" s="1527"/>
      <c r="F36" s="1527"/>
      <c r="G36" s="1527"/>
      <c r="H36" s="1527"/>
      <c r="I36" s="1527"/>
      <c r="J36" s="1527"/>
      <c r="K36" s="1527"/>
      <c r="L36" s="1528"/>
      <c r="M36" s="1527"/>
      <c r="N36" s="1527"/>
      <c r="O36" s="1527"/>
      <c r="S36" s="477"/>
      <c r="T36" s="477"/>
      <c r="U36" s="1499"/>
      <c r="V36" s="480"/>
      <c r="W36" s="480"/>
      <c r="X36" s="480"/>
      <c r="Y36" s="480"/>
      <c r="Z36" s="480"/>
      <c r="AA36" s="480"/>
      <c r="AB36" s="480"/>
      <c r="AC36" s="432" t="s">
        <v>425</v>
      </c>
      <c r="AD36" s="480"/>
      <c r="AE36" s="480"/>
      <c r="AF36" s="480"/>
      <c r="AG36" s="480"/>
      <c r="AH36" s="480"/>
      <c r="AI36" s="480"/>
      <c r="AJ36" s="480"/>
      <c r="AK36" s="432" t="s">
        <v>425</v>
      </c>
      <c r="AN36" s="522"/>
      <c r="AO36" s="522"/>
      <c r="AP36" s="522"/>
      <c r="AQ36" s="522"/>
      <c r="AR36" s="522"/>
    </row>
    <row customHeight="1" ht="14.25">
      <c r="Q37" s="530"/>
      <c r="R37" s="530"/>
      <c r="S37" s="1434"/>
      <c r="T37" s="517"/>
      <c r="U37" s="1402"/>
      <c r="V37" s="2337"/>
      <c r="W37" s="2337"/>
      <c r="X37" s="2337"/>
      <c r="Y37" s="2337"/>
      <c r="Z37" s="2337"/>
      <c r="AA37" s="2337"/>
      <c r="AB37" s="2337"/>
      <c r="AC37" s="2337"/>
      <c r="AD37" s="2337"/>
      <c r="AE37" s="2337"/>
      <c r="AF37" s="2337"/>
      <c r="AG37" s="2337"/>
      <c r="AH37" s="2337"/>
      <c r="AI37" s="2337"/>
      <c r="AJ37" s="2337"/>
      <c r="AK37" s="2337"/>
    </row>
    <row customHeight="1" ht="14.25">
      <c r="Q38" s="530"/>
      <c r="R38" s="530"/>
      <c r="S38" s="2185" t="s">
        <v>300</v>
      </c>
      <c r="T38" s="2185"/>
      <c r="U38" s="2185"/>
      <c r="V38" s="2185"/>
      <c r="W38" s="2185"/>
      <c r="X38" s="2185"/>
      <c r="Y38" s="2185"/>
      <c r="Z38" s="2185"/>
      <c r="AA38" s="2185"/>
      <c r="AB38" s="2185"/>
      <c r="AC38" s="2185"/>
      <c r="AD38" s="2185"/>
      <c r="AE38" s="2185"/>
      <c r="AF38" s="2185"/>
      <c r="AG38" s="2185"/>
      <c r="AH38" s="2185"/>
      <c r="AI38" s="2185"/>
      <c r="AJ38" s="2185"/>
      <c r="AK38" s="2185"/>
      <c r="AL38" s="2185"/>
      <c r="AM38" s="2185" t="s">
        <v>301</v>
      </c>
    </row>
    <row customHeight="1" ht="14.25">
      <c r="Q39" s="530"/>
      <c r="R39" s="530"/>
      <c r="S39" s="2338" t="s">
        <v>85</v>
      </c>
      <c r="T39" s="2275" t="s">
        <v>426</v>
      </c>
      <c r="U39" s="455"/>
      <c r="V39" s="2339" t="s">
        <v>427</v>
      </c>
      <c r="W39" s="2340"/>
      <c r="X39" s="2340"/>
      <c r="Y39" s="2340"/>
      <c r="Z39" s="2340"/>
      <c r="AA39" s="2340"/>
      <c r="AB39" s="2341"/>
      <c r="AC39" s="2342" t="s">
        <v>428</v>
      </c>
      <c r="AD39" s="2339" t="s">
        <v>427</v>
      </c>
      <c r="AE39" s="2340"/>
      <c r="AF39" s="2340"/>
      <c r="AG39" s="2340"/>
      <c r="AH39" s="2340"/>
      <c r="AI39" s="2340"/>
      <c r="AJ39" s="2341"/>
      <c r="AK39" s="2342" t="s">
        <v>429</v>
      </c>
      <c r="AL39" s="2345" t="s">
        <v>430</v>
      </c>
      <c r="AM39" s="2185"/>
    </row>
    <row customHeight="1" ht="33.75">
      <c r="Q40" s="530"/>
      <c r="R40" s="530"/>
      <c r="S40" s="2338"/>
      <c r="T40" s="2275"/>
      <c r="U40" s="1186"/>
      <c r="V40" s="2348" t="s">
        <v>431</v>
      </c>
      <c r="W40" s="2329" t="s">
        <v>432</v>
      </c>
      <c r="X40" s="2331" t="s">
        <v>433</v>
      </c>
      <c r="Y40" s="2333"/>
      <c r="Z40" s="2331" t="s">
        <v>446</v>
      </c>
      <c r="AA40" s="2332"/>
      <c r="AB40" s="2333"/>
      <c r="AC40" s="2343"/>
      <c r="AD40" s="2348" t="s">
        <v>431</v>
      </c>
      <c r="AE40" s="2329" t="s">
        <v>432</v>
      </c>
      <c r="AF40" s="2331" t="s">
        <v>433</v>
      </c>
      <c r="AG40" s="2333"/>
      <c r="AH40" s="2331" t="s">
        <v>434</v>
      </c>
      <c r="AI40" s="2332"/>
      <c r="AJ40" s="2333"/>
      <c r="AK40" s="2343"/>
      <c r="AL40" s="2346"/>
      <c r="AM40" s="2185"/>
    </row>
    <row customHeight="1" ht="33.75">
      <c r="A41" s="1529"/>
      <c r="B41" s="1529" t="s">
        <v>132</v>
      </c>
      <c r="C41" s="1529" t="s">
        <v>133</v>
      </c>
      <c r="D41" s="1529" t="s">
        <v>134</v>
      </c>
      <c r="E41" s="1523" t="s">
        <v>435</v>
      </c>
      <c r="F41" s="1523" t="s">
        <v>436</v>
      </c>
      <c r="G41" s="1523" t="s">
        <v>437</v>
      </c>
      <c r="H41" s="1523" t="s">
        <v>438</v>
      </c>
      <c r="I41" s="1523" t="s">
        <v>439</v>
      </c>
      <c r="J41" s="1523" t="s">
        <v>440</v>
      </c>
      <c r="K41" s="1523" t="s">
        <v>441</v>
      </c>
      <c r="L41" s="1523" t="s">
        <v>416</v>
      </c>
      <c r="Q41" s="530"/>
      <c r="R41" s="530"/>
      <c r="S41" s="2338"/>
      <c r="T41" s="2275"/>
      <c r="U41" s="456"/>
      <c r="V41" s="2349"/>
      <c r="W41" s="2330"/>
      <c r="X41" s="1380" t="s">
        <v>442</v>
      </c>
      <c r="Y41" s="1380" t="s">
        <v>443</v>
      </c>
      <c r="Z41" s="1497" t="s">
        <v>444</v>
      </c>
      <c r="AA41" s="2334" t="s">
        <v>445</v>
      </c>
      <c r="AB41" s="2335"/>
      <c r="AC41" s="2344"/>
      <c r="AD41" s="2349"/>
      <c r="AE41" s="2330"/>
      <c r="AF41" s="1380" t="s">
        <v>442</v>
      </c>
      <c r="AG41" s="1380" t="s">
        <v>443</v>
      </c>
      <c r="AH41" s="1497" t="s">
        <v>444</v>
      </c>
      <c r="AI41" s="2334" t="s">
        <v>445</v>
      </c>
      <c r="AJ41" s="2335"/>
      <c r="AK41" s="2344"/>
      <c r="AL41" s="2347"/>
      <c r="AM41" s="2185"/>
    </row>
    <row s="8552" customFormat="1" customHeight="1" ht="11.25" hidden="1">
      <c r="A42" s="1529"/>
      <c r="B42" s="1529"/>
      <c r="C42" s="1529"/>
      <c r="D42" s="1529"/>
      <c r="E42" s="1529"/>
      <c r="F42" s="1529"/>
      <c r="G42" s="1529"/>
      <c r="H42" s="1529"/>
      <c r="I42" s="1529"/>
      <c r="J42" s="1529"/>
      <c r="K42" s="1529"/>
      <c r="L42" s="1523"/>
      <c r="M42" s="1521"/>
      <c r="N42" s="1521"/>
      <c r="O42" s="1521"/>
      <c r="P42" s="1404"/>
      <c r="Q42" s="1405"/>
      <c r="R42" s="1412">
        <v>1</v>
      </c>
      <c r="S42" s="1436" t="s">
        <v>106</v>
      </c>
      <c r="T42" s="1413" t="s">
        <v>107</v>
      </c>
      <c r="U42" s="1403" t="str">
        <f>OFFSET(U42,0,-1)</f>
        <v>2</v>
      </c>
      <c r="V42" s="1494">
        <f>OFFSET(V42,0,-1)+1</f>
        <v>3</v>
      </c>
      <c r="W42" s="1494"/>
      <c r="X42" s="1494">
        <f>OFFSET(X42,0,-1)+1</f>
        <v>1</v>
      </c>
      <c r="Y42" s="1494">
        <f>OFFSET(Y42,0,-1)+1</f>
        <v>2</v>
      </c>
      <c r="Z42" s="1494">
        <f>OFFSET(Z42,0,-1)+1</f>
        <v>3</v>
      </c>
      <c r="AA42" s="2336">
        <f>OFFSET(AA42,0,-1)+1</f>
        <v>4</v>
      </c>
      <c r="AB42" s="2336"/>
      <c r="AC42" s="1494">
        <f>OFFSET(AC42,0,-2)+1</f>
        <v>5</v>
      </c>
      <c r="AD42" s="1494">
        <f>OFFSET(AD42,0,-1)+1</f>
        <v>6</v>
      </c>
      <c r="AE42" s="1494"/>
      <c r="AF42" s="1494">
        <f>OFFSET(AF42,0,-1)+1</f>
        <v>1</v>
      </c>
      <c r="AG42" s="1494">
        <f>OFFSET(AG42,0,-1)+1</f>
        <v>2</v>
      </c>
      <c r="AH42" s="1494">
        <f>OFFSET(AH42,0,-1)+1</f>
        <v>3</v>
      </c>
      <c r="AI42" s="2336">
        <f>OFFSET(AI42,0,-1)+1</f>
        <v>4</v>
      </c>
      <c r="AJ42" s="2336"/>
      <c r="AK42" s="1494">
        <f>OFFSET(AK42,0,-2)+1</f>
        <v>5</v>
      </c>
      <c r="AL42" s="1403">
        <f>OFFSET(AL42,0,-1)</f>
        <v>5</v>
      </c>
      <c r="AM42" s="1494">
        <f>OFFSET(AM42,0,-1)+1</f>
        <v>6</v>
      </c>
      <c r="AN42" s="665"/>
      <c r="AO42" s="665"/>
      <c r="AP42" s="665"/>
      <c r="AQ42" s="665"/>
      <c r="AR42" s="665"/>
    </row>
    <row customHeight="1" ht="21">
      <c r="A43" s="1522" t="s">
        <v>159</v>
      </c>
      <c r="B43" s="1522"/>
      <c r="C43" s="1522"/>
      <c r="D43" s="1522"/>
      <c r="E43" s="2320">
        <v>1</v>
      </c>
      <c r="F43" s="1522"/>
      <c r="G43" s="1522"/>
      <c r="H43" s="1522"/>
      <c r="I43" s="1522"/>
      <c r="J43" s="1522"/>
      <c r="K43" s="1522"/>
      <c r="L43" s="1523"/>
      <c r="M43" s="1524"/>
      <c r="N43" s="1524"/>
      <c r="O43" s="1524"/>
      <c r="P43" s="515"/>
      <c r="Q43" s="514"/>
      <c r="R43" s="509"/>
      <c r="S43" s="1495">
        <f>INDEX(PT_DIFFERENTIATION_NUM_NTAR,MATCH(A43,PT_DIFFERENTIATION_NTAR_ID,0))</f>
        <v>0</v>
      </c>
      <c r="T43" s="452" t="s">
        <v>120</v>
      </c>
      <c r="U43" s="454"/>
      <c r="V43" s="2314"/>
      <c r="W43" s="2315"/>
      <c r="X43" s="2315"/>
      <c r="Y43" s="2315"/>
      <c r="Z43" s="2315"/>
      <c r="AA43" s="2315"/>
      <c r="AB43" s="2315"/>
      <c r="AC43" s="2316"/>
      <c r="AD43" s="2314" t="str">
        <f>INDEX(PT_DIFFERENTIATION_NTAR,MATCH(A43,PT_DIFFERENTIATION_NTAR_ID,0))</f>
        <v/>
      </c>
      <c r="AE43" s="2315"/>
      <c r="AF43" s="2315"/>
      <c r="AG43" s="2315"/>
      <c r="AH43" s="2315"/>
      <c r="AI43" s="2315"/>
      <c r="AJ43" s="2315"/>
      <c r="AK43" s="2315"/>
      <c r="AL43" s="2316"/>
      <c r="AM43" s="1416"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O43" s="654"/>
      <c r="AP43" s="654" t="str">
        <f>IF(T43="","",T43)</f>
        <v>Наименование тарифа</v>
      </c>
      <c r="AQ43" s="654"/>
      <c r="AR43" s="654"/>
    </row>
    <row customHeight="1" ht="21">
      <c r="A44" s="1522" t="s">
        <v>159</v>
      </c>
      <c r="B44" s="1522" t="s">
        <v>160</v>
      </c>
      <c r="C44" s="1522"/>
      <c r="D44" s="1522"/>
      <c r="E44" s="2321"/>
      <c r="F44" s="2320">
        <v>1</v>
      </c>
      <c r="G44" s="1522"/>
      <c r="H44" s="1522"/>
      <c r="I44" s="1522"/>
      <c r="J44" s="1522"/>
      <c r="K44" s="1522"/>
      <c r="L44" s="1523"/>
      <c r="M44" s="1524"/>
      <c r="N44" s="1524"/>
      <c r="O44" s="1524"/>
      <c r="P44" s="1491"/>
      <c r="Q44" s="506"/>
      <c r="R44" s="507"/>
      <c r="S44" s="1495" t="str">
        <f>INDEX(PT_DIFFERENTIATION_NUM_TER,MATCH(B44,PT_DIFFERENTIATION_TER_ID,0))</f>
        <v>.</v>
      </c>
      <c r="T44" s="462" t="s">
        <v>397</v>
      </c>
      <c r="U44" s="454"/>
      <c r="V44" s="2314"/>
      <c r="W44" s="2315"/>
      <c r="X44" s="2315"/>
      <c r="Y44" s="2315"/>
      <c r="Z44" s="2315"/>
      <c r="AA44" s="2315"/>
      <c r="AB44" s="2315"/>
      <c r="AC44" s="2316"/>
      <c r="AD44" s="2314" t="str">
        <f>INDEX(PT_DIFFERENTIATION_TER,MATCH(B44,PT_DIFFERENTIATION_TER_ID,0))</f>
        <v/>
      </c>
      <c r="AE44" s="2315"/>
      <c r="AF44" s="2315"/>
      <c r="AG44" s="2315"/>
      <c r="AH44" s="2315"/>
      <c r="AI44" s="2315"/>
      <c r="AJ44" s="2315"/>
      <c r="AK44" s="2315"/>
      <c r="AL44" s="2316"/>
      <c r="AM44" s="1416" t="s">
        <v>398</v>
      </c>
      <c r="AO44" s="654"/>
      <c r="AP44" s="654" t="str">
        <f>IF(T44="","",T44)</f>
        <v>Территория действия тарифа</v>
      </c>
      <c r="AQ44" s="654"/>
      <c r="AR44" s="654"/>
    </row>
    <row customHeight="1" ht="23.25">
      <c r="A45" s="1522" t="s">
        <v>159</v>
      </c>
      <c r="B45" s="1522" t="s">
        <v>160</v>
      </c>
      <c r="C45" s="1522" t="s">
        <v>161</v>
      </c>
      <c r="D45" s="1522"/>
      <c r="E45" s="2321"/>
      <c r="F45" s="2321"/>
      <c r="G45" s="2320">
        <v>1</v>
      </c>
      <c r="H45" s="1522"/>
      <c r="I45" s="1522"/>
      <c r="J45" s="1522"/>
      <c r="K45" s="1522"/>
      <c r="L45" s="1523"/>
      <c r="M45" s="1524"/>
      <c r="N45" s="1524"/>
      <c r="O45" s="1524"/>
      <c r="P45" s="508"/>
      <c r="Q45" s="506"/>
      <c r="R45" s="507"/>
      <c r="S45" s="1495" t="str">
        <f>INDEX(PT_DIFFERENTIATION_NUM_CS,MATCH(C45,PT_DIFFERENTIATION_CS_ID,0))</f>
        <v>..</v>
      </c>
      <c r="T45" s="463" t="s">
        <v>399</v>
      </c>
      <c r="U45" s="454"/>
      <c r="V45" s="2314"/>
      <c r="W45" s="2315"/>
      <c r="X45" s="2315"/>
      <c r="Y45" s="2315"/>
      <c r="Z45" s="2315"/>
      <c r="AA45" s="2315"/>
      <c r="AB45" s="2315"/>
      <c r="AC45" s="2316"/>
      <c r="AD45" s="2314" t="str">
        <f>INDEX(PT_DIFFERENTIATION_CS,MATCH(C45,PT_DIFFERENTIATION_CS_ID,0))</f>
        <v/>
      </c>
      <c r="AE45" s="2315"/>
      <c r="AF45" s="2315"/>
      <c r="AG45" s="2315"/>
      <c r="AH45" s="2315"/>
      <c r="AI45" s="2315"/>
      <c r="AJ45" s="2315"/>
      <c r="AK45" s="2315"/>
      <c r="AL45" s="2316"/>
      <c r="AM45" s="1416" t="s">
        <v>400</v>
      </c>
      <c r="AO45" s="654"/>
      <c r="AP45" s="654" t="str">
        <f>IF(T45="","",T45)</f>
        <v>Наименование системы теплоснабжения </v>
      </c>
      <c r="AQ45" s="654"/>
      <c r="AR45" s="654"/>
    </row>
    <row customHeight="1" ht="21">
      <c r="A46" s="1522" t="s">
        <v>159</v>
      </c>
      <c r="B46" s="1522" t="s">
        <v>160</v>
      </c>
      <c r="C46" s="1522" t="s">
        <v>161</v>
      </c>
      <c r="D46" s="1522" t="s">
        <v>162</v>
      </c>
      <c r="E46" s="2321"/>
      <c r="F46" s="2321"/>
      <c r="G46" s="2321"/>
      <c r="H46" s="2320">
        <v>1</v>
      </c>
      <c r="I46" s="1522"/>
      <c r="J46" s="1522"/>
      <c r="K46" s="1522"/>
      <c r="L46" s="1523"/>
      <c r="M46" s="1524"/>
      <c r="N46" s="1524"/>
      <c r="O46" s="1524"/>
      <c r="P46" s="508"/>
      <c r="Q46" s="506"/>
      <c r="R46" s="507"/>
      <c r="S46" s="1495" t="str">
        <f>INDEX(PT_DIFFERENTIATION_NUM_IST_TE,MATCH(D46,PT_DIFFERENTIATION_IST_TE_ID,0))</f>
        <v>...</v>
      </c>
      <c r="T46" s="464" t="s">
        <v>401</v>
      </c>
      <c r="U46" s="454"/>
      <c r="V46" s="2314"/>
      <c r="W46" s="2315"/>
      <c r="X46" s="2315"/>
      <c r="Y46" s="2315"/>
      <c r="Z46" s="2315"/>
      <c r="AA46" s="2315"/>
      <c r="AB46" s="2315"/>
      <c r="AC46" s="2316"/>
      <c r="AD46" s="2314" t="str">
        <f>INDEX(PT_DIFFERENTIATION_IST_TE,MATCH(D46,PT_DIFFERENTIATION_IST_TE_ID,0))</f>
        <v/>
      </c>
      <c r="AE46" s="2315"/>
      <c r="AF46" s="2315"/>
      <c r="AG46" s="2315"/>
      <c r="AH46" s="2315"/>
      <c r="AI46" s="2315"/>
      <c r="AJ46" s="2315"/>
      <c r="AK46" s="2315"/>
      <c r="AL46" s="2316"/>
      <c r="AM46" s="1416" t="s">
        <v>402</v>
      </c>
      <c r="AO46" s="654"/>
      <c r="AP46" s="654" t="str">
        <f>IF(T46="","",T46)</f>
        <v>Источник тепловой энергии  </v>
      </c>
      <c r="AQ46" s="654"/>
      <c r="AR46" s="654"/>
    </row>
    <row customHeight="1" ht="47.25">
      <c r="A47" s="1522" t="s">
        <v>159</v>
      </c>
      <c r="B47" s="1522" t="s">
        <v>160</v>
      </c>
      <c r="C47" s="1522" t="s">
        <v>161</v>
      </c>
      <c r="D47" s="1522" t="s">
        <v>162</v>
      </c>
      <c r="E47" s="2321"/>
      <c r="F47" s="2321"/>
      <c r="G47" s="2321"/>
      <c r="H47" s="2321"/>
      <c r="I47" s="2322" t="str">
        <f>S46&amp;".1"</f>
        <v>....1</v>
      </c>
      <c r="J47" s="1522"/>
      <c r="K47" s="1522"/>
      <c r="L47" s="1523" t="s">
        <v>403</v>
      </c>
      <c r="P47" s="2324">
        <v>1</v>
      </c>
      <c r="Q47" s="1490"/>
      <c r="R47" s="510"/>
      <c r="S47" s="1495" t="str">
        <f>$I47</f>
        <v>....1</v>
      </c>
      <c r="T47" s="439" t="s">
        <v>404</v>
      </c>
      <c r="U47" s="454"/>
      <c r="V47" s="2308"/>
      <c r="W47" s="2309"/>
      <c r="X47" s="2309"/>
      <c r="Y47" s="2309"/>
      <c r="Z47" s="2309"/>
      <c r="AA47" s="2309"/>
      <c r="AB47" s="2309"/>
      <c r="AC47" s="2310"/>
      <c r="AD47" s="2308"/>
      <c r="AE47" s="2309"/>
      <c r="AF47" s="2309"/>
      <c r="AG47" s="2309"/>
      <c r="AH47" s="2309"/>
      <c r="AI47" s="2309"/>
      <c r="AJ47" s="2309"/>
      <c r="AK47" s="2309"/>
      <c r="AL47" s="2310"/>
      <c r="AM47" s="1416" t="s">
        <v>405</v>
      </c>
      <c r="AO47" s="654"/>
      <c r="AP47" s="654" t="str">
        <f>IF(T47="","",T47)</f>
        <v>Схема подключения теплопотребляющей установки к коллектору источника тепловой энергии</v>
      </c>
      <c r="AQ47" s="654"/>
      <c r="AR47" s="654"/>
    </row>
    <row customHeight="1" ht="21">
      <c r="A48" s="1522" t="s">
        <v>159</v>
      </c>
      <c r="B48" s="1522" t="s">
        <v>160</v>
      </c>
      <c r="C48" s="1522" t="s">
        <v>161</v>
      </c>
      <c r="D48" s="1522" t="s">
        <v>162</v>
      </c>
      <c r="E48" s="2321"/>
      <c r="F48" s="2321"/>
      <c r="G48" s="2321"/>
      <c r="H48" s="2321"/>
      <c r="I48" s="2323"/>
      <c r="J48" s="2322" t="str">
        <f>I47&amp;".1"</f>
        <v>....1.1</v>
      </c>
      <c r="K48" s="1522"/>
      <c r="L48" s="1523" t="s">
        <v>406</v>
      </c>
      <c r="P48" s="2324"/>
      <c r="Q48" s="2324">
        <v>1</v>
      </c>
      <c r="R48" s="511"/>
      <c r="S48" s="1495" t="str">
        <f>$J48</f>
        <v>....1.1</v>
      </c>
      <c r="T48" s="440" t="s">
        <v>407</v>
      </c>
      <c r="U48" s="454"/>
      <c r="V48" s="2308"/>
      <c r="W48" s="2309"/>
      <c r="X48" s="2309"/>
      <c r="Y48" s="2309"/>
      <c r="Z48" s="2309"/>
      <c r="AA48" s="2309"/>
      <c r="AB48" s="2309"/>
      <c r="AC48" s="2310"/>
      <c r="AD48" s="2308"/>
      <c r="AE48" s="2309"/>
      <c r="AF48" s="2309"/>
      <c r="AG48" s="2309"/>
      <c r="AH48" s="2309"/>
      <c r="AI48" s="2309"/>
      <c r="AJ48" s="2309"/>
      <c r="AK48" s="2309"/>
      <c r="AL48" s="2310"/>
      <c r="AM48" s="1416" t="s">
        <v>408</v>
      </c>
      <c r="AO48" s="654"/>
      <c r="AP48" s="654" t="str">
        <f>IF(T48="","",T48)</f>
        <v>Группа потребителей</v>
      </c>
      <c r="AQ48" s="654"/>
      <c r="AR48" s="654"/>
    </row>
    <row customHeight="1" ht="21">
      <c r="A49" s="1522" t="s">
        <v>159</v>
      </c>
      <c r="B49" s="1522" t="s">
        <v>160</v>
      </c>
      <c r="C49" s="1522" t="s">
        <v>161</v>
      </c>
      <c r="D49" s="1522" t="s">
        <v>162</v>
      </c>
      <c r="E49" s="2321"/>
      <c r="F49" s="2321"/>
      <c r="G49" s="2321"/>
      <c r="H49" s="2321"/>
      <c r="I49" s="2323"/>
      <c r="J49" s="2323"/>
      <c r="K49" s="2322" t="str">
        <f>J48&amp;".1"</f>
        <v>....1.1.1</v>
      </c>
      <c r="L49" s="1523" t="s">
        <v>409</v>
      </c>
      <c r="P49" s="2324"/>
      <c r="Q49" s="2324"/>
      <c r="R49" s="511">
        <v>1</v>
      </c>
      <c r="S49" s="1495" t="str">
        <f>$K49</f>
        <v>....1.1.1</v>
      </c>
      <c r="T49" s="1506"/>
      <c r="U49" s="454"/>
      <c r="V49" s="905"/>
      <c r="W49" s="479"/>
      <c r="X49" s="905"/>
      <c r="Y49" s="1415"/>
      <c r="Z49" s="2325"/>
      <c r="AA49" s="2195" t="s">
        <v>64</v>
      </c>
      <c r="AB49" s="2325"/>
      <c r="AC49" s="2195" t="s">
        <v>64</v>
      </c>
      <c r="AD49" s="905"/>
      <c r="AE49" s="479"/>
      <c r="AF49" s="905"/>
      <c r="AG49" s="1415"/>
      <c r="AH49" s="2325"/>
      <c r="AI49" s="2195" t="s">
        <v>64</v>
      </c>
      <c r="AJ49" s="2327"/>
      <c r="AK49" s="2195" t="s">
        <v>64</v>
      </c>
      <c r="AL49" s="1507"/>
      <c r="AM49" s="2350" t="s">
        <v>410</v>
      </c>
      <c r="AN49" s="665">
        <f>STRCHECKDATE(V50:AL50)</f>
      </c>
      <c r="AO49" s="654"/>
      <c r="AP49" s="654" t="str">
        <f>IF(T49="","",T49)</f>
        <v/>
      </c>
      <c r="AQ49" s="654"/>
      <c r="AR49" s="654"/>
    </row>
    <row customHeight="1" ht="0.75">
      <c r="A50" s="1522" t="s">
        <v>159</v>
      </c>
      <c r="B50" s="1522" t="s">
        <v>160</v>
      </c>
      <c r="C50" s="1522" t="s">
        <v>161</v>
      </c>
      <c r="D50" s="1522" t="s">
        <v>162</v>
      </c>
      <c r="E50" s="2321"/>
      <c r="F50" s="2321"/>
      <c r="G50" s="2321"/>
      <c r="H50" s="2321"/>
      <c r="I50" s="2323"/>
      <c r="J50" s="2323"/>
      <c r="K50" s="2322"/>
      <c r="L50" s="1523"/>
      <c r="P50" s="2324"/>
      <c r="Q50" s="2324"/>
      <c r="R50" s="511"/>
      <c r="S50" s="1501"/>
      <c r="T50" s="454"/>
      <c r="U50" s="454"/>
      <c r="V50" s="479"/>
      <c r="W50" s="479"/>
      <c r="X50" s="479"/>
      <c r="Y50" s="482" t="str">
        <f>Z49&amp;"-"&amp;AB49</f>
        <v>-</v>
      </c>
      <c r="Z50" s="2326"/>
      <c r="AA50" s="2195"/>
      <c r="AB50" s="2326"/>
      <c r="AC50" s="2195"/>
      <c r="AD50" s="479"/>
      <c r="AE50" s="479"/>
      <c r="AF50" s="479"/>
      <c r="AG50" s="482" t="str">
        <f>AH49&amp;"-"&amp;AJ49</f>
        <v>-</v>
      </c>
      <c r="AH50" s="2326"/>
      <c r="AI50" s="2195"/>
      <c r="AJ50" s="2328"/>
      <c r="AK50" s="2195"/>
      <c r="AL50" s="1508"/>
      <c r="AM50" s="2351"/>
      <c r="AO50" s="654"/>
      <c r="AP50" s="654" t="str">
        <f>IF(T50="","",T50)</f>
        <v/>
      </c>
      <c r="AQ50" s="654"/>
      <c r="AR50" s="654"/>
    </row>
    <row customHeight="1" ht="11.25">
      <c r="A51" s="1522" t="s">
        <v>159</v>
      </c>
      <c r="B51" s="1522" t="s">
        <v>160</v>
      </c>
      <c r="C51" s="1522" t="s">
        <v>161</v>
      </c>
      <c r="D51" s="1522" t="s">
        <v>162</v>
      </c>
      <c r="E51" s="2321"/>
      <c r="F51" s="2321"/>
      <c r="G51" s="2321"/>
      <c r="H51" s="2321"/>
      <c r="I51" s="2323"/>
      <c r="J51" s="2322"/>
      <c r="K51" s="1522"/>
      <c r="L51" s="1523"/>
      <c r="P51" s="2324"/>
      <c r="Q51" s="2324"/>
      <c r="R51" s="510"/>
      <c r="S51" s="1437"/>
      <c r="T51" s="442" t="s">
        <v>411</v>
      </c>
      <c r="U51" s="521"/>
      <c r="V51" s="521"/>
      <c r="W51" s="521"/>
      <c r="X51" s="521"/>
      <c r="Y51" s="521"/>
      <c r="Z51" s="521"/>
      <c r="AA51" s="521"/>
      <c r="AB51" s="521"/>
      <c r="AC51" s="521"/>
      <c r="AD51" s="521"/>
      <c r="AE51" s="521"/>
      <c r="AF51" s="521"/>
      <c r="AG51" s="521"/>
      <c r="AH51" s="521"/>
      <c r="AI51" s="521"/>
      <c r="AJ51" s="521"/>
      <c r="AK51" s="521"/>
      <c r="AL51" s="478"/>
      <c r="AM51" s="2352"/>
      <c r="AO51" s="654"/>
      <c r="AP51" s="654" t="str">
        <f>IF(T51="","",T51)</f>
        <v>Добавить вид теплоносителя (параметры теплоносителя)</v>
      </c>
      <c r="AQ51" s="654"/>
      <c r="AR51" s="654"/>
    </row>
    <row customHeight="1" ht="11.25">
      <c r="A52" s="1522" t="s">
        <v>159</v>
      </c>
      <c r="B52" s="1522" t="s">
        <v>160</v>
      </c>
      <c r="C52" s="1522" t="s">
        <v>161</v>
      </c>
      <c r="D52" s="1522" t="s">
        <v>162</v>
      </c>
      <c r="E52" s="2321"/>
      <c r="F52" s="2321"/>
      <c r="G52" s="2321"/>
      <c r="H52" s="2321"/>
      <c r="I52" s="2322"/>
      <c r="J52" s="1522"/>
      <c r="K52" s="1522"/>
      <c r="L52" s="1523"/>
      <c r="P52" s="2324"/>
      <c r="Q52" s="1490"/>
      <c r="R52" s="510"/>
      <c r="S52" s="1437"/>
      <c r="T52" s="441" t="s">
        <v>412</v>
      </c>
      <c r="U52" s="521"/>
      <c r="V52" s="521"/>
      <c r="W52" s="521"/>
      <c r="X52" s="521"/>
      <c r="Y52" s="521"/>
      <c r="Z52" s="521"/>
      <c r="AA52" s="521"/>
      <c r="AB52" s="521"/>
      <c r="AC52" s="520"/>
      <c r="AD52" s="521"/>
      <c r="AE52" s="521"/>
      <c r="AF52" s="521"/>
      <c r="AG52" s="521"/>
      <c r="AH52" s="521"/>
      <c r="AI52" s="521"/>
      <c r="AJ52" s="521"/>
      <c r="AK52" s="520"/>
      <c r="AL52" s="521"/>
      <c r="AM52" s="457"/>
      <c r="AO52" s="654"/>
      <c r="AP52" s="654" t="str">
        <f>IF(T52="","",T52)</f>
        <v>Добавить группу потребителей</v>
      </c>
      <c r="AQ52" s="654"/>
      <c r="AR52" s="654"/>
    </row>
    <row customHeight="1" ht="14.25">
      <c r="A53" s="1522" t="s">
        <v>159</v>
      </c>
      <c r="B53" s="1522" t="s">
        <v>160</v>
      </c>
      <c r="C53" s="1522" t="s">
        <v>161</v>
      </c>
      <c r="D53" s="1522" t="s">
        <v>162</v>
      </c>
      <c r="E53" s="2321"/>
      <c r="F53" s="2321"/>
      <c r="G53" s="2321"/>
      <c r="H53" s="2320"/>
      <c r="I53" s="1522"/>
      <c r="J53" s="1522"/>
      <c r="K53" s="1522"/>
      <c r="L53" s="1523"/>
      <c r="M53" s="1524"/>
      <c r="N53" s="1524"/>
      <c r="O53" s="691"/>
      <c r="P53" s="514"/>
      <c r="Q53" s="529"/>
      <c r="R53" s="509"/>
      <c r="S53" s="1437"/>
      <c r="T53" s="519" t="s">
        <v>413</v>
      </c>
      <c r="U53" s="521"/>
      <c r="V53" s="521"/>
      <c r="W53" s="521"/>
      <c r="X53" s="521"/>
      <c r="Y53" s="521"/>
      <c r="Z53" s="521"/>
      <c r="AA53" s="521"/>
      <c r="AB53" s="521"/>
      <c r="AC53" s="520"/>
      <c r="AD53" s="521"/>
      <c r="AE53" s="521"/>
      <c r="AF53" s="521"/>
      <c r="AG53" s="521"/>
      <c r="AH53" s="521"/>
      <c r="AI53" s="521"/>
      <c r="AJ53" s="521"/>
      <c r="AK53" s="520"/>
      <c r="AL53" s="521"/>
      <c r="AM53" s="457"/>
      <c r="AO53" s="654"/>
      <c r="AP53" s="654" t="str">
        <f>IF(T53="","",T53)</f>
        <v>Добавить схему подключения</v>
      </c>
      <c r="AQ53" s="654"/>
      <c r="AR53" s="654"/>
    </row>
    <row s="8702" customFormat="1" customHeight="1" ht="0.75">
      <c r="A54" s="1502" t="s">
        <v>159</v>
      </c>
      <c r="B54" s="1502" t="s">
        <v>160</v>
      </c>
      <c r="C54" s="1502" t="s">
        <v>161</v>
      </c>
      <c r="D54" s="1473"/>
      <c r="E54" s="2321"/>
      <c r="F54" s="2321"/>
      <c r="G54" s="2320"/>
      <c r="H54" s="1473"/>
      <c r="I54" s="1473"/>
      <c r="J54" s="1473"/>
      <c r="K54" s="1473"/>
      <c r="L54" s="1498"/>
      <c r="M54" s="1474"/>
      <c r="N54" s="1474"/>
      <c r="P54" s="1475"/>
      <c r="Q54" s="1476"/>
      <c r="R54" s="1475"/>
      <c r="S54" s="1481"/>
      <c r="T54" s="1484" t="s">
        <v>414</v>
      </c>
      <c r="U54" s="1483"/>
      <c r="V54" s="1483"/>
      <c r="W54" s="1483"/>
      <c r="X54" s="1483"/>
      <c r="Y54" s="1483"/>
      <c r="Z54" s="1483"/>
      <c r="AA54" s="1483"/>
      <c r="AB54" s="1483"/>
      <c r="AC54" s="1483"/>
      <c r="AD54" s="1483"/>
      <c r="AE54" s="1483"/>
      <c r="AF54" s="1483"/>
      <c r="AG54" s="1483"/>
      <c r="AH54" s="1483"/>
      <c r="AI54" s="1483"/>
      <c r="AJ54" s="1483"/>
      <c r="AK54" s="1483"/>
      <c r="AL54" s="1483"/>
      <c r="AM54" s="1483"/>
      <c r="AO54" s="943"/>
      <c r="AP54" s="943" t="str">
        <f>IF(T54="","",T54)</f>
        <v>Добавить источник для дифференциации</v>
      </c>
      <c r="AQ54" s="943"/>
      <c r="AR54" s="943"/>
    </row>
    <row s="8702" customFormat="1" customHeight="1" ht="0.75">
      <c r="A55" s="1502" t="s">
        <v>159</v>
      </c>
      <c r="B55" s="1502" t="s">
        <v>160</v>
      </c>
      <c r="C55" s="1473"/>
      <c r="D55" s="1473"/>
      <c r="E55" s="2321"/>
      <c r="F55" s="2320"/>
      <c r="G55" s="1473"/>
      <c r="H55" s="1473"/>
      <c r="I55" s="1473"/>
      <c r="J55" s="1473"/>
      <c r="K55" s="1473"/>
      <c r="L55" s="1498"/>
      <c r="M55" s="1480"/>
      <c r="N55" s="1480"/>
      <c r="P55" s="1475"/>
      <c r="Q55" s="1476"/>
      <c r="R55" s="1475"/>
      <c r="S55" s="1481"/>
      <c r="T55" s="1484" t="s">
        <v>251</v>
      </c>
      <c r="U55" s="1483"/>
      <c r="V55" s="1483"/>
      <c r="W55" s="1483"/>
      <c r="X55" s="1483"/>
      <c r="Y55" s="1483"/>
      <c r="Z55" s="1483"/>
      <c r="AA55" s="1483"/>
      <c r="AB55" s="1483"/>
      <c r="AC55" s="1483"/>
      <c r="AD55" s="1483"/>
      <c r="AE55" s="1483"/>
      <c r="AF55" s="1483"/>
      <c r="AG55" s="1483"/>
      <c r="AH55" s="1483"/>
      <c r="AI55" s="1483"/>
      <c r="AJ55" s="1483"/>
      <c r="AK55" s="1483"/>
      <c r="AL55" s="1483"/>
      <c r="AM55" s="1483"/>
      <c r="AO55" s="943"/>
      <c r="AP55" s="943" t="str">
        <f>IF(T55="","",T55)</f>
        <v>Добавить централизованную систему для дифференциации</v>
      </c>
      <c r="AQ55" s="943"/>
      <c r="AR55" s="943"/>
    </row>
    <row s="8794" customFormat="1" customHeight="1" ht="0.75">
      <c r="A56" s="1502" t="s">
        <v>159</v>
      </c>
      <c r="B56" s="1502"/>
      <c r="C56" s="1502"/>
      <c r="D56" s="1502"/>
      <c r="E56" s="2320"/>
      <c r="F56" s="1502"/>
      <c r="G56" s="1502"/>
      <c r="H56" s="1502"/>
      <c r="I56" s="1502"/>
      <c r="J56" s="1502"/>
      <c r="K56" s="1502"/>
      <c r="L56" s="1505"/>
      <c r="M56" s="1480"/>
      <c r="N56" s="1480"/>
      <c r="O56" s="672"/>
      <c r="P56" s="534"/>
      <c r="Q56" s="1503"/>
      <c r="R56" s="534"/>
      <c r="S56" s="1481"/>
      <c r="T56" s="1484" t="s">
        <v>252</v>
      </c>
      <c r="U56" s="1483"/>
      <c r="V56" s="1483"/>
      <c r="W56" s="1483"/>
      <c r="X56" s="1483"/>
      <c r="Y56" s="1483"/>
      <c r="Z56" s="1483"/>
      <c r="AA56" s="1483"/>
      <c r="AB56" s="1483"/>
      <c r="AC56" s="1483"/>
      <c r="AD56" s="1483"/>
      <c r="AE56" s="1483"/>
      <c r="AF56" s="1483"/>
      <c r="AG56" s="1483"/>
      <c r="AH56" s="1483"/>
      <c r="AI56" s="1483"/>
      <c r="AJ56" s="1483"/>
      <c r="AK56" s="1483"/>
      <c r="AL56" s="1483"/>
      <c r="AM56" s="1483"/>
      <c r="AO56" s="654"/>
      <c r="AP56" s="654" t="str">
        <f>IF(T56="","",T56)</f>
        <v>Добавить территорию для дифференциации</v>
      </c>
      <c r="AQ56" s="654"/>
      <c r="AR56" s="654"/>
    </row>
    <row s="8702" customFormat="1" customHeight="1" ht="0.75">
      <c r="A57" s="1473"/>
      <c r="B57" s="1473"/>
      <c r="C57" s="1473"/>
      <c r="D57" s="1473"/>
      <c r="E57" s="1502"/>
      <c r="F57" s="1473"/>
      <c r="G57" s="1473"/>
      <c r="H57" s="1473"/>
      <c r="I57" s="1473"/>
      <c r="J57" s="1473"/>
      <c r="K57" s="1473"/>
      <c r="L57" s="1498"/>
      <c r="M57" s="1480"/>
      <c r="N57" s="1480"/>
      <c r="P57" s="1475"/>
      <c r="Q57" s="1476"/>
      <c r="R57" s="1475"/>
      <c r="S57" s="1481"/>
      <c r="T57" s="1484" t="s">
        <v>253</v>
      </c>
      <c r="U57" s="1483"/>
      <c r="V57" s="1483"/>
      <c r="W57" s="1483"/>
      <c r="X57" s="1483"/>
      <c r="Y57" s="1483"/>
      <c r="Z57" s="1483"/>
      <c r="AA57" s="1483"/>
      <c r="AB57" s="1483"/>
      <c r="AC57" s="1483"/>
      <c r="AD57" s="1483"/>
      <c r="AE57" s="1483"/>
      <c r="AF57" s="1483"/>
      <c r="AG57" s="1483"/>
      <c r="AH57" s="1483"/>
      <c r="AI57" s="1483"/>
      <c r="AJ57" s="1483"/>
      <c r="AK57" s="1483"/>
      <c r="AL57" s="1483"/>
      <c r="AM57" s="1483"/>
      <c r="AO57" s="943"/>
      <c r="AP57" s="943" t="str">
        <f>IF(T57="","",T57)</f>
        <v>Добавить наименование тарифа</v>
      </c>
      <c r="AQ57" s="943"/>
      <c r="AR57" s="943"/>
    </row>
    <row customHeight="1" ht="11.25">
      <c r="M58" s="1316"/>
      <c r="N58" s="1316"/>
      <c r="O58" s="691"/>
      <c r="P58" s="1311"/>
      <c r="Q58" s="1311"/>
      <c r="R58" s="1311"/>
      <c r="S58" s="1311"/>
      <c r="AN58" s="1311"/>
      <c r="AO58" s="1311"/>
      <c r="AP58" s="1311"/>
      <c r="AQ58" s="1311"/>
      <c r="AR58" s="1311"/>
    </row>
    <row customHeight="1" ht="27">
      <c r="O59" s="691"/>
      <c r="S59" s="1411"/>
      <c r="T59" s="2319"/>
      <c r="U59" s="2319"/>
      <c r="V59" s="2319"/>
      <c r="W59" s="2319"/>
      <c r="X59" s="2319"/>
      <c r="Y59" s="2319"/>
      <c r="Z59" s="2319"/>
      <c r="AA59" s="2319"/>
      <c r="AB59" s="2319"/>
      <c r="AC59" s="2319"/>
      <c r="AD59" s="2319"/>
      <c r="AE59" s="2319"/>
      <c r="AF59" s="2319"/>
      <c r="AG59" s="2319"/>
      <c r="AH59" s="2319"/>
      <c r="AI59" s="2319"/>
      <c r="AJ59" s="2319"/>
      <c r="AK59" s="2319"/>
      <c r="AL59" s="2319"/>
      <c r="AM59" s="2319"/>
    </row>
    <row customHeight="1" ht="62.25">
      <c r="O60" s="691"/>
      <c r="T60" s="2319"/>
      <c r="U60" s="2319"/>
      <c r="V60" s="2319"/>
      <c r="W60" s="2319"/>
      <c r="X60" s="2319"/>
      <c r="Y60" s="2319"/>
      <c r="Z60" s="2319"/>
      <c r="AA60" s="2319"/>
      <c r="AB60" s="2319"/>
      <c r="AC60" s="2319"/>
      <c r="AD60" s="2319"/>
      <c r="AE60" s="2319"/>
      <c r="AF60" s="2319"/>
      <c r="AG60" s="2319"/>
      <c r="AH60" s="2319"/>
      <c r="AI60" s="2319"/>
      <c r="AJ60" s="2319"/>
      <c r="AK60" s="2319"/>
      <c r="AL60" s="2319"/>
      <c r="AM60" s="2319"/>
    </row>
    <row customHeight="1" ht="14.25">
      <c r="O61" s="691"/>
    </row>
    <row customHeight="1" ht="18">
      <c r="O62" s="691"/>
      <c r="S62" s="1411"/>
      <c r="T62" s="2319"/>
      <c r="U62" s="2319"/>
      <c r="V62" s="2319"/>
      <c r="W62" s="2319"/>
      <c r="X62" s="2319"/>
      <c r="Y62" s="2319"/>
      <c r="Z62" s="2319"/>
      <c r="AA62" s="2319"/>
      <c r="AB62" s="2319"/>
      <c r="AC62" s="2319"/>
      <c r="AD62" s="2319"/>
      <c r="AE62" s="2319"/>
      <c r="AF62" s="2319"/>
      <c r="AG62" s="2319"/>
      <c r="AH62" s="2319"/>
      <c r="AI62" s="2319"/>
      <c r="AJ62" s="2319"/>
      <c r="AK62" s="2319"/>
      <c r="AL62" s="2319"/>
      <c r="AM62" s="2319"/>
    </row>
    <row customHeight="1" ht="18">
      <c r="O63" s="691"/>
      <c r="T63" s="2319"/>
      <c r="U63" s="2319"/>
      <c r="V63" s="2319"/>
      <c r="W63" s="2319"/>
      <c r="X63" s="2319"/>
      <c r="Y63" s="2319"/>
      <c r="Z63" s="2319"/>
      <c r="AA63" s="2319"/>
      <c r="AB63" s="2319"/>
      <c r="AC63" s="2319"/>
      <c r="AD63" s="2319"/>
      <c r="AE63" s="2319"/>
      <c r="AF63" s="2319"/>
      <c r="AG63" s="2319"/>
      <c r="AH63" s="2319"/>
      <c r="AI63" s="2319"/>
      <c r="AJ63" s="2319"/>
      <c r="AK63" s="2319"/>
      <c r="AL63" s="2319"/>
      <c r="AM63" s="2319"/>
    </row>
    <row customHeight="1" ht="27.75">
      <c r="O64" s="691"/>
      <c r="S64" s="1411"/>
      <c r="T64" s="2319"/>
      <c r="U64" s="2319"/>
      <c r="V64" s="2319"/>
      <c r="W64" s="2319"/>
      <c r="X64" s="2319"/>
      <c r="Y64" s="2319"/>
      <c r="Z64" s="2319"/>
      <c r="AA64" s="2319"/>
      <c r="AB64" s="2319"/>
      <c r="AC64" s="2319"/>
      <c r="AD64" s="2319"/>
      <c r="AE64" s="2319"/>
      <c r="AF64" s="2319"/>
      <c r="AG64" s="2319"/>
      <c r="AH64" s="2319"/>
      <c r="AI64" s="2319"/>
      <c r="AJ64" s="2319"/>
      <c r="AK64" s="2319"/>
      <c r="AL64" s="2319"/>
      <c r="AM64" s="2319"/>
    </row>
  </sheetData>
  <sheetProtection formatColumns="0" formatRows="0" autoFilter="0" sort="0" insertRows="0" insertColumns="1" deleteRows="0" deleteColumns="0"/>
  <mergeCells count="112">
    <mergeCell ref="S26:AJ26"/>
    <mergeCell ref="S27:AJ27"/>
    <mergeCell ref="S29:T29"/>
    <mergeCell ref="AD29:AJ29"/>
    <mergeCell ref="S30:T30"/>
    <mergeCell ref="V30:AB30"/>
    <mergeCell ref="AD30:AJ30"/>
    <mergeCell ref="S31:T31"/>
    <mergeCell ref="E2:E15"/>
    <mergeCell ref="F3:F14"/>
    <mergeCell ref="G4:G13"/>
    <mergeCell ref="H5:H12"/>
    <mergeCell ref="I6:I11"/>
    <mergeCell ref="P6:P11"/>
    <mergeCell ref="J7:J10"/>
    <mergeCell ref="Q7:Q10"/>
    <mergeCell ref="K8:K9"/>
    <mergeCell ref="Z8:Z9"/>
    <mergeCell ref="AA8:AA9"/>
    <mergeCell ref="AB8:AB9"/>
    <mergeCell ref="AC8:AC9"/>
    <mergeCell ref="V29:AB29"/>
    <mergeCell ref="V31:AB31"/>
    <mergeCell ref="AD31:AJ31"/>
    <mergeCell ref="V7:AC7"/>
    <mergeCell ref="AD7:AL7"/>
    <mergeCell ref="V2:AC2"/>
    <mergeCell ref="AD2:AL2"/>
    <mergeCell ref="V3:AC3"/>
    <mergeCell ref="AD3:AL3"/>
    <mergeCell ref="V4:AC4"/>
    <mergeCell ref="AD4:AL4"/>
    <mergeCell ref="V5:AC5"/>
    <mergeCell ref="AD5:AL5"/>
    <mergeCell ref="V6:AC6"/>
    <mergeCell ref="AD6:AL6"/>
    <mergeCell ref="AM8:AM10"/>
    <mergeCell ref="AH17:AH18"/>
    <mergeCell ref="AI17:AI18"/>
    <mergeCell ref="AJ17:AJ18"/>
    <mergeCell ref="AK17:AK18"/>
    <mergeCell ref="AH8:AH9"/>
    <mergeCell ref="AI8:AI9"/>
    <mergeCell ref="AJ8:AJ9"/>
    <mergeCell ref="AK8:AK9"/>
    <mergeCell ref="S32:T32"/>
    <mergeCell ref="V32:AB32"/>
    <mergeCell ref="AD32:AJ32"/>
    <mergeCell ref="V37:AC37"/>
    <mergeCell ref="AD37:AK37"/>
    <mergeCell ref="S34:T34"/>
    <mergeCell ref="V34:AB34"/>
    <mergeCell ref="AD34:AJ34"/>
    <mergeCell ref="S35:T35"/>
    <mergeCell ref="V35:AB35"/>
    <mergeCell ref="AD35:AJ35"/>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T63:AM63"/>
    <mergeCell ref="T64:AM64"/>
    <mergeCell ref="T62:AM62"/>
    <mergeCell ref="AM49:AM51"/>
    <mergeCell ref="T59:AM59"/>
    <mergeCell ref="T60:AM60"/>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s>
  <dataValidations count="8">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B77EF13-25F3-5CB8-9755-4A10A4FD5E0F}" mc:Ignorable="x14ac xr xr2 xr3">
  <sheetPr>
    <tabColor theme="6" tint="0.4"/>
  </sheetPr>
  <dimension ref="A1:AR64"/>
  <sheetViews>
    <sheetView topLeftCell="A1" showGridLines="0" workbookViewId="0">
      <selection activeCell="A1" sqref="A1"/>
    </sheetView>
  </sheetViews>
  <sheetFormatPr defaultColWidth="10.57421875" customHeight="1" defaultRowHeight="14.25"/>
  <cols>
    <col min="1" max="1" style="8849" width="10.57421875" hidden="1"/>
    <col min="2" max="2" style="8849" width="11.00390625" hidden="1" customWidth="1"/>
    <col min="3" max="3" style="8849" width="10.57421875" hidden="1"/>
    <col min="4" max="4" style="8849" width="11.8515625" hidden="1" customWidth="1"/>
    <col min="5" max="5" style="8849" width="10.00390625" hidden="1" customWidth="1"/>
    <col min="6" max="6" style="8849" width="8.7109375" hidden="1" customWidth="1"/>
    <col min="7" max="7" style="8849" width="7.57421875" hidden="1" customWidth="1"/>
    <col min="8" max="8" style="8849" width="11.421875" hidden="1" customWidth="1"/>
    <col min="9" max="9" style="8849" width="12.00390625" hidden="1" customWidth="1"/>
    <col min="10" max="10" style="8849" width="9.8515625" hidden="1" customWidth="1"/>
    <col min="11" max="11" style="8849" width="11.421875" hidden="1" customWidth="1"/>
    <col min="12" max="12" style="8850" width="19.140625" hidden="1" customWidth="1"/>
    <col min="13" max="14" style="8851" width="12.28125" hidden="1" customWidth="1"/>
    <col min="15" max="15" style="8851" width="23.421875" hidden="1" customWidth="1"/>
    <col min="16" max="16" style="8851" width="3.7109375" customWidth="1"/>
    <col min="17" max="18" style="8805" width="3.7109375" customWidth="1"/>
    <col min="19" max="19" style="8806" width="12.7109375" customWidth="1"/>
    <col min="20" max="20" style="8849" width="32.00390625" customWidth="1"/>
    <col min="21" max="21" style="8849" width="0.140625" customWidth="1"/>
    <col min="22" max="22" style="8849" width="24.7109375" hidden="1" customWidth="1"/>
    <col min="23" max="23" style="8849" width="0.140625" hidden="1" customWidth="1"/>
    <col min="24" max="25" style="8849" width="24.7109375" hidden="1" customWidth="1"/>
    <col min="26" max="26" style="8849" width="11.7109375" hidden="1" customWidth="1"/>
    <col min="27" max="27" style="8849" width="3.7109375" hidden="1" customWidth="1"/>
    <col min="28" max="28" style="8849" width="11.7109375" hidden="1" customWidth="1"/>
    <col min="29" max="29" style="8849" width="8.57421875" hidden="1" customWidth="1"/>
    <col min="30" max="30" style="8849" width="24.7109375" customWidth="1"/>
    <col min="31" max="31" style="8849" width="0.140625" customWidth="1"/>
    <col min="32" max="33" style="8849" width="24.7109375" customWidth="1"/>
    <col min="34" max="34" style="8849" width="11.7109375" customWidth="1"/>
    <col min="35" max="35" style="8849" width="3.7109375" customWidth="1"/>
    <col min="36" max="36" style="8849" width="11.7109375" customWidth="1"/>
    <col min="37" max="37" style="8849" width="8.57421875" hidden="1" customWidth="1"/>
    <col min="38" max="38" style="8849" width="4.7109375" customWidth="1"/>
    <col min="39" max="39" style="8849" width="115.7109375" customWidth="1"/>
    <col min="40" max="41" style="8847" width="10.57421875"/>
    <col min="42" max="42" style="8847" width="11.140625" customWidth="1"/>
    <col min="43" max="44" style="8847" width="10.57421875"/>
  </cols>
  <sheetData>
    <row customHeight="1" ht="14.25" hidden="1"/>
    <row customHeight="1" ht="21" hidden="1">
      <c r="A2" s="1426"/>
      <c r="B2" s="1426"/>
      <c r="C2" s="1426"/>
      <c r="D2" s="1426"/>
      <c r="E2" s="2355">
        <v>1</v>
      </c>
      <c r="F2" s="1426"/>
      <c r="G2" s="1426"/>
      <c r="H2" s="1426"/>
      <c r="I2" s="1426"/>
      <c r="J2" s="1426"/>
      <c r="K2" s="1426"/>
      <c r="L2" s="1469"/>
      <c r="M2" s="1769"/>
      <c r="N2" s="1769"/>
      <c r="O2" s="1769"/>
      <c r="P2" s="1749"/>
      <c r="Q2" s="514"/>
      <c r="R2" s="509"/>
      <c r="S2" s="2118">
        <f>INDEX(PT_DIFFERENTIATION_NUM_NTAR,MATCH(A2,PT_DIFFERENTIATION_NTAR_ID,0))</f>
      </c>
      <c r="T2" s="1684" t="s">
        <v>120</v>
      </c>
      <c r="U2" s="454"/>
      <c r="V2" s="2314"/>
      <c r="W2" s="2315"/>
      <c r="X2" s="2315"/>
      <c r="Y2" s="2315"/>
      <c r="Z2" s="2315"/>
      <c r="AA2" s="2315"/>
      <c r="AB2" s="2315"/>
      <c r="AC2" s="2316"/>
      <c r="AD2" s="2314">
        <f>INDEX(PT_DIFFERENTIATION_NTAR,MATCH(A2,PT_DIFFERENTIATION_NTAR_ID,0))</f>
      </c>
      <c r="AE2" s="2315"/>
      <c r="AF2" s="2315"/>
      <c r="AG2" s="2315"/>
      <c r="AH2" s="2315"/>
      <c r="AI2" s="2315"/>
      <c r="AJ2" s="2315"/>
      <c r="AK2" s="2315"/>
      <c r="AL2" s="2316"/>
      <c r="AM2" s="1416" t="s">
        <v>396</v>
      </c>
      <c r="AO2" s="1783"/>
      <c r="AP2" s="1783" t="str">
        <f>IF(T2="","",T2)</f>
        <v>Наименование тарифа</v>
      </c>
      <c r="AQ2" s="1783"/>
      <c r="AR2" s="1783"/>
    </row>
    <row customHeight="1" ht="21" hidden="1">
      <c r="A3" s="1426"/>
      <c r="B3" s="1426"/>
      <c r="C3" s="1426"/>
      <c r="D3" s="1426"/>
      <c r="E3" s="2356"/>
      <c r="F3" s="2355">
        <v>1</v>
      </c>
      <c r="G3" s="1426"/>
      <c r="H3" s="1426"/>
      <c r="I3" s="1426"/>
      <c r="J3" s="1426"/>
      <c r="K3" s="1426"/>
      <c r="L3" s="1469"/>
      <c r="M3" s="1769"/>
      <c r="N3" s="1769"/>
      <c r="O3" s="1769"/>
      <c r="P3" s="2100"/>
      <c r="Q3" s="506"/>
      <c r="R3" s="507"/>
      <c r="S3" s="2118">
        <f>INDEX(PT_DIFFERENTIATION_NUM_TER,MATCH(B3,PT_DIFFERENTIATION_TER_ID,0))</f>
      </c>
      <c r="T3" s="1681" t="s">
        <v>397</v>
      </c>
      <c r="U3" s="454"/>
      <c r="V3" s="2314"/>
      <c r="W3" s="2315"/>
      <c r="X3" s="2315"/>
      <c r="Y3" s="2315"/>
      <c r="Z3" s="2315"/>
      <c r="AA3" s="2315"/>
      <c r="AB3" s="2315"/>
      <c r="AC3" s="2316"/>
      <c r="AD3" s="2314">
        <f>INDEX(PT_DIFFERENTIATION_TER,MATCH(B3,PT_DIFFERENTIATION_TER_ID,0))</f>
      </c>
      <c r="AE3" s="2315"/>
      <c r="AF3" s="2315"/>
      <c r="AG3" s="2315"/>
      <c r="AH3" s="2315"/>
      <c r="AI3" s="2315"/>
      <c r="AJ3" s="2315"/>
      <c r="AK3" s="2315"/>
      <c r="AL3" s="2316"/>
      <c r="AM3" s="1416" t="s">
        <v>398</v>
      </c>
      <c r="AO3" s="1783"/>
      <c r="AP3" s="1783" t="str">
        <f>IF(T3="","",T3)</f>
        <v>Территория действия тарифа</v>
      </c>
      <c r="AQ3" s="1783"/>
      <c r="AR3" s="1783"/>
    </row>
    <row customHeight="1" ht="23.25" hidden="1">
      <c r="A4" s="1426"/>
      <c r="B4" s="1426"/>
      <c r="C4" s="1426"/>
      <c r="D4" s="1426"/>
      <c r="E4" s="2356"/>
      <c r="F4" s="2356"/>
      <c r="G4" s="2355">
        <v>1</v>
      </c>
      <c r="H4" s="1426"/>
      <c r="I4" s="1426"/>
      <c r="J4" s="1426"/>
      <c r="K4" s="1426"/>
      <c r="L4" s="1469"/>
      <c r="M4" s="1769"/>
      <c r="N4" s="1769"/>
      <c r="O4" s="1769"/>
      <c r="P4" s="508"/>
      <c r="Q4" s="506"/>
      <c r="R4" s="507"/>
      <c r="S4" s="2118">
        <f>INDEX(PT_DIFFERENTIATION_NUM_CS,MATCH(C4,PT_DIFFERENTIATION_CS_ID,0))</f>
      </c>
      <c r="T4" s="463" t="s">
        <v>399</v>
      </c>
      <c r="U4" s="454"/>
      <c r="V4" s="2314"/>
      <c r="W4" s="2315"/>
      <c r="X4" s="2315"/>
      <c r="Y4" s="2315"/>
      <c r="Z4" s="2315"/>
      <c r="AA4" s="2315"/>
      <c r="AB4" s="2315"/>
      <c r="AC4" s="2316"/>
      <c r="AD4" s="2314">
        <f>INDEX(PT_DIFFERENTIATION_CS,MATCH(C4,PT_DIFFERENTIATION_CS_ID,0))</f>
      </c>
      <c r="AE4" s="2315"/>
      <c r="AF4" s="2315"/>
      <c r="AG4" s="2315"/>
      <c r="AH4" s="2315"/>
      <c r="AI4" s="2315"/>
      <c r="AJ4" s="2315"/>
      <c r="AK4" s="2315"/>
      <c r="AL4" s="2316"/>
      <c r="AM4" s="1416" t="s">
        <v>400</v>
      </c>
      <c r="AO4" s="1783"/>
      <c r="AP4" s="1783" t="str">
        <f>IF(T4="","",T4)</f>
        <v>Наименование системы теплоснабжения </v>
      </c>
      <c r="AQ4" s="1783"/>
      <c r="AR4" s="1783"/>
    </row>
    <row customHeight="1" ht="21" hidden="1">
      <c r="A5" s="1426"/>
      <c r="B5" s="1426"/>
      <c r="C5" s="1426"/>
      <c r="D5" s="1426"/>
      <c r="E5" s="2356"/>
      <c r="F5" s="2356"/>
      <c r="G5" s="2356"/>
      <c r="H5" s="2355">
        <v>1</v>
      </c>
      <c r="I5" s="1426"/>
      <c r="J5" s="1426"/>
      <c r="K5" s="1426"/>
      <c r="L5" s="1469"/>
      <c r="M5" s="1769"/>
      <c r="N5" s="1769"/>
      <c r="O5" s="1769"/>
      <c r="P5" s="508"/>
      <c r="Q5" s="506"/>
      <c r="R5" s="507"/>
      <c r="S5" s="2118">
        <f>INDEX(PT_DIFFERENTIATION_NUM_IST_TE,MATCH(D5,PT_DIFFERENTIATION_IST_TE_ID,0))</f>
      </c>
      <c r="T5" s="464" t="s">
        <v>401</v>
      </c>
      <c r="U5" s="454"/>
      <c r="V5" s="2314"/>
      <c r="W5" s="2315"/>
      <c r="X5" s="2315"/>
      <c r="Y5" s="2315"/>
      <c r="Z5" s="2315"/>
      <c r="AA5" s="2315"/>
      <c r="AB5" s="2315"/>
      <c r="AC5" s="2316"/>
      <c r="AD5" s="2314">
        <f>INDEX(PT_DIFFERENTIATION_IST_TE,MATCH(D5,PT_DIFFERENTIATION_IST_TE_ID,0))</f>
      </c>
      <c r="AE5" s="2315"/>
      <c r="AF5" s="2315"/>
      <c r="AG5" s="2315"/>
      <c r="AH5" s="2315"/>
      <c r="AI5" s="2315"/>
      <c r="AJ5" s="2315"/>
      <c r="AK5" s="2315"/>
      <c r="AL5" s="2316"/>
      <c r="AM5" s="1416" t="s">
        <v>402</v>
      </c>
      <c r="AO5" s="1783"/>
      <c r="AP5" s="1783" t="str">
        <f>IF(T5="","",T5)</f>
        <v>Источник тепловой энергии  </v>
      </c>
      <c r="AQ5" s="1783"/>
      <c r="AR5" s="1783"/>
    </row>
    <row customHeight="1" ht="47.25" hidden="1">
      <c r="A6" s="1426"/>
      <c r="B6" s="1426"/>
      <c r="C6" s="1426"/>
      <c r="D6" s="1426"/>
      <c r="E6" s="2356"/>
      <c r="F6" s="2356"/>
      <c r="G6" s="2356"/>
      <c r="H6" s="2356"/>
      <c r="I6" s="2185">
        <f>S5&amp;".1"</f>
      </c>
      <c r="J6" s="1426"/>
      <c r="K6" s="1426"/>
      <c r="L6" s="1469" t="s">
        <v>403</v>
      </c>
      <c r="M6" s="1794"/>
      <c r="P6" s="2324">
        <v>1</v>
      </c>
      <c r="Q6" s="2114"/>
      <c r="R6" s="510"/>
      <c r="S6" s="2118">
        <f>$I6</f>
      </c>
      <c r="T6" s="439" t="s">
        <v>404</v>
      </c>
      <c r="U6" s="454"/>
      <c r="V6" s="2308"/>
      <c r="W6" s="2309"/>
      <c r="X6" s="2309"/>
      <c r="Y6" s="2309"/>
      <c r="Z6" s="2309"/>
      <c r="AA6" s="2309"/>
      <c r="AB6" s="2309"/>
      <c r="AC6" s="2310"/>
      <c r="AD6" s="2308"/>
      <c r="AE6" s="2309"/>
      <c r="AF6" s="2309"/>
      <c r="AG6" s="2309"/>
      <c r="AH6" s="2309"/>
      <c r="AI6" s="2309"/>
      <c r="AJ6" s="2309"/>
      <c r="AK6" s="2309"/>
      <c r="AL6" s="2310"/>
      <c r="AM6" s="1416" t="s">
        <v>405</v>
      </c>
      <c r="AO6" s="1783"/>
      <c r="AP6" s="1783" t="str">
        <f>IF(T6="","",T6)</f>
        <v>Схема подключения теплопотребляющей установки к коллектору источника тепловой энергии</v>
      </c>
      <c r="AQ6" s="1783"/>
      <c r="AR6" s="1783"/>
    </row>
    <row customHeight="1" ht="21" hidden="1">
      <c r="A7" s="1426"/>
      <c r="B7" s="1426"/>
      <c r="C7" s="1426"/>
      <c r="D7" s="1426"/>
      <c r="E7" s="2356"/>
      <c r="F7" s="2356"/>
      <c r="G7" s="2356"/>
      <c r="H7" s="2356"/>
      <c r="I7" s="2169"/>
      <c r="J7" s="2185">
        <f>I6&amp;".1"</f>
      </c>
      <c r="K7" s="1426"/>
      <c r="L7" s="1469" t="s">
        <v>406</v>
      </c>
      <c r="M7" s="1794"/>
      <c r="N7" s="1790"/>
      <c r="P7" s="2324"/>
      <c r="Q7" s="2324">
        <v>1</v>
      </c>
      <c r="R7" s="511"/>
      <c r="S7" s="2118">
        <f>$J7</f>
      </c>
      <c r="T7" s="440" t="s">
        <v>407</v>
      </c>
      <c r="U7" s="454"/>
      <c r="V7" s="2308"/>
      <c r="W7" s="2309"/>
      <c r="X7" s="2309"/>
      <c r="Y7" s="2309"/>
      <c r="Z7" s="2309"/>
      <c r="AA7" s="2309"/>
      <c r="AB7" s="2309"/>
      <c r="AC7" s="2310"/>
      <c r="AD7" s="2308"/>
      <c r="AE7" s="2309"/>
      <c r="AF7" s="2309"/>
      <c r="AG7" s="2309"/>
      <c r="AH7" s="2309"/>
      <c r="AI7" s="2309"/>
      <c r="AJ7" s="2309"/>
      <c r="AK7" s="2309"/>
      <c r="AL7" s="2310"/>
      <c r="AM7" s="1416" t="s">
        <v>408</v>
      </c>
      <c r="AO7" s="1783"/>
      <c r="AP7" s="1783" t="str">
        <f>IF(T7="","",T7)</f>
        <v>Группа потребителей</v>
      </c>
      <c r="AQ7" s="1783"/>
      <c r="AR7" s="1783"/>
    </row>
    <row customHeight="1" ht="21" hidden="1">
      <c r="A8" s="1426"/>
      <c r="B8" s="1426"/>
      <c r="C8" s="1426"/>
      <c r="D8" s="1426"/>
      <c r="E8" s="2356"/>
      <c r="F8" s="2356"/>
      <c r="G8" s="2356"/>
      <c r="H8" s="2356"/>
      <c r="I8" s="2169"/>
      <c r="J8" s="2169"/>
      <c r="K8" s="2185">
        <f>J7&amp;".1"</f>
      </c>
      <c r="L8" s="1469" t="s">
        <v>409</v>
      </c>
      <c r="M8" s="1794"/>
      <c r="N8" s="1790"/>
      <c r="O8" s="1790"/>
      <c r="P8" s="2324"/>
      <c r="Q8" s="2324"/>
      <c r="R8" s="511">
        <v>1</v>
      </c>
      <c r="S8" s="2118">
        <f>$K8</f>
      </c>
      <c r="T8" s="1506"/>
      <c r="U8" s="454"/>
      <c r="V8" s="905"/>
      <c r="W8" s="479"/>
      <c r="X8" s="905"/>
      <c r="Y8" s="1415"/>
      <c r="Z8" s="2325"/>
      <c r="AA8" s="2195" t="s">
        <v>64</v>
      </c>
      <c r="AB8" s="2325"/>
      <c r="AC8" s="2195" t="s">
        <v>64</v>
      </c>
      <c r="AD8" s="905"/>
      <c r="AE8" s="479"/>
      <c r="AF8" s="905"/>
      <c r="AG8" s="1415"/>
      <c r="AH8" s="2325"/>
      <c r="AI8" s="2195" t="s">
        <v>64</v>
      </c>
      <c r="AJ8" s="2325"/>
      <c r="AK8" s="2195" t="s">
        <v>64</v>
      </c>
      <c r="AL8" s="479"/>
      <c r="AM8" s="2350" t="s">
        <v>410</v>
      </c>
      <c r="AN8" s="1795">
        <f>STRCHECKDATE(V9:AL9)</f>
      </c>
      <c r="AO8" s="1783"/>
      <c r="AP8" s="1783" t="str">
        <f>IF(T8="","",T8)</f>
        <v/>
      </c>
      <c r="AQ8" s="1783"/>
      <c r="AR8" s="1783"/>
    </row>
    <row customHeight="1" ht="0.75" hidden="1">
      <c r="A9" s="1426"/>
      <c r="B9" s="1426"/>
      <c r="C9" s="1426"/>
      <c r="D9" s="1426"/>
      <c r="E9" s="2356"/>
      <c r="F9" s="2356"/>
      <c r="G9" s="2356"/>
      <c r="H9" s="2356"/>
      <c r="I9" s="2169"/>
      <c r="J9" s="2169"/>
      <c r="K9" s="2185"/>
      <c r="L9" s="1469"/>
      <c r="M9" s="1794"/>
      <c r="N9" s="1790"/>
      <c r="O9" s="1790"/>
      <c r="P9" s="2324"/>
      <c r="Q9" s="2324"/>
      <c r="R9" s="511"/>
      <c r="S9" s="2127"/>
      <c r="T9" s="454"/>
      <c r="U9" s="454"/>
      <c r="V9" s="479"/>
      <c r="W9" s="479"/>
      <c r="X9" s="479"/>
      <c r="Y9" s="482" t="str">
        <f>Z8&amp;"-"&amp;AB8</f>
        <v>-</v>
      </c>
      <c r="Z9" s="2326"/>
      <c r="AA9" s="2195"/>
      <c r="AB9" s="2326"/>
      <c r="AC9" s="2195"/>
      <c r="AD9" s="479"/>
      <c r="AE9" s="479"/>
      <c r="AF9" s="479"/>
      <c r="AG9" s="482" t="str">
        <f>AH8&amp;"-"&amp;AJ8</f>
        <v>-</v>
      </c>
      <c r="AH9" s="2326"/>
      <c r="AI9" s="2195"/>
      <c r="AJ9" s="2326"/>
      <c r="AK9" s="2195"/>
      <c r="AL9" s="479"/>
      <c r="AM9" s="2351"/>
      <c r="AO9" s="1783"/>
      <c r="AP9" s="1783" t="str">
        <f>IF(T9="","",T9)</f>
        <v/>
      </c>
      <c r="AQ9" s="1783"/>
      <c r="AR9" s="1783"/>
    </row>
    <row customHeight="1" ht="15" hidden="1">
      <c r="A10" s="1426"/>
      <c r="B10" s="1426"/>
      <c r="C10" s="1426"/>
      <c r="D10" s="1426"/>
      <c r="E10" s="2356"/>
      <c r="F10" s="2356"/>
      <c r="G10" s="2356"/>
      <c r="H10" s="2356"/>
      <c r="I10" s="2169"/>
      <c r="J10" s="2185"/>
      <c r="K10" s="1426"/>
      <c r="L10" s="1469"/>
      <c r="M10" s="1794"/>
      <c r="N10" s="1790"/>
      <c r="P10" s="2324"/>
      <c r="Q10" s="2324"/>
      <c r="R10" s="510"/>
      <c r="S10" s="1437"/>
      <c r="T10" s="442" t="s">
        <v>411</v>
      </c>
      <c r="U10" s="754"/>
      <c r="V10" s="754"/>
      <c r="W10" s="754"/>
      <c r="X10" s="754"/>
      <c r="Y10" s="754"/>
      <c r="Z10" s="754"/>
      <c r="AA10" s="754"/>
      <c r="AB10" s="754"/>
      <c r="AC10" s="754"/>
      <c r="AD10" s="754"/>
      <c r="AE10" s="754"/>
      <c r="AF10" s="754"/>
      <c r="AG10" s="754"/>
      <c r="AH10" s="754"/>
      <c r="AI10" s="754"/>
      <c r="AJ10" s="754"/>
      <c r="AK10" s="754"/>
      <c r="AL10" s="478"/>
      <c r="AM10" s="2352"/>
      <c r="AO10" s="1783"/>
      <c r="AP10" s="1783" t="str">
        <f>IF(T10="","",T10)</f>
        <v>Добавить вид теплоносителя (параметры теплоносителя)</v>
      </c>
      <c r="AQ10" s="1783"/>
      <c r="AR10" s="1783"/>
    </row>
    <row customHeight="1" ht="15" hidden="1">
      <c r="A11" s="1426"/>
      <c r="B11" s="1426"/>
      <c r="C11" s="1426"/>
      <c r="D11" s="1426"/>
      <c r="E11" s="2356"/>
      <c r="F11" s="2356"/>
      <c r="G11" s="2356"/>
      <c r="H11" s="2356"/>
      <c r="I11" s="2185"/>
      <c r="J11" s="1426"/>
      <c r="K11" s="1426"/>
      <c r="L11" s="1469"/>
      <c r="M11" s="1794"/>
      <c r="P11" s="2324"/>
      <c r="Q11" s="2114"/>
      <c r="R11" s="510"/>
      <c r="S11" s="1437"/>
      <c r="T11" s="441" t="s">
        <v>412</v>
      </c>
      <c r="U11" s="754"/>
      <c r="V11" s="754"/>
      <c r="W11" s="754"/>
      <c r="X11" s="754"/>
      <c r="Y11" s="754"/>
      <c r="Z11" s="754"/>
      <c r="AA11" s="754"/>
      <c r="AB11" s="754"/>
      <c r="AC11" s="520"/>
      <c r="AD11" s="754"/>
      <c r="AE11" s="754"/>
      <c r="AF11" s="754"/>
      <c r="AG11" s="754"/>
      <c r="AH11" s="754"/>
      <c r="AI11" s="754"/>
      <c r="AJ11" s="754"/>
      <c r="AK11" s="520"/>
      <c r="AL11" s="754"/>
      <c r="AM11" s="457"/>
      <c r="AO11" s="1783"/>
      <c r="AP11" s="1783" t="str">
        <f>IF(T11="","",T11)</f>
        <v>Добавить группу потребителей</v>
      </c>
      <c r="AQ11" s="1783"/>
      <c r="AR11" s="1783"/>
    </row>
    <row customHeight="1" ht="14.25" hidden="1">
      <c r="A12" s="1426"/>
      <c r="B12" s="1426"/>
      <c r="C12" s="1426"/>
      <c r="D12" s="1426"/>
      <c r="E12" s="2356"/>
      <c r="F12" s="2356"/>
      <c r="G12" s="2356"/>
      <c r="H12" s="2355"/>
      <c r="I12" s="1426"/>
      <c r="J12" s="1426"/>
      <c r="K12" s="1426"/>
      <c r="L12" s="1469"/>
      <c r="M12" s="1769"/>
      <c r="N12" s="1769"/>
      <c r="O12" s="1794"/>
      <c r="P12" s="514"/>
      <c r="Q12" s="529"/>
      <c r="R12" s="509"/>
      <c r="S12" s="1437"/>
      <c r="T12" s="519" t="s">
        <v>413</v>
      </c>
      <c r="U12" s="754"/>
      <c r="V12" s="754"/>
      <c r="W12" s="754"/>
      <c r="X12" s="754"/>
      <c r="Y12" s="754"/>
      <c r="Z12" s="754"/>
      <c r="AA12" s="754"/>
      <c r="AB12" s="754"/>
      <c r="AC12" s="520"/>
      <c r="AD12" s="754"/>
      <c r="AE12" s="754"/>
      <c r="AF12" s="754"/>
      <c r="AG12" s="754"/>
      <c r="AH12" s="754"/>
      <c r="AI12" s="754"/>
      <c r="AJ12" s="754"/>
      <c r="AK12" s="520"/>
      <c r="AL12" s="754"/>
      <c r="AM12" s="457"/>
      <c r="AO12" s="1783"/>
      <c r="AP12" s="1783" t="str">
        <f>IF(T12="","",T12)</f>
        <v>Добавить схему подключения</v>
      </c>
      <c r="AQ12" s="1783"/>
      <c r="AR12" s="1783"/>
    </row>
    <row s="8827" customFormat="1" customHeight="1" ht="0.75" hidden="1">
      <c r="A13" s="1533"/>
      <c r="B13" s="1533"/>
      <c r="C13" s="1533"/>
      <c r="D13" s="1533"/>
      <c r="E13" s="2356"/>
      <c r="F13" s="2356"/>
      <c r="G13" s="2355"/>
      <c r="H13" s="1533"/>
      <c r="I13" s="1533"/>
      <c r="J13" s="1533"/>
      <c r="K13" s="1533"/>
      <c r="L13" s="1536"/>
      <c r="M13" s="1537"/>
      <c r="N13" s="1537"/>
      <c r="O13" s="505"/>
      <c r="P13" s="1475"/>
      <c r="Q13" s="1476"/>
      <c r="R13" s="1475"/>
      <c r="S13" s="1477"/>
      <c r="T13" s="1478" t="s">
        <v>414</v>
      </c>
      <c r="U13" s="1479"/>
      <c r="V13" s="1479"/>
      <c r="W13" s="1479"/>
      <c r="X13" s="1479"/>
      <c r="Y13" s="1479"/>
      <c r="Z13" s="1479"/>
      <c r="AA13" s="1479"/>
      <c r="AB13" s="1479"/>
      <c r="AC13" s="1479"/>
      <c r="AD13" s="1479"/>
      <c r="AE13" s="1479"/>
      <c r="AF13" s="1479"/>
      <c r="AG13" s="1479"/>
      <c r="AH13" s="1479"/>
      <c r="AI13" s="1479"/>
      <c r="AJ13" s="1479"/>
      <c r="AK13" s="1479"/>
      <c r="AL13" s="1479"/>
      <c r="AM13" s="1479"/>
      <c r="AO13" s="1409"/>
      <c r="AP13" s="1409" t="str">
        <f>IF(T13="","",T13)</f>
        <v>Добавить источник для дифференциации</v>
      </c>
      <c r="AQ13" s="1409"/>
      <c r="AR13" s="1409"/>
    </row>
    <row s="8827" customFormat="1" customHeight="1" ht="0.75" hidden="1">
      <c r="A14" s="1533"/>
      <c r="B14" s="1533"/>
      <c r="C14" s="1533"/>
      <c r="D14" s="1533"/>
      <c r="E14" s="2356"/>
      <c r="F14" s="2355"/>
      <c r="G14" s="1533"/>
      <c r="H14" s="1533"/>
      <c r="I14" s="1533"/>
      <c r="J14" s="1533"/>
      <c r="K14" s="1533"/>
      <c r="L14" s="1536"/>
      <c r="M14" s="1538"/>
      <c r="N14" s="1538"/>
      <c r="O14" s="505"/>
      <c r="P14" s="1475"/>
      <c r="Q14" s="1476"/>
      <c r="R14" s="1475"/>
      <c r="S14" s="1481"/>
      <c r="T14" s="1482" t="s">
        <v>251</v>
      </c>
      <c r="U14" s="1483"/>
      <c r="V14" s="1483"/>
      <c r="W14" s="1483"/>
      <c r="X14" s="1483"/>
      <c r="Y14" s="1483"/>
      <c r="Z14" s="1483"/>
      <c r="AA14" s="1483"/>
      <c r="AB14" s="1483"/>
      <c r="AC14" s="1483"/>
      <c r="AD14" s="1483"/>
      <c r="AE14" s="1483"/>
      <c r="AF14" s="1483"/>
      <c r="AG14" s="1483"/>
      <c r="AH14" s="1483"/>
      <c r="AI14" s="1483"/>
      <c r="AJ14" s="1483"/>
      <c r="AK14" s="1483"/>
      <c r="AL14" s="1483"/>
      <c r="AM14" s="1483"/>
      <c r="AO14" s="1409"/>
      <c r="AP14" s="1409" t="str">
        <f>IF(T14="","",T14)</f>
        <v>Добавить централизованную систему для дифференциации</v>
      </c>
      <c r="AQ14" s="1409"/>
      <c r="AR14" s="1409"/>
    </row>
    <row s="8827" customFormat="1" customHeight="1" ht="0.75" hidden="1">
      <c r="A15" s="1533"/>
      <c r="B15" s="1533"/>
      <c r="C15" s="1533"/>
      <c r="D15" s="1533"/>
      <c r="E15" s="2355"/>
      <c r="F15" s="1533"/>
      <c r="G15" s="1533"/>
      <c r="H15" s="1533"/>
      <c r="I15" s="1533"/>
      <c r="J15" s="1533"/>
      <c r="K15" s="1533"/>
      <c r="L15" s="1536"/>
      <c r="M15" s="1538"/>
      <c r="N15" s="1538"/>
      <c r="O15" s="505"/>
      <c r="P15" s="1475"/>
      <c r="Q15" s="1476"/>
      <c r="R15" s="1475"/>
      <c r="S15" s="1481"/>
      <c r="T15" s="1484" t="s">
        <v>252</v>
      </c>
      <c r="U15" s="1483"/>
      <c r="V15" s="1483"/>
      <c r="W15" s="1483"/>
      <c r="X15" s="1483"/>
      <c r="Y15" s="1483"/>
      <c r="Z15" s="1483"/>
      <c r="AA15" s="1483"/>
      <c r="AB15" s="1483"/>
      <c r="AC15" s="1483"/>
      <c r="AD15" s="1483"/>
      <c r="AE15" s="1483"/>
      <c r="AF15" s="1483"/>
      <c r="AG15" s="1483"/>
      <c r="AH15" s="1483"/>
      <c r="AI15" s="1483"/>
      <c r="AJ15" s="1483"/>
      <c r="AK15" s="1483"/>
      <c r="AL15" s="1483"/>
      <c r="AM15" s="1483"/>
      <c r="AO15" s="1409"/>
      <c r="AP15" s="1409" t="str">
        <f>IF(T15="","",T15)</f>
        <v>Добавить территорию для дифференциации</v>
      </c>
      <c r="AQ15" s="1409"/>
      <c r="AR15" s="1409"/>
    </row>
    <row customHeight="1" ht="14.25" hidden="1"/>
    <row customHeight="1" ht="14.25" hidden="1">
      <c r="AD17" s="1519"/>
      <c r="AE17" s="1519"/>
      <c r="AF17" s="1519"/>
      <c r="AG17" s="1520"/>
      <c r="AH17" s="2318"/>
      <c r="AI17" s="2317" t="s">
        <v>64</v>
      </c>
      <c r="AJ17" s="2318"/>
      <c r="AK17" s="2317" t="s">
        <v>64</v>
      </c>
    </row>
    <row customHeight="1" ht="14.25" hidden="1">
      <c r="AD18" s="1519"/>
      <c r="AE18" s="1519"/>
      <c r="AF18" s="1519"/>
      <c r="AG18" s="482" t="str">
        <f>AH17&amp;"-"&amp;AJ17</f>
        <v>-</v>
      </c>
      <c r="AH18" s="2317"/>
      <c r="AI18" s="2317"/>
      <c r="AJ18" s="2317"/>
      <c r="AK18" s="2317"/>
    </row>
    <row customHeight="1" ht="14.25" hidden="1"/>
    <row s="8834" customFormat="1" customHeight="1" ht="14.25" hidden="1">
      <c r="A20" s="1790"/>
      <c r="B20" s="1790"/>
      <c r="C20" s="1790"/>
      <c r="D20" s="1790"/>
      <c r="E20" s="1790"/>
      <c r="F20" s="1790"/>
      <c r="G20" s="1790"/>
      <c r="H20" s="1790"/>
      <c r="I20" s="1790"/>
      <c r="J20" s="1790"/>
      <c r="K20" s="1790"/>
      <c r="L20" s="2099"/>
      <c r="M20" s="2125"/>
      <c r="N20" s="2125"/>
      <c r="O20" s="1504" t="s">
        <v>415</v>
      </c>
      <c r="P20" s="1521"/>
      <c r="Q20" s="1530"/>
      <c r="R20" s="1530"/>
      <c r="S20" s="883"/>
      <c r="Z20" s="1526"/>
      <c r="AB20" s="1526"/>
      <c r="AH20" s="1526"/>
      <c r="AJ20" s="1526"/>
      <c r="AN20" s="1795"/>
      <c r="AO20" s="1795"/>
      <c r="AP20" s="1795"/>
      <c r="AQ20" s="1795"/>
      <c r="AR20" s="1795"/>
    </row>
    <row s="8834" customFormat="1" customHeight="1" ht="14.25" hidden="1">
      <c r="A21" s="1790"/>
      <c r="B21" s="1790"/>
      <c r="C21" s="1790"/>
      <c r="D21" s="1790"/>
      <c r="E21" s="1790"/>
      <c r="F21" s="1790"/>
      <c r="G21" s="1790"/>
      <c r="H21" s="1790"/>
      <c r="I21" s="1790"/>
      <c r="J21" s="1790"/>
      <c r="K21" s="1790"/>
      <c r="L21" s="2099"/>
      <c r="M21" s="2125"/>
      <c r="N21" s="2125"/>
      <c r="O21" s="2125"/>
      <c r="P21" s="1521"/>
      <c r="Q21" s="1530"/>
      <c r="R21" s="1530"/>
      <c r="S21" s="883"/>
      <c r="AN21" s="1795"/>
      <c r="AO21" s="1795"/>
      <c r="AP21" s="1795"/>
      <c r="AQ21" s="1795"/>
      <c r="AR21" s="1795"/>
    </row>
    <row s="8834" customFormat="1" customHeight="1" ht="14.25" hidden="1">
      <c r="A22" s="1790"/>
      <c r="B22" s="1790"/>
      <c r="C22" s="1790"/>
      <c r="D22" s="1790"/>
      <c r="E22" s="1790"/>
      <c r="F22" s="1790"/>
      <c r="G22" s="1790"/>
      <c r="H22" s="1790"/>
      <c r="I22" s="1790"/>
      <c r="J22" s="1790"/>
      <c r="K22" s="1790"/>
      <c r="L22" s="2099"/>
      <c r="M22" s="2125"/>
      <c r="N22" s="2125"/>
      <c r="O22" s="1469" t="s">
        <v>416</v>
      </c>
      <c r="P22" s="1521"/>
      <c r="Q22" s="1530"/>
      <c r="R22" s="1530"/>
      <c r="S22" s="883"/>
      <c r="T22" s="1525" t="s">
        <v>417</v>
      </c>
      <c r="AA22" s="749" t="s">
        <v>418</v>
      </c>
      <c r="AC22" s="749" t="s">
        <v>419</v>
      </c>
      <c r="AD22" s="1525" t="s">
        <v>417</v>
      </c>
      <c r="AI22" s="749" t="s">
        <v>420</v>
      </c>
      <c r="AK22" s="749" t="s">
        <v>419</v>
      </c>
      <c r="AN22" s="1795"/>
      <c r="AO22" s="1795"/>
      <c r="AP22" s="1795"/>
      <c r="AQ22" s="1795"/>
      <c r="AR22" s="1795"/>
    </row>
    <row customHeight="1" ht="14.25" hidden="1">
      <c r="O23" s="1469"/>
    </row>
    <row customHeight="1" ht="14.25" hidden="1">
      <c r="O24" s="1469"/>
    </row>
    <row customHeight="1" ht="14.25">
      <c r="Q25" s="530"/>
      <c r="R25" s="530"/>
      <c r="S25" s="1434"/>
      <c r="T25" s="611"/>
      <c r="U25" s="611"/>
      <c r="V25" s="1794"/>
      <c r="W25" s="1794"/>
      <c r="X25" s="1794"/>
      <c r="Y25" s="1794"/>
      <c r="Z25" s="1794"/>
      <c r="AA25" s="1794"/>
      <c r="AB25" s="1794"/>
      <c r="AC25" s="1794"/>
      <c r="AD25" s="1794"/>
      <c r="AE25" s="1794"/>
      <c r="AF25" s="1794"/>
      <c r="AG25" s="1794"/>
      <c r="AH25" s="1794"/>
      <c r="AI25" s="1794"/>
      <c r="AJ25" s="1794"/>
      <c r="AK25" s="1794"/>
    </row>
    <row customHeight="1" ht="14.25">
      <c r="Q26" s="530"/>
      <c r="R26" s="530"/>
      <c r="S26" s="2353" t="str">
        <f>IF(TEMPLATE_GROUP="P",PT_P_FORM_HEAT_4_NAME_FORM,PT_R_FORM_HEAT_21_NAME_FORM)</f>
        <v>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v>
      </c>
      <c r="T26" s="2353"/>
      <c r="U26" s="2353"/>
      <c r="V26" s="2353"/>
      <c r="W26" s="2353"/>
      <c r="X26" s="2353"/>
      <c r="Y26" s="2353"/>
      <c r="Z26" s="2353"/>
      <c r="AA26" s="2353"/>
      <c r="AB26" s="2353"/>
      <c r="AC26" s="2353"/>
      <c r="AD26" s="2353"/>
      <c r="AE26" s="2353"/>
      <c r="AF26" s="2353"/>
      <c r="AG26" s="2353"/>
      <c r="AH26" s="2353"/>
      <c r="AI26" s="2353"/>
      <c r="AJ26" s="2353"/>
      <c r="AK26" s="1401"/>
    </row>
    <row customHeight="1" ht="14.25">
      <c r="Q27" s="530"/>
      <c r="R27" s="530"/>
      <c r="S27" s="2354" t="str">
        <f>IF(org=0,"Не определено",org)</f>
        <v>АО "Теплокоммунэнерго"</v>
      </c>
      <c r="T27" s="2354"/>
      <c r="U27" s="2354"/>
      <c r="V27" s="2354"/>
      <c r="W27" s="2354"/>
      <c r="X27" s="2354"/>
      <c r="Y27" s="2354"/>
      <c r="Z27" s="2354"/>
      <c r="AA27" s="2354"/>
      <c r="AB27" s="2354"/>
      <c r="AC27" s="2354"/>
      <c r="AD27" s="2354"/>
      <c r="AE27" s="2354"/>
      <c r="AF27" s="2354"/>
      <c r="AG27" s="2354"/>
      <c r="AH27" s="2354"/>
      <c r="AI27" s="2354"/>
      <c r="AJ27" s="2354"/>
      <c r="AK27" s="1401"/>
    </row>
    <row customHeight="1" ht="14.25" hidden="1">
      <c r="Q28" s="530"/>
      <c r="R28" s="530"/>
      <c r="S28" s="1434"/>
      <c r="T28" s="611"/>
      <c r="U28" s="611"/>
      <c r="V28" s="476"/>
      <c r="W28" s="476"/>
      <c r="X28" s="476"/>
      <c r="Y28" s="476"/>
      <c r="Z28" s="476"/>
      <c r="AA28" s="476"/>
      <c r="AB28" s="476"/>
      <c r="AC28" s="476"/>
      <c r="AD28" s="476"/>
      <c r="AE28" s="476"/>
      <c r="AF28" s="476"/>
      <c r="AG28" s="476"/>
      <c r="AH28" s="476"/>
      <c r="AI28" s="476"/>
      <c r="AJ28" s="476"/>
      <c r="AK28" s="476"/>
      <c r="AL28" s="1794"/>
    </row>
    <row s="8735" customFormat="1" customHeight="1" ht="25.5" hidden="1">
      <c r="A29" s="1406"/>
      <c r="B29" s="1406"/>
      <c r="C29" s="1406"/>
      <c r="D29" s="1406"/>
      <c r="E29" s="1406"/>
      <c r="F29" s="1406"/>
      <c r="G29" s="1406"/>
      <c r="H29" s="1406"/>
      <c r="I29" s="1406"/>
      <c r="J29" s="1406"/>
      <c r="K29" s="1406"/>
      <c r="L29" s="1539"/>
      <c r="M29" s="1406"/>
      <c r="N29" s="1406"/>
      <c r="O29" s="1406"/>
      <c r="S29" s="2311" t="s">
        <v>38</v>
      </c>
      <c r="T29" s="2311"/>
      <c r="U29" s="1531"/>
      <c r="V29" s="2313" t="str">
        <f>IF(TITLE_NAME_OR_PR_CHANGE="",IF(TITLE_NAME_OR_PR="","",TITLE_NAME_OR_PR),TITLE_NAME_OR_PR_CHANGE)</f>
        <v>Региональная служба по тарифам Ростовской области</v>
      </c>
      <c r="W29" s="2313"/>
      <c r="X29" s="2313"/>
      <c r="Y29" s="2313"/>
      <c r="Z29" s="2313"/>
      <c r="AA29" s="2313"/>
      <c r="AB29" s="2313"/>
      <c r="AC29" s="1794"/>
      <c r="AD29" s="2313" t="str">
        <f>IF(TITLE_NAME_OR_PR_CHANGE="",IF(TITLE_NAME_OR_PR="","",TITLE_NAME_OR_PR),TITLE_NAME_OR_PR_CHANGE)</f>
        <v>Региональная служба по тарифам Ростовской области</v>
      </c>
      <c r="AE29" s="2313"/>
      <c r="AF29" s="2313"/>
      <c r="AG29" s="2313"/>
      <c r="AH29" s="2313"/>
      <c r="AI29" s="2313"/>
      <c r="AJ29" s="2313"/>
      <c r="AK29" s="1794"/>
      <c r="AL29" s="1794"/>
      <c r="AM29" s="434"/>
      <c r="AN29" s="522"/>
      <c r="AO29" s="522"/>
      <c r="AP29" s="522"/>
      <c r="AQ29" s="522"/>
      <c r="AR29" s="522"/>
    </row>
    <row s="8735" customFormat="1" customHeight="1" ht="18.75" hidden="1">
      <c r="A30" s="1406"/>
      <c r="B30" s="1406"/>
      <c r="C30" s="1406"/>
      <c r="D30" s="1406"/>
      <c r="E30" s="1406"/>
      <c r="F30" s="1406"/>
      <c r="G30" s="1406"/>
      <c r="H30" s="1406"/>
      <c r="I30" s="1406"/>
      <c r="J30" s="1406"/>
      <c r="K30" s="1406"/>
      <c r="L30" s="1539"/>
      <c r="M30" s="1406"/>
      <c r="N30" s="1406"/>
      <c r="O30" s="1406"/>
      <c r="S30" s="2311" t="s">
        <v>421</v>
      </c>
      <c r="T30" s="2311"/>
      <c r="U30" s="1531"/>
      <c r="V30" s="2312" t="str">
        <f>IF(TITLE_DATE_PR_CHANGE="",IF(TITLE_DATE_PR="","",TITLE_DATE_PR),TITLE_DATE_PR_CHANGE)</f>
        <v>45279</v>
      </c>
      <c r="W30" s="2312"/>
      <c r="X30" s="2312"/>
      <c r="Y30" s="2312"/>
      <c r="Z30" s="2312"/>
      <c r="AA30" s="2312"/>
      <c r="AB30" s="2312"/>
      <c r="AC30" s="1794"/>
      <c r="AD30" s="2312" t="str">
        <f>IF(TITLE_DATE_PR_CHANGE="",IF(TITLE_DATE_PR="","",TITLE_DATE_PR),TITLE_DATE_PR_CHANGE)</f>
        <v>45279</v>
      </c>
      <c r="AE30" s="2312"/>
      <c r="AF30" s="2312"/>
      <c r="AG30" s="2312"/>
      <c r="AH30" s="2312"/>
      <c r="AI30" s="2312"/>
      <c r="AJ30" s="2312"/>
      <c r="AK30" s="1794"/>
      <c r="AL30" s="1794"/>
      <c r="AM30" s="434"/>
      <c r="AN30" s="522"/>
      <c r="AO30" s="522"/>
      <c r="AP30" s="522"/>
      <c r="AQ30" s="522"/>
      <c r="AR30" s="522"/>
    </row>
    <row s="8735" customFormat="1" customHeight="1" ht="18.75" hidden="1">
      <c r="A31" s="1406"/>
      <c r="B31" s="1406"/>
      <c r="C31" s="1406"/>
      <c r="D31" s="1406"/>
      <c r="E31" s="1406"/>
      <c r="F31" s="1406"/>
      <c r="G31" s="1406"/>
      <c r="H31" s="1406"/>
      <c r="I31" s="1406"/>
      <c r="J31" s="1406"/>
      <c r="K31" s="1406"/>
      <c r="L31" s="1539"/>
      <c r="M31" s="1406"/>
      <c r="N31" s="1406"/>
      <c r="O31" s="1406"/>
      <c r="S31" s="2311" t="s">
        <v>422</v>
      </c>
      <c r="T31" s="2311"/>
      <c r="U31" s="1531"/>
      <c r="V31" s="2313" t="str">
        <f>IF(TITLE_NUMBER_PR_CHANGE="",IF(TITLE_NUMBER_PR="","",TITLE_NUMBER_PR),TITLE_NUMBER_PR_CHANGE)</f>
        <v>877</v>
      </c>
      <c r="W31" s="2313"/>
      <c r="X31" s="2313"/>
      <c r="Y31" s="2313"/>
      <c r="Z31" s="2313"/>
      <c r="AA31" s="2313"/>
      <c r="AB31" s="2313"/>
      <c r="AC31" s="1794"/>
      <c r="AD31" s="2313" t="str">
        <f>IF(TITLE_NUMBER_PR_CHANGE="",IF(TITLE_NUMBER_PR="","",TITLE_NUMBER_PR),TITLE_NUMBER_PR_CHANGE)</f>
        <v>877</v>
      </c>
      <c r="AE31" s="2313"/>
      <c r="AF31" s="2313"/>
      <c r="AG31" s="2313"/>
      <c r="AH31" s="2313"/>
      <c r="AI31" s="2313"/>
      <c r="AJ31" s="2313"/>
      <c r="AK31" s="1794"/>
      <c r="AL31" s="1794"/>
      <c r="AM31" s="434"/>
      <c r="AN31" s="522"/>
      <c r="AO31" s="522"/>
      <c r="AP31" s="522"/>
      <c r="AQ31" s="522"/>
      <c r="AR31" s="522"/>
    </row>
    <row s="8735" customFormat="1" customHeight="1" ht="18.75" hidden="1">
      <c r="A32" s="1406"/>
      <c r="B32" s="1406"/>
      <c r="C32" s="1406"/>
      <c r="D32" s="1406"/>
      <c r="E32" s="1406"/>
      <c r="F32" s="1406"/>
      <c r="G32" s="1406"/>
      <c r="H32" s="1406"/>
      <c r="I32" s="1406"/>
      <c r="J32" s="1406"/>
      <c r="K32" s="1406"/>
      <c r="L32" s="1539"/>
      <c r="M32" s="1406"/>
      <c r="N32" s="1406"/>
      <c r="O32" s="1406"/>
      <c r="S32" s="2311" t="s">
        <v>40</v>
      </c>
      <c r="T32" s="2311"/>
      <c r="U32" s="1531"/>
      <c r="V32" s="2313" t="str">
        <f>IF(TITLE_IST_PUB_CHANGE="",IF(TITLE_IST_PUB="","",TITLE_IST_PUB),TITLE_IST_PUB_CHANGE)</f>
        <v>Официальный портал правовой информации Ростовской области</v>
      </c>
      <c r="W32" s="2313"/>
      <c r="X32" s="2313"/>
      <c r="Y32" s="2313"/>
      <c r="Z32" s="2313"/>
      <c r="AA32" s="2313"/>
      <c r="AB32" s="2313"/>
      <c r="AC32" s="1794"/>
      <c r="AD32" s="2313" t="str">
        <f>IF(TITLE_IST_PUB_CHANGE="",IF(TITLE_IST_PUB="","",TITLE_IST_PUB),TITLE_IST_PUB_CHANGE)</f>
        <v>Официальный портал правовой информации Ростовской области</v>
      </c>
      <c r="AE32" s="2313"/>
      <c r="AF32" s="2313"/>
      <c r="AG32" s="2313"/>
      <c r="AH32" s="2313"/>
      <c r="AI32" s="2313"/>
      <c r="AJ32" s="2313"/>
      <c r="AK32" s="1794"/>
      <c r="AL32" s="1794"/>
      <c r="AM32" s="434"/>
      <c r="AN32" s="522"/>
      <c r="AO32" s="522"/>
      <c r="AP32" s="522"/>
      <c r="AQ32" s="522"/>
      <c r="AR32" s="522"/>
    </row>
    <row customHeight="1" ht="14.25" hidden="1">
      <c r="Q33" s="530"/>
      <c r="R33" s="530"/>
      <c r="S33" s="1434"/>
      <c r="T33" s="611"/>
      <c r="U33" s="611"/>
      <c r="V33" s="476"/>
      <c r="W33" s="476"/>
      <c r="X33" s="476"/>
      <c r="Y33" s="476"/>
      <c r="Z33" s="476"/>
      <c r="AA33" s="476"/>
      <c r="AB33" s="476"/>
      <c r="AC33" s="476"/>
      <c r="AD33" s="476"/>
      <c r="AE33" s="476"/>
      <c r="AF33" s="476"/>
      <c r="AG33" s="476"/>
      <c r="AH33" s="476"/>
      <c r="AI33" s="476"/>
      <c r="AJ33" s="476"/>
      <c r="AK33" s="476"/>
      <c r="AL33" s="1794"/>
    </row>
    <row s="8735" customFormat="1" customHeight="1" ht="18.75" hidden="1">
      <c r="A34" s="1406"/>
      <c r="B34" s="1406"/>
      <c r="C34" s="1406"/>
      <c r="D34" s="1406"/>
      <c r="E34" s="1406"/>
      <c r="F34" s="1406"/>
      <c r="G34" s="1406"/>
      <c r="H34" s="1406"/>
      <c r="I34" s="1406"/>
      <c r="J34" s="1406"/>
      <c r="K34" s="1406"/>
      <c r="L34" s="1539"/>
      <c r="M34" s="1406"/>
      <c r="N34" s="1406"/>
      <c r="O34" s="1406"/>
      <c r="S34" s="2311" t="s">
        <v>423</v>
      </c>
      <c r="T34" s="2311"/>
      <c r="U34" s="1531"/>
      <c r="V34" s="2312" t="str">
        <f>IF(TITLE_DATE_PR_CHANGE="",IF(TITLE_DATE_PR="","",TITLE_DATE_PR),TITLE_DATE_PR_CHANGE)</f>
        <v>45279</v>
      </c>
      <c r="W34" s="2312"/>
      <c r="X34" s="2312"/>
      <c r="Y34" s="2312"/>
      <c r="Z34" s="2312"/>
      <c r="AA34" s="2312"/>
      <c r="AB34" s="2312"/>
      <c r="AC34" s="1794"/>
      <c r="AD34" s="2312" t="str">
        <f>IF(TITLE_DATE_PR_CHANGE="",IF(TITLE_DATE_PR="","",TITLE_DATE_PR),TITLE_DATE_PR_CHANGE)</f>
        <v>45279</v>
      </c>
      <c r="AE34" s="2312"/>
      <c r="AF34" s="2312"/>
      <c r="AG34" s="2312"/>
      <c r="AH34" s="2312"/>
      <c r="AI34" s="2312"/>
      <c r="AJ34" s="2312"/>
      <c r="AK34" s="1794"/>
      <c r="AL34" s="1794"/>
      <c r="AM34" s="434"/>
      <c r="AN34" s="522"/>
      <c r="AO34" s="522"/>
      <c r="AP34" s="522"/>
      <c r="AQ34" s="522"/>
      <c r="AR34" s="522"/>
    </row>
    <row s="8735" customFormat="1" customHeight="1" ht="18.75" hidden="1">
      <c r="A35" s="1406"/>
      <c r="B35" s="1406"/>
      <c r="C35" s="1406"/>
      <c r="D35" s="1406"/>
      <c r="E35" s="1406"/>
      <c r="F35" s="1406"/>
      <c r="G35" s="1406"/>
      <c r="H35" s="1406"/>
      <c r="I35" s="1406"/>
      <c r="J35" s="1406"/>
      <c r="K35" s="1406"/>
      <c r="L35" s="1539"/>
      <c r="M35" s="1406"/>
      <c r="N35" s="1406"/>
      <c r="O35" s="1406"/>
      <c r="S35" s="2311" t="s">
        <v>424</v>
      </c>
      <c r="T35" s="2311"/>
      <c r="U35" s="1531"/>
      <c r="V35" s="2313" t="str">
        <f>IF(TITLE_NUMBER_PR_CHANGE="",IF(TITLE_NUMBER_PR="","",TITLE_NUMBER_PR),TITLE_NUMBER_PR_CHANGE)</f>
        <v>877</v>
      </c>
      <c r="W35" s="2313"/>
      <c r="X35" s="2313"/>
      <c r="Y35" s="2313"/>
      <c r="Z35" s="2313"/>
      <c r="AA35" s="2313"/>
      <c r="AB35" s="2313"/>
      <c r="AC35" s="1794"/>
      <c r="AD35" s="2313" t="str">
        <f>IF(TITLE_NUMBER_PR_CHANGE="",IF(TITLE_NUMBER_PR="","",TITLE_NUMBER_PR),TITLE_NUMBER_PR_CHANGE)</f>
        <v>877</v>
      </c>
      <c r="AE35" s="2313"/>
      <c r="AF35" s="2313"/>
      <c r="AG35" s="2313"/>
      <c r="AH35" s="2313"/>
      <c r="AI35" s="2313"/>
      <c r="AJ35" s="2313"/>
      <c r="AK35" s="1794"/>
      <c r="AL35" s="1794"/>
      <c r="AM35" s="434"/>
      <c r="AN35" s="522"/>
      <c r="AO35" s="522"/>
      <c r="AP35" s="522"/>
      <c r="AQ35" s="522"/>
      <c r="AR35" s="522"/>
    </row>
    <row s="8735" customFormat="1" customHeight="1" ht="0">
      <c r="A36" s="1406"/>
      <c r="B36" s="1406"/>
      <c r="C36" s="1406"/>
      <c r="D36" s="1406"/>
      <c r="E36" s="1406"/>
      <c r="F36" s="1406"/>
      <c r="G36" s="1406"/>
      <c r="H36" s="1406"/>
      <c r="I36" s="1406"/>
      <c r="J36" s="1406"/>
      <c r="K36" s="1406"/>
      <c r="L36" s="1539"/>
      <c r="M36" s="1406"/>
      <c r="N36" s="1406"/>
      <c r="O36" s="1406"/>
      <c r="S36" s="1794"/>
      <c r="T36" s="1794"/>
      <c r="U36" s="2130"/>
      <c r="V36" s="1794"/>
      <c r="W36" s="1794"/>
      <c r="X36" s="1794"/>
      <c r="Y36" s="1794"/>
      <c r="Z36" s="1794"/>
      <c r="AA36" s="1794"/>
      <c r="AB36" s="1794"/>
      <c r="AC36" s="1801" t="s">
        <v>425</v>
      </c>
      <c r="AD36" s="1794"/>
      <c r="AE36" s="1794"/>
      <c r="AF36" s="1794"/>
      <c r="AG36" s="1794"/>
      <c r="AH36" s="1794"/>
      <c r="AI36" s="1794"/>
      <c r="AJ36" s="1794"/>
      <c r="AK36" s="1801" t="s">
        <v>425</v>
      </c>
      <c r="AN36" s="522"/>
      <c r="AO36" s="522"/>
      <c r="AP36" s="522"/>
      <c r="AQ36" s="522"/>
      <c r="AR36" s="522"/>
    </row>
    <row customHeight="1" ht="14.25">
      <c r="Q37" s="530"/>
      <c r="R37" s="530"/>
      <c r="S37" s="1434"/>
      <c r="T37" s="611"/>
      <c r="U37" s="1402"/>
      <c r="V37" s="2337"/>
      <c r="W37" s="2337"/>
      <c r="X37" s="2337"/>
      <c r="Y37" s="2337"/>
      <c r="Z37" s="2337"/>
      <c r="AA37" s="2337"/>
      <c r="AB37" s="2337"/>
      <c r="AC37" s="2337"/>
      <c r="AD37" s="2337"/>
      <c r="AE37" s="2337"/>
      <c r="AF37" s="2337"/>
      <c r="AG37" s="2337"/>
      <c r="AH37" s="2337"/>
      <c r="AI37" s="2337"/>
      <c r="AJ37" s="2337"/>
      <c r="AK37" s="2337"/>
    </row>
    <row customHeight="1" ht="14.25">
      <c r="Q38" s="530"/>
      <c r="R38" s="530"/>
      <c r="S38" s="2185" t="s">
        <v>300</v>
      </c>
      <c r="T38" s="2185"/>
      <c r="U38" s="2185"/>
      <c r="V38" s="2185"/>
      <c r="W38" s="2185"/>
      <c r="X38" s="2185"/>
      <c r="Y38" s="2185"/>
      <c r="Z38" s="2185"/>
      <c r="AA38" s="2185"/>
      <c r="AB38" s="2185"/>
      <c r="AC38" s="2185"/>
      <c r="AD38" s="2185"/>
      <c r="AE38" s="2185"/>
      <c r="AF38" s="2185"/>
      <c r="AG38" s="2185"/>
      <c r="AH38" s="2185"/>
      <c r="AI38" s="2185"/>
      <c r="AJ38" s="2185"/>
      <c r="AK38" s="2185"/>
      <c r="AL38" s="2185"/>
      <c r="AM38" s="2185" t="s">
        <v>301</v>
      </c>
    </row>
    <row customHeight="1" ht="14.25">
      <c r="Q39" s="530"/>
      <c r="R39" s="530"/>
      <c r="S39" s="2338" t="s">
        <v>85</v>
      </c>
      <c r="T39" s="2275" t="s">
        <v>426</v>
      </c>
      <c r="U39" s="491"/>
      <c r="V39" s="2339" t="s">
        <v>427</v>
      </c>
      <c r="W39" s="2340"/>
      <c r="X39" s="2340"/>
      <c r="Y39" s="2340"/>
      <c r="Z39" s="2340"/>
      <c r="AA39" s="2340"/>
      <c r="AB39" s="2341"/>
      <c r="AC39" s="2342" t="s">
        <v>428</v>
      </c>
      <c r="AD39" s="2339" t="s">
        <v>427</v>
      </c>
      <c r="AE39" s="2340"/>
      <c r="AF39" s="2340"/>
      <c r="AG39" s="2340"/>
      <c r="AH39" s="2340"/>
      <c r="AI39" s="2340"/>
      <c r="AJ39" s="2341"/>
      <c r="AK39" s="2342" t="s">
        <v>429</v>
      </c>
      <c r="AL39" s="2345" t="s">
        <v>430</v>
      </c>
      <c r="AM39" s="2185"/>
    </row>
    <row customHeight="1" ht="33.75">
      <c r="Q40" s="530"/>
      <c r="R40" s="530"/>
      <c r="S40" s="2338"/>
      <c r="T40" s="2275"/>
      <c r="U40" s="1186"/>
      <c r="V40" s="2348" t="s">
        <v>431</v>
      </c>
      <c r="W40" s="2329" t="s">
        <v>432</v>
      </c>
      <c r="X40" s="2331" t="s">
        <v>433</v>
      </c>
      <c r="Y40" s="2333"/>
      <c r="Z40" s="2331" t="s">
        <v>446</v>
      </c>
      <c r="AA40" s="2332"/>
      <c r="AB40" s="2333"/>
      <c r="AC40" s="2343"/>
      <c r="AD40" s="2348" t="s">
        <v>431</v>
      </c>
      <c r="AE40" s="2329" t="s">
        <v>432</v>
      </c>
      <c r="AF40" s="2331" t="s">
        <v>433</v>
      </c>
      <c r="AG40" s="2333"/>
      <c r="AH40" s="2331" t="s">
        <v>434</v>
      </c>
      <c r="AI40" s="2332"/>
      <c r="AJ40" s="2333"/>
      <c r="AK40" s="2343"/>
      <c r="AL40" s="2346"/>
      <c r="AM40" s="2185"/>
    </row>
    <row customHeight="1" ht="33.75">
      <c r="A41" s="1425"/>
      <c r="B41" s="1425" t="s">
        <v>132</v>
      </c>
      <c r="C41" s="1425" t="s">
        <v>133</v>
      </c>
      <c r="D41" s="1425" t="s">
        <v>134</v>
      </c>
      <c r="E41" s="1469" t="s">
        <v>435</v>
      </c>
      <c r="F41" s="1469" t="s">
        <v>436</v>
      </c>
      <c r="G41" s="1469" t="s">
        <v>437</v>
      </c>
      <c r="H41" s="1469" t="s">
        <v>438</v>
      </c>
      <c r="I41" s="1469" t="s">
        <v>439</v>
      </c>
      <c r="J41" s="1469" t="s">
        <v>440</v>
      </c>
      <c r="K41" s="1469" t="s">
        <v>441</v>
      </c>
      <c r="L41" s="1469" t="s">
        <v>416</v>
      </c>
      <c r="Q41" s="530"/>
      <c r="R41" s="530"/>
      <c r="S41" s="2338"/>
      <c r="T41" s="2275"/>
      <c r="U41" s="456"/>
      <c r="V41" s="2349"/>
      <c r="W41" s="2330"/>
      <c r="X41" s="2098" t="s">
        <v>442</v>
      </c>
      <c r="Y41" s="2098" t="s">
        <v>443</v>
      </c>
      <c r="Z41" s="2098" t="s">
        <v>444</v>
      </c>
      <c r="AA41" s="2334" t="s">
        <v>445</v>
      </c>
      <c r="AB41" s="2335"/>
      <c r="AC41" s="2344"/>
      <c r="AD41" s="2349"/>
      <c r="AE41" s="2330"/>
      <c r="AF41" s="2098" t="s">
        <v>442</v>
      </c>
      <c r="AG41" s="2098" t="s">
        <v>443</v>
      </c>
      <c r="AH41" s="2098" t="s">
        <v>444</v>
      </c>
      <c r="AI41" s="2334" t="s">
        <v>445</v>
      </c>
      <c r="AJ41" s="2335"/>
      <c r="AK41" s="2344"/>
      <c r="AL41" s="2347"/>
      <c r="AM41" s="2185"/>
    </row>
    <row s="8844" customFormat="1" customHeight="1" ht="11.25" hidden="1">
      <c r="A42" s="1425"/>
      <c r="B42" s="1425"/>
      <c r="C42" s="1425"/>
      <c r="D42" s="1425"/>
      <c r="E42" s="1425"/>
      <c r="F42" s="1425"/>
      <c r="G42" s="1425"/>
      <c r="H42" s="1425"/>
      <c r="I42" s="1425"/>
      <c r="J42" s="1425"/>
      <c r="K42" s="1425"/>
      <c r="L42" s="1469"/>
      <c r="M42" s="2125"/>
      <c r="N42" s="2125"/>
      <c r="O42" s="2125"/>
      <c r="P42" s="1404"/>
      <c r="Q42" s="1405"/>
      <c r="R42" s="1412">
        <v>1</v>
      </c>
      <c r="S42" s="1436" t="s">
        <v>106</v>
      </c>
      <c r="T42" s="1413" t="s">
        <v>107</v>
      </c>
      <c r="U42" s="1403" t="str">
        <f>OFFSET(U42,0,-1)</f>
        <v>2</v>
      </c>
      <c r="V42" s="2116">
        <f>OFFSET(V42,0,-1)+1</f>
        <v>3</v>
      </c>
      <c r="W42" s="2116"/>
      <c r="X42" s="2116">
        <f>OFFSET(X42,0,-1)+1</f>
        <v>1</v>
      </c>
      <c r="Y42" s="2116">
        <f>OFFSET(Y42,0,-1)+1</f>
        <v>2</v>
      </c>
      <c r="Z42" s="2116">
        <f>OFFSET(Z42,0,-1)+1</f>
        <v>3</v>
      </c>
      <c r="AA42" s="2336">
        <f>OFFSET(AA42,0,-1)+1</f>
        <v>4</v>
      </c>
      <c r="AB42" s="2336"/>
      <c r="AC42" s="2116">
        <f>OFFSET(AC42,0,-2)+1</f>
        <v>5</v>
      </c>
      <c r="AD42" s="2116">
        <f>OFFSET(AD42,0,-1)+1</f>
        <v>6</v>
      </c>
      <c r="AE42" s="2116"/>
      <c r="AF42" s="2116">
        <f>OFFSET(AF42,0,-1)+1</f>
        <v>1</v>
      </c>
      <c r="AG42" s="2116">
        <f>OFFSET(AG42,0,-1)+1</f>
        <v>2</v>
      </c>
      <c r="AH42" s="2116">
        <f>OFFSET(AH42,0,-1)+1</f>
        <v>3</v>
      </c>
      <c r="AI42" s="2336">
        <f>OFFSET(AI42,0,-1)+1</f>
        <v>4</v>
      </c>
      <c r="AJ42" s="2336"/>
      <c r="AK42" s="2116">
        <f>OFFSET(AK42,0,-2)+1</f>
        <v>5</v>
      </c>
      <c r="AL42" s="1403">
        <f>OFFSET(AL42,0,-1)</f>
        <v>5</v>
      </c>
      <c r="AM42" s="2116">
        <f>OFFSET(AM42,0,-1)+1</f>
        <v>6</v>
      </c>
      <c r="AN42" s="1795"/>
      <c r="AO42" s="1795"/>
      <c r="AP42" s="1795"/>
      <c r="AQ42" s="1795"/>
      <c r="AR42" s="1795"/>
    </row>
    <row customHeight="1" ht="21">
      <c r="A43" s="1426" t="s">
        <v>207</v>
      </c>
      <c r="B43" s="1426"/>
      <c r="C43" s="1426"/>
      <c r="D43" s="1426"/>
      <c r="E43" s="2355">
        <v>1</v>
      </c>
      <c r="F43" s="1426"/>
      <c r="G43" s="1426"/>
      <c r="H43" s="1426"/>
      <c r="I43" s="1426"/>
      <c r="J43" s="1426"/>
      <c r="K43" s="1426"/>
      <c r="L43" s="1469"/>
      <c r="M43" s="1769"/>
      <c r="N43" s="1769"/>
      <c r="O43" s="1769"/>
      <c r="P43" s="1749"/>
      <c r="Q43" s="514"/>
      <c r="R43" s="509"/>
      <c r="S43" s="2118">
        <f>INDEX(PT_DIFFERENTIATION_NUM_NTAR,MATCH(A43,PT_DIFFERENTIATION_NTAR_ID,0))</f>
        <v>0</v>
      </c>
      <c r="T43" s="1684" t="s">
        <v>120</v>
      </c>
      <c r="U43" s="454"/>
      <c r="V43" s="2314"/>
      <c r="W43" s="2315"/>
      <c r="X43" s="2315"/>
      <c r="Y43" s="2315"/>
      <c r="Z43" s="2315"/>
      <c r="AA43" s="2315"/>
      <c r="AB43" s="2315"/>
      <c r="AC43" s="2316"/>
      <c r="AD43" s="2314" t="str">
        <f>INDEX(PT_DIFFERENTIATION_NTAR,MATCH(A43,PT_DIFFERENTIATION_NTAR_ID,0))</f>
        <v/>
      </c>
      <c r="AE43" s="2315"/>
      <c r="AF43" s="2315"/>
      <c r="AG43" s="2315"/>
      <c r="AH43" s="2315"/>
      <c r="AI43" s="2315"/>
      <c r="AJ43" s="2315"/>
      <c r="AK43" s="2315"/>
      <c r="AL43" s="2316"/>
      <c r="AM43" s="1416"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O43" s="1783"/>
      <c r="AP43" s="1783" t="str">
        <f>IF(T43="","",T43)</f>
        <v>Наименование тарифа</v>
      </c>
      <c r="AQ43" s="1783"/>
      <c r="AR43" s="1783"/>
    </row>
    <row customHeight="1" ht="21">
      <c r="A44" s="1426" t="s">
        <v>207</v>
      </c>
      <c r="B44" s="1426" t="s">
        <v>208</v>
      </c>
      <c r="C44" s="1426"/>
      <c r="D44" s="1426"/>
      <c r="E44" s="2356"/>
      <c r="F44" s="2355">
        <v>1</v>
      </c>
      <c r="G44" s="1426"/>
      <c r="H44" s="1426"/>
      <c r="I44" s="1426"/>
      <c r="J44" s="1426"/>
      <c r="K44" s="1426"/>
      <c r="L44" s="1469"/>
      <c r="M44" s="1769"/>
      <c r="N44" s="1769"/>
      <c r="O44" s="1769"/>
      <c r="P44" s="2100"/>
      <c r="Q44" s="506"/>
      <c r="R44" s="507"/>
      <c r="S44" s="2118" t="str">
        <f>INDEX(PT_DIFFERENTIATION_NUM_TER,MATCH(B44,PT_DIFFERENTIATION_TER_ID,0))</f>
        <v>.</v>
      </c>
      <c r="T44" s="1681" t="s">
        <v>397</v>
      </c>
      <c r="U44" s="454"/>
      <c r="V44" s="2314"/>
      <c r="W44" s="2315"/>
      <c r="X44" s="2315"/>
      <c r="Y44" s="2315"/>
      <c r="Z44" s="2315"/>
      <c r="AA44" s="2315"/>
      <c r="AB44" s="2315"/>
      <c r="AC44" s="2316"/>
      <c r="AD44" s="2314" t="str">
        <f>INDEX(PT_DIFFERENTIATION_TER,MATCH(B44,PT_DIFFERENTIATION_TER_ID,0))</f>
        <v/>
      </c>
      <c r="AE44" s="2315"/>
      <c r="AF44" s="2315"/>
      <c r="AG44" s="2315"/>
      <c r="AH44" s="2315"/>
      <c r="AI44" s="2315"/>
      <c r="AJ44" s="2315"/>
      <c r="AK44" s="2315"/>
      <c r="AL44" s="2316"/>
      <c r="AM44" s="1416" t="s">
        <v>398</v>
      </c>
      <c r="AO44" s="1783"/>
      <c r="AP44" s="1783" t="str">
        <f>IF(T44="","",T44)</f>
        <v>Территория действия тарифа</v>
      </c>
      <c r="AQ44" s="1783"/>
      <c r="AR44" s="1783"/>
    </row>
    <row customHeight="1" ht="23.25">
      <c r="A45" s="1426" t="s">
        <v>207</v>
      </c>
      <c r="B45" s="1426" t="s">
        <v>208</v>
      </c>
      <c r="C45" s="1426" t="s">
        <v>209</v>
      </c>
      <c r="D45" s="1426"/>
      <c r="E45" s="2356"/>
      <c r="F45" s="2356"/>
      <c r="G45" s="2355">
        <v>1</v>
      </c>
      <c r="H45" s="1426"/>
      <c r="I45" s="1426"/>
      <c r="J45" s="1426"/>
      <c r="K45" s="1426"/>
      <c r="L45" s="1469"/>
      <c r="M45" s="1769"/>
      <c r="N45" s="1769"/>
      <c r="O45" s="1769"/>
      <c r="P45" s="508"/>
      <c r="Q45" s="506"/>
      <c r="R45" s="507"/>
      <c r="S45" s="2118" t="str">
        <f>INDEX(PT_DIFFERENTIATION_NUM_CS,MATCH(C45,PT_DIFFERENTIATION_CS_ID,0))</f>
        <v>..</v>
      </c>
      <c r="T45" s="463" t="s">
        <v>399</v>
      </c>
      <c r="U45" s="454"/>
      <c r="V45" s="2314"/>
      <c r="W45" s="2315"/>
      <c r="X45" s="2315"/>
      <c r="Y45" s="2315"/>
      <c r="Z45" s="2315"/>
      <c r="AA45" s="2315"/>
      <c r="AB45" s="2315"/>
      <c r="AC45" s="2316"/>
      <c r="AD45" s="2314" t="str">
        <f>INDEX(PT_DIFFERENTIATION_CS,MATCH(C45,PT_DIFFERENTIATION_CS_ID,0))</f>
        <v/>
      </c>
      <c r="AE45" s="2315"/>
      <c r="AF45" s="2315"/>
      <c r="AG45" s="2315"/>
      <c r="AH45" s="2315"/>
      <c r="AI45" s="2315"/>
      <c r="AJ45" s="2315"/>
      <c r="AK45" s="2315"/>
      <c r="AL45" s="2316"/>
      <c r="AM45" s="1416" t="s">
        <v>400</v>
      </c>
      <c r="AO45" s="1783"/>
      <c r="AP45" s="1783" t="str">
        <f>IF(T45="","",T45)</f>
        <v>Наименование системы теплоснабжения </v>
      </c>
      <c r="AQ45" s="1783"/>
      <c r="AR45" s="1783"/>
    </row>
    <row customHeight="1" ht="21">
      <c r="A46" s="1426" t="s">
        <v>207</v>
      </c>
      <c r="B46" s="1426" t="s">
        <v>208</v>
      </c>
      <c r="C46" s="1426" t="s">
        <v>209</v>
      </c>
      <c r="D46" s="1426" t="s">
        <v>210</v>
      </c>
      <c r="E46" s="2356"/>
      <c r="F46" s="2356"/>
      <c r="G46" s="2356"/>
      <c r="H46" s="2355">
        <v>1</v>
      </c>
      <c r="I46" s="1426"/>
      <c r="J46" s="1426"/>
      <c r="K46" s="1426"/>
      <c r="L46" s="1469"/>
      <c r="M46" s="1769"/>
      <c r="N46" s="1769"/>
      <c r="O46" s="1769"/>
      <c r="P46" s="508"/>
      <c r="Q46" s="506"/>
      <c r="R46" s="507"/>
      <c r="S46" s="2118" t="str">
        <f>INDEX(PT_DIFFERENTIATION_NUM_IST_TE,MATCH(D46,PT_DIFFERENTIATION_IST_TE_ID,0))</f>
        <v>...</v>
      </c>
      <c r="T46" s="464" t="s">
        <v>401</v>
      </c>
      <c r="U46" s="454"/>
      <c r="V46" s="2314"/>
      <c r="W46" s="2315"/>
      <c r="X46" s="2315"/>
      <c r="Y46" s="2315"/>
      <c r="Z46" s="2315"/>
      <c r="AA46" s="2315"/>
      <c r="AB46" s="2315"/>
      <c r="AC46" s="2316"/>
      <c r="AD46" s="2314" t="str">
        <f>INDEX(PT_DIFFERENTIATION_IST_TE,MATCH(D46,PT_DIFFERENTIATION_IST_TE_ID,0))</f>
        <v/>
      </c>
      <c r="AE46" s="2315"/>
      <c r="AF46" s="2315"/>
      <c r="AG46" s="2315"/>
      <c r="AH46" s="2315"/>
      <c r="AI46" s="2315"/>
      <c r="AJ46" s="2315"/>
      <c r="AK46" s="2315"/>
      <c r="AL46" s="2316"/>
      <c r="AM46" s="1416" t="s">
        <v>402</v>
      </c>
      <c r="AO46" s="1783"/>
      <c r="AP46" s="1783" t="str">
        <f>IF(T46="","",T46)</f>
        <v>Источник тепловой энергии  </v>
      </c>
      <c r="AQ46" s="1783"/>
      <c r="AR46" s="1783"/>
    </row>
    <row customHeight="1" ht="47.25">
      <c r="A47" s="1426" t="s">
        <v>207</v>
      </c>
      <c r="B47" s="1426" t="s">
        <v>208</v>
      </c>
      <c r="C47" s="1426" t="s">
        <v>209</v>
      </c>
      <c r="D47" s="1426" t="s">
        <v>210</v>
      </c>
      <c r="E47" s="2356"/>
      <c r="F47" s="2356"/>
      <c r="G47" s="2356"/>
      <c r="H47" s="2356"/>
      <c r="I47" s="2185" t="str">
        <f>S46&amp;".1"</f>
        <v>....1</v>
      </c>
      <c r="J47" s="1426"/>
      <c r="K47" s="1426"/>
      <c r="L47" s="1469" t="s">
        <v>403</v>
      </c>
      <c r="P47" s="2324">
        <v>1</v>
      </c>
      <c r="Q47" s="2114"/>
      <c r="R47" s="510"/>
      <c r="S47" s="2118" t="str">
        <f>$I47</f>
        <v>....1</v>
      </c>
      <c r="T47" s="439" t="s">
        <v>404</v>
      </c>
      <c r="U47" s="454"/>
      <c r="V47" s="2308"/>
      <c r="W47" s="2309"/>
      <c r="X47" s="2309"/>
      <c r="Y47" s="2309"/>
      <c r="Z47" s="2309"/>
      <c r="AA47" s="2309"/>
      <c r="AB47" s="2309"/>
      <c r="AC47" s="2310"/>
      <c r="AD47" s="2308"/>
      <c r="AE47" s="2309"/>
      <c r="AF47" s="2309"/>
      <c r="AG47" s="2309"/>
      <c r="AH47" s="2309"/>
      <c r="AI47" s="2309"/>
      <c r="AJ47" s="2309"/>
      <c r="AK47" s="2309"/>
      <c r="AL47" s="2310"/>
      <c r="AM47" s="1416" t="s">
        <v>405</v>
      </c>
      <c r="AO47" s="1783"/>
      <c r="AP47" s="1783" t="str">
        <f>IF(T47="","",T47)</f>
        <v>Схема подключения теплопотребляющей установки к коллектору источника тепловой энергии</v>
      </c>
      <c r="AQ47" s="1783"/>
      <c r="AR47" s="1783"/>
    </row>
    <row customHeight="1" ht="21">
      <c r="A48" s="1426" t="s">
        <v>207</v>
      </c>
      <c r="B48" s="1426" t="s">
        <v>208</v>
      </c>
      <c r="C48" s="1426" t="s">
        <v>209</v>
      </c>
      <c r="D48" s="1426" t="s">
        <v>210</v>
      </c>
      <c r="E48" s="2356"/>
      <c r="F48" s="2356"/>
      <c r="G48" s="2356"/>
      <c r="H48" s="2356"/>
      <c r="I48" s="2169"/>
      <c r="J48" s="2185" t="str">
        <f>I47&amp;".1"</f>
        <v>....1.1</v>
      </c>
      <c r="K48" s="1426"/>
      <c r="L48" s="1469" t="s">
        <v>406</v>
      </c>
      <c r="P48" s="2324"/>
      <c r="Q48" s="2324">
        <v>1</v>
      </c>
      <c r="R48" s="511"/>
      <c r="S48" s="2118" t="str">
        <f>$J48</f>
        <v>....1.1</v>
      </c>
      <c r="T48" s="440" t="s">
        <v>407</v>
      </c>
      <c r="U48" s="454"/>
      <c r="V48" s="2308"/>
      <c r="W48" s="2309"/>
      <c r="X48" s="2309"/>
      <c r="Y48" s="2309"/>
      <c r="Z48" s="2309"/>
      <c r="AA48" s="2309"/>
      <c r="AB48" s="2309"/>
      <c r="AC48" s="2310"/>
      <c r="AD48" s="2308"/>
      <c r="AE48" s="2309"/>
      <c r="AF48" s="2309"/>
      <c r="AG48" s="2309"/>
      <c r="AH48" s="2309"/>
      <c r="AI48" s="2309"/>
      <c r="AJ48" s="2309"/>
      <c r="AK48" s="2309"/>
      <c r="AL48" s="2310"/>
      <c r="AM48" s="1416" t="s">
        <v>408</v>
      </c>
      <c r="AO48" s="1783"/>
      <c r="AP48" s="1783" t="str">
        <f>IF(T48="","",T48)</f>
        <v>Группа потребителей</v>
      </c>
      <c r="AQ48" s="1783"/>
      <c r="AR48" s="1783"/>
    </row>
    <row customHeight="1" ht="21">
      <c r="A49" s="1426" t="s">
        <v>207</v>
      </c>
      <c r="B49" s="1426" t="s">
        <v>208</v>
      </c>
      <c r="C49" s="1426" t="s">
        <v>209</v>
      </c>
      <c r="D49" s="1426" t="s">
        <v>210</v>
      </c>
      <c r="E49" s="2356"/>
      <c r="F49" s="2356"/>
      <c r="G49" s="2356"/>
      <c r="H49" s="2356"/>
      <c r="I49" s="2169"/>
      <c r="J49" s="2169"/>
      <c r="K49" s="2185" t="str">
        <f>J48&amp;".1"</f>
        <v>....1.1.1</v>
      </c>
      <c r="L49" s="1469" t="s">
        <v>409</v>
      </c>
      <c r="P49" s="2324"/>
      <c r="Q49" s="2324"/>
      <c r="R49" s="511">
        <v>1</v>
      </c>
      <c r="S49" s="2118" t="str">
        <f>$K49</f>
        <v>....1.1.1</v>
      </c>
      <c r="T49" s="1506"/>
      <c r="U49" s="454"/>
      <c r="V49" s="905"/>
      <c r="W49" s="479"/>
      <c r="X49" s="905"/>
      <c r="Y49" s="1415"/>
      <c r="Z49" s="2325"/>
      <c r="AA49" s="2195" t="s">
        <v>64</v>
      </c>
      <c r="AB49" s="2325"/>
      <c r="AC49" s="2195" t="s">
        <v>64</v>
      </c>
      <c r="AD49" s="905"/>
      <c r="AE49" s="479"/>
      <c r="AF49" s="905"/>
      <c r="AG49" s="1415"/>
      <c r="AH49" s="2325"/>
      <c r="AI49" s="2195" t="s">
        <v>64</v>
      </c>
      <c r="AJ49" s="2327"/>
      <c r="AK49" s="2195" t="s">
        <v>64</v>
      </c>
      <c r="AL49" s="1507"/>
      <c r="AM49" s="2350" t="s">
        <v>410</v>
      </c>
      <c r="AN49" s="1795">
        <f>STRCHECKDATE(V50:AL50)</f>
      </c>
      <c r="AO49" s="1783"/>
      <c r="AP49" s="1783" t="str">
        <f>IF(T49="","",T49)</f>
        <v/>
      </c>
      <c r="AQ49" s="1783"/>
      <c r="AR49" s="1783"/>
    </row>
    <row customHeight="1" ht="0.75">
      <c r="A50" s="1426" t="s">
        <v>207</v>
      </c>
      <c r="B50" s="1426" t="s">
        <v>208</v>
      </c>
      <c r="C50" s="1426" t="s">
        <v>209</v>
      </c>
      <c r="D50" s="1426" t="s">
        <v>210</v>
      </c>
      <c r="E50" s="2356"/>
      <c r="F50" s="2356"/>
      <c r="G50" s="2356"/>
      <c r="H50" s="2356"/>
      <c r="I50" s="2169"/>
      <c r="J50" s="2169"/>
      <c r="K50" s="2185"/>
      <c r="L50" s="1469"/>
      <c r="P50" s="2324"/>
      <c r="Q50" s="2324"/>
      <c r="R50" s="511"/>
      <c r="S50" s="2127"/>
      <c r="T50" s="454"/>
      <c r="U50" s="454"/>
      <c r="V50" s="479"/>
      <c r="W50" s="479"/>
      <c r="X50" s="479"/>
      <c r="Y50" s="482" t="str">
        <f>Z49&amp;"-"&amp;AB49</f>
        <v>-</v>
      </c>
      <c r="Z50" s="2326"/>
      <c r="AA50" s="2195"/>
      <c r="AB50" s="2326"/>
      <c r="AC50" s="2195"/>
      <c r="AD50" s="479"/>
      <c r="AE50" s="479"/>
      <c r="AF50" s="479"/>
      <c r="AG50" s="482" t="str">
        <f>AH49&amp;"-"&amp;AJ49</f>
        <v>-</v>
      </c>
      <c r="AH50" s="2326"/>
      <c r="AI50" s="2195"/>
      <c r="AJ50" s="2328"/>
      <c r="AK50" s="2195"/>
      <c r="AL50" s="1508"/>
      <c r="AM50" s="2351"/>
      <c r="AO50" s="1783"/>
      <c r="AP50" s="1783" t="str">
        <f>IF(T50="","",T50)</f>
        <v/>
      </c>
      <c r="AQ50" s="1783"/>
      <c r="AR50" s="1783"/>
    </row>
    <row customHeight="1" ht="11.25">
      <c r="A51" s="1426" t="s">
        <v>207</v>
      </c>
      <c r="B51" s="1426" t="s">
        <v>208</v>
      </c>
      <c r="C51" s="1426" t="s">
        <v>209</v>
      </c>
      <c r="D51" s="1426" t="s">
        <v>210</v>
      </c>
      <c r="E51" s="2356"/>
      <c r="F51" s="2356"/>
      <c r="G51" s="2356"/>
      <c r="H51" s="2356"/>
      <c r="I51" s="2169"/>
      <c r="J51" s="2185"/>
      <c r="K51" s="1426"/>
      <c r="L51" s="1469"/>
      <c r="P51" s="2324"/>
      <c r="Q51" s="2324"/>
      <c r="R51" s="510"/>
      <c r="S51" s="1437"/>
      <c r="T51" s="442" t="s">
        <v>411</v>
      </c>
      <c r="U51" s="754"/>
      <c r="V51" s="754"/>
      <c r="W51" s="754"/>
      <c r="X51" s="754"/>
      <c r="Y51" s="754"/>
      <c r="Z51" s="754"/>
      <c r="AA51" s="754"/>
      <c r="AB51" s="754"/>
      <c r="AC51" s="754"/>
      <c r="AD51" s="754"/>
      <c r="AE51" s="754"/>
      <c r="AF51" s="754"/>
      <c r="AG51" s="754"/>
      <c r="AH51" s="754"/>
      <c r="AI51" s="754"/>
      <c r="AJ51" s="754"/>
      <c r="AK51" s="754"/>
      <c r="AL51" s="478"/>
      <c r="AM51" s="2352"/>
      <c r="AO51" s="1783"/>
      <c r="AP51" s="1783" t="str">
        <f>IF(T51="","",T51)</f>
        <v>Добавить вид теплоносителя (параметры теплоносителя)</v>
      </c>
      <c r="AQ51" s="1783"/>
      <c r="AR51" s="1783"/>
    </row>
    <row customHeight="1" ht="11.25">
      <c r="A52" s="1426" t="s">
        <v>207</v>
      </c>
      <c r="B52" s="1426" t="s">
        <v>208</v>
      </c>
      <c r="C52" s="1426" t="s">
        <v>209</v>
      </c>
      <c r="D52" s="1426" t="s">
        <v>210</v>
      </c>
      <c r="E52" s="2356"/>
      <c r="F52" s="2356"/>
      <c r="G52" s="2356"/>
      <c r="H52" s="2356"/>
      <c r="I52" s="2185"/>
      <c r="J52" s="1426"/>
      <c r="K52" s="1426"/>
      <c r="L52" s="1469"/>
      <c r="P52" s="2324"/>
      <c r="Q52" s="2114"/>
      <c r="R52" s="510"/>
      <c r="S52" s="1437"/>
      <c r="T52" s="441" t="s">
        <v>412</v>
      </c>
      <c r="U52" s="754"/>
      <c r="V52" s="754"/>
      <c r="W52" s="754"/>
      <c r="X52" s="754"/>
      <c r="Y52" s="754"/>
      <c r="Z52" s="754"/>
      <c r="AA52" s="754"/>
      <c r="AB52" s="754"/>
      <c r="AC52" s="520"/>
      <c r="AD52" s="754"/>
      <c r="AE52" s="754"/>
      <c r="AF52" s="754"/>
      <c r="AG52" s="754"/>
      <c r="AH52" s="754"/>
      <c r="AI52" s="754"/>
      <c r="AJ52" s="754"/>
      <c r="AK52" s="520"/>
      <c r="AL52" s="754"/>
      <c r="AM52" s="457"/>
      <c r="AO52" s="1783"/>
      <c r="AP52" s="1783" t="str">
        <f>IF(T52="","",T52)</f>
        <v>Добавить группу потребителей</v>
      </c>
      <c r="AQ52" s="1783"/>
      <c r="AR52" s="1783"/>
    </row>
    <row customHeight="1" ht="14.25">
      <c r="A53" s="1426" t="s">
        <v>207</v>
      </c>
      <c r="B53" s="1426" t="s">
        <v>208</v>
      </c>
      <c r="C53" s="1426" t="s">
        <v>209</v>
      </c>
      <c r="D53" s="1426" t="s">
        <v>210</v>
      </c>
      <c r="E53" s="2356"/>
      <c r="F53" s="2356"/>
      <c r="G53" s="2356"/>
      <c r="H53" s="2355"/>
      <c r="I53" s="1426"/>
      <c r="J53" s="1426"/>
      <c r="K53" s="1426"/>
      <c r="L53" s="1469"/>
      <c r="M53" s="1769"/>
      <c r="N53" s="1769"/>
      <c r="O53" s="1794"/>
      <c r="P53" s="514"/>
      <c r="Q53" s="529"/>
      <c r="R53" s="509"/>
      <c r="S53" s="1437"/>
      <c r="T53" s="519" t="s">
        <v>413</v>
      </c>
      <c r="U53" s="754"/>
      <c r="V53" s="754"/>
      <c r="W53" s="754"/>
      <c r="X53" s="754"/>
      <c r="Y53" s="754"/>
      <c r="Z53" s="754"/>
      <c r="AA53" s="754"/>
      <c r="AB53" s="754"/>
      <c r="AC53" s="520"/>
      <c r="AD53" s="754"/>
      <c r="AE53" s="754"/>
      <c r="AF53" s="754"/>
      <c r="AG53" s="754"/>
      <c r="AH53" s="754"/>
      <c r="AI53" s="754"/>
      <c r="AJ53" s="754"/>
      <c r="AK53" s="520"/>
      <c r="AL53" s="754"/>
      <c r="AM53" s="457"/>
      <c r="AO53" s="1783"/>
      <c r="AP53" s="1783" t="str">
        <f>IF(T53="","",T53)</f>
        <v>Добавить схему подключения</v>
      </c>
      <c r="AQ53" s="1783"/>
      <c r="AR53" s="1783"/>
    </row>
    <row s="8827" customFormat="1" customHeight="1" ht="0.75">
      <c r="A54" s="1534" t="s">
        <v>207</v>
      </c>
      <c r="B54" s="1534" t="s">
        <v>208</v>
      </c>
      <c r="C54" s="1534" t="s">
        <v>209</v>
      </c>
      <c r="D54" s="1533"/>
      <c r="E54" s="2356"/>
      <c r="F54" s="2356"/>
      <c r="G54" s="2355"/>
      <c r="H54" s="1533"/>
      <c r="I54" s="1533"/>
      <c r="J54" s="1533"/>
      <c r="K54" s="1533"/>
      <c r="L54" s="1536"/>
      <c r="M54" s="1537"/>
      <c r="N54" s="1537"/>
      <c r="O54" s="505"/>
      <c r="P54" s="1475"/>
      <c r="Q54" s="1476"/>
      <c r="R54" s="1475"/>
      <c r="S54" s="1481"/>
      <c r="T54" s="1484" t="s">
        <v>414</v>
      </c>
      <c r="U54" s="1483"/>
      <c r="V54" s="1483"/>
      <c r="W54" s="1483"/>
      <c r="X54" s="1483"/>
      <c r="Y54" s="1483"/>
      <c r="Z54" s="1483"/>
      <c r="AA54" s="1483"/>
      <c r="AB54" s="1483"/>
      <c r="AC54" s="1483"/>
      <c r="AD54" s="1483"/>
      <c r="AE54" s="1483"/>
      <c r="AF54" s="1483"/>
      <c r="AG54" s="1483"/>
      <c r="AH54" s="1483"/>
      <c r="AI54" s="1483"/>
      <c r="AJ54" s="1483"/>
      <c r="AK54" s="1483"/>
      <c r="AL54" s="1483"/>
      <c r="AM54" s="1483"/>
      <c r="AO54" s="1409"/>
      <c r="AP54" s="1409" t="str">
        <f>IF(T54="","",T54)</f>
        <v>Добавить источник для дифференциации</v>
      </c>
      <c r="AQ54" s="1409"/>
      <c r="AR54" s="1409"/>
    </row>
    <row s="8827" customFormat="1" customHeight="1" ht="0.75">
      <c r="A55" s="1534" t="s">
        <v>207</v>
      </c>
      <c r="B55" s="1534" t="s">
        <v>208</v>
      </c>
      <c r="C55" s="1533"/>
      <c r="D55" s="1533"/>
      <c r="E55" s="2356"/>
      <c r="F55" s="2355"/>
      <c r="G55" s="1533"/>
      <c r="H55" s="1533"/>
      <c r="I55" s="1533"/>
      <c r="J55" s="1533"/>
      <c r="K55" s="1533"/>
      <c r="L55" s="1536"/>
      <c r="M55" s="1538"/>
      <c r="N55" s="1538"/>
      <c r="O55" s="505"/>
      <c r="P55" s="1475"/>
      <c r="Q55" s="1476"/>
      <c r="R55" s="1475"/>
      <c r="S55" s="1481"/>
      <c r="T55" s="1484" t="s">
        <v>251</v>
      </c>
      <c r="U55" s="1483"/>
      <c r="V55" s="1483"/>
      <c r="W55" s="1483"/>
      <c r="X55" s="1483"/>
      <c r="Y55" s="1483"/>
      <c r="Z55" s="1483"/>
      <c r="AA55" s="1483"/>
      <c r="AB55" s="1483"/>
      <c r="AC55" s="1483"/>
      <c r="AD55" s="1483"/>
      <c r="AE55" s="1483"/>
      <c r="AF55" s="1483"/>
      <c r="AG55" s="1483"/>
      <c r="AH55" s="1483"/>
      <c r="AI55" s="1483"/>
      <c r="AJ55" s="1483"/>
      <c r="AK55" s="1483"/>
      <c r="AL55" s="1483"/>
      <c r="AM55" s="1483"/>
      <c r="AO55" s="1409"/>
      <c r="AP55" s="1409" t="str">
        <f>IF(T55="","",T55)</f>
        <v>Добавить централизованную систему для дифференциации</v>
      </c>
      <c r="AQ55" s="1409"/>
      <c r="AR55" s="1409"/>
    </row>
    <row s="8847" customFormat="1" customHeight="1" ht="0.75">
      <c r="A56" s="1534" t="s">
        <v>207</v>
      </c>
      <c r="B56" s="1534"/>
      <c r="C56" s="1534"/>
      <c r="D56" s="1534"/>
      <c r="E56" s="2355"/>
      <c r="F56" s="1534"/>
      <c r="G56" s="1534"/>
      <c r="H56" s="1534"/>
      <c r="I56" s="1534"/>
      <c r="J56" s="1534"/>
      <c r="K56" s="1534"/>
      <c r="L56" s="1540"/>
      <c r="M56" s="1538"/>
      <c r="N56" s="1538"/>
      <c r="O56" s="505"/>
      <c r="P56" s="534"/>
      <c r="Q56" s="1503"/>
      <c r="R56" s="534"/>
      <c r="S56" s="1481"/>
      <c r="T56" s="1484" t="s">
        <v>252</v>
      </c>
      <c r="U56" s="1483"/>
      <c r="V56" s="1483"/>
      <c r="W56" s="1483"/>
      <c r="X56" s="1483"/>
      <c r="Y56" s="1483"/>
      <c r="Z56" s="1483"/>
      <c r="AA56" s="1483"/>
      <c r="AB56" s="1483"/>
      <c r="AC56" s="1483"/>
      <c r="AD56" s="1483"/>
      <c r="AE56" s="1483"/>
      <c r="AF56" s="1483"/>
      <c r="AG56" s="1483"/>
      <c r="AH56" s="1483"/>
      <c r="AI56" s="1483"/>
      <c r="AJ56" s="1483"/>
      <c r="AK56" s="1483"/>
      <c r="AL56" s="1483"/>
      <c r="AM56" s="1483"/>
      <c r="AO56" s="1783"/>
      <c r="AP56" s="1783" t="str">
        <f>IF(T56="","",T56)</f>
        <v>Добавить территорию для дифференциации</v>
      </c>
      <c r="AQ56" s="1783"/>
      <c r="AR56" s="1783"/>
    </row>
    <row s="8827" customFormat="1" customHeight="1" ht="0.75">
      <c r="A57" s="1533"/>
      <c r="B57" s="1533"/>
      <c r="C57" s="1533"/>
      <c r="D57" s="1533"/>
      <c r="E57" s="1534"/>
      <c r="F57" s="1533"/>
      <c r="G57" s="1533"/>
      <c r="H57" s="1533"/>
      <c r="I57" s="1533"/>
      <c r="J57" s="1533"/>
      <c r="K57" s="1533"/>
      <c r="L57" s="1536"/>
      <c r="M57" s="1538"/>
      <c r="N57" s="1538"/>
      <c r="O57" s="505"/>
      <c r="P57" s="1475"/>
      <c r="Q57" s="1476"/>
      <c r="R57" s="1475"/>
      <c r="S57" s="1481"/>
      <c r="T57" s="1484" t="s">
        <v>253</v>
      </c>
      <c r="U57" s="1483"/>
      <c r="V57" s="1483"/>
      <c r="W57" s="1483"/>
      <c r="X57" s="1483"/>
      <c r="Y57" s="1483"/>
      <c r="Z57" s="1483"/>
      <c r="AA57" s="1483"/>
      <c r="AB57" s="1483"/>
      <c r="AC57" s="1483"/>
      <c r="AD57" s="1483"/>
      <c r="AE57" s="1483"/>
      <c r="AF57" s="1483"/>
      <c r="AG57" s="1483"/>
      <c r="AH57" s="1483"/>
      <c r="AI57" s="1483"/>
      <c r="AJ57" s="1483"/>
      <c r="AK57" s="1483"/>
      <c r="AL57" s="1483"/>
      <c r="AM57" s="1483"/>
      <c r="AO57" s="1409"/>
      <c r="AP57" s="1409" t="str">
        <f>IF(T57="","",T57)</f>
        <v>Добавить наименование тарифа</v>
      </c>
      <c r="AQ57" s="1409"/>
      <c r="AR57" s="1409"/>
    </row>
    <row customHeight="1" ht="11.25">
      <c r="M58" s="1790"/>
      <c r="N58" s="1790"/>
      <c r="O58" s="1794"/>
      <c r="P58" s="1790"/>
      <c r="Q58" s="1790"/>
      <c r="R58" s="1790"/>
      <c r="S58" s="1790"/>
      <c r="AN58" s="1790"/>
      <c r="AO58" s="1790"/>
      <c r="AP58" s="1790"/>
      <c r="AQ58" s="1790"/>
      <c r="AR58" s="1790"/>
    </row>
    <row customHeight="1" ht="27">
      <c r="O59" s="1794"/>
      <c r="S59" s="1411"/>
      <c r="T59" s="2319"/>
      <c r="U59" s="2319"/>
      <c r="V59" s="2319"/>
      <c r="W59" s="2319"/>
      <c r="X59" s="2319"/>
      <c r="Y59" s="2319"/>
      <c r="Z59" s="2319"/>
      <c r="AA59" s="2319"/>
      <c r="AB59" s="2319"/>
      <c r="AC59" s="2319"/>
      <c r="AD59" s="2319"/>
      <c r="AE59" s="2319"/>
      <c r="AF59" s="2319"/>
      <c r="AG59" s="2319"/>
      <c r="AH59" s="2319"/>
      <c r="AI59" s="2319"/>
      <c r="AJ59" s="2319"/>
      <c r="AK59" s="2319"/>
      <c r="AL59" s="2319"/>
      <c r="AM59" s="2319"/>
    </row>
    <row customHeight="1" ht="62.25">
      <c r="O60" s="1794"/>
      <c r="T60" s="2319"/>
      <c r="U60" s="2319"/>
      <c r="V60" s="2319"/>
      <c r="W60" s="2319"/>
      <c r="X60" s="2319"/>
      <c r="Y60" s="2319"/>
      <c r="Z60" s="2319"/>
      <c r="AA60" s="2319"/>
      <c r="AB60" s="2319"/>
      <c r="AC60" s="2319"/>
      <c r="AD60" s="2319"/>
      <c r="AE60" s="2319"/>
      <c r="AF60" s="2319"/>
      <c r="AG60" s="2319"/>
      <c r="AH60" s="2319"/>
      <c r="AI60" s="2319"/>
      <c r="AJ60" s="2319"/>
      <c r="AK60" s="2319"/>
      <c r="AL60" s="2319"/>
      <c r="AM60" s="2319"/>
    </row>
    <row customHeight="1" ht="14.25">
      <c r="O61" s="1794"/>
    </row>
    <row customHeight="1" ht="18">
      <c r="O62" s="1794"/>
      <c r="S62" s="1411"/>
      <c r="T62" s="2319"/>
      <c r="U62" s="2319"/>
      <c r="V62" s="2319"/>
      <c r="W62" s="2319"/>
      <c r="X62" s="2319"/>
      <c r="Y62" s="2319"/>
      <c r="Z62" s="2319"/>
      <c r="AA62" s="2319"/>
      <c r="AB62" s="2319"/>
      <c r="AC62" s="2319"/>
      <c r="AD62" s="2319"/>
      <c r="AE62" s="2319"/>
      <c r="AF62" s="2319"/>
      <c r="AG62" s="2319"/>
      <c r="AH62" s="2319"/>
      <c r="AI62" s="2319"/>
      <c r="AJ62" s="2319"/>
      <c r="AK62" s="2319"/>
      <c r="AL62" s="2319"/>
      <c r="AM62" s="2319"/>
    </row>
    <row customHeight="1" ht="18">
      <c r="O63" s="1794"/>
      <c r="T63" s="2319"/>
      <c r="U63" s="2319"/>
      <c r="V63" s="2319"/>
      <c r="W63" s="2319"/>
      <c r="X63" s="2319"/>
      <c r="Y63" s="2319"/>
      <c r="Z63" s="2319"/>
      <c r="AA63" s="2319"/>
      <c r="AB63" s="2319"/>
      <c r="AC63" s="2319"/>
      <c r="AD63" s="2319"/>
      <c r="AE63" s="2319"/>
      <c r="AF63" s="2319"/>
      <c r="AG63" s="2319"/>
      <c r="AH63" s="2319"/>
      <c r="AI63" s="2319"/>
      <c r="AJ63" s="2319"/>
      <c r="AK63" s="2319"/>
      <c r="AL63" s="2319"/>
      <c r="AM63" s="2319"/>
    </row>
    <row customHeight="1" ht="27.75">
      <c r="O64" s="1794"/>
      <c r="S64" s="1411"/>
      <c r="T64" s="2319"/>
      <c r="U64" s="2319"/>
      <c r="V64" s="2319"/>
      <c r="W64" s="2319"/>
      <c r="X64" s="2319"/>
      <c r="Y64" s="2319"/>
      <c r="Z64" s="2319"/>
      <c r="AA64" s="2319"/>
      <c r="AB64" s="2319"/>
      <c r="AC64" s="2319"/>
      <c r="AD64" s="2319"/>
      <c r="AE64" s="2319"/>
      <c r="AF64" s="2319"/>
      <c r="AG64" s="2319"/>
      <c r="AH64" s="2319"/>
      <c r="AI64" s="2319"/>
      <c r="AJ64" s="2319"/>
      <c r="AK64" s="2319"/>
      <c r="AL64" s="2319"/>
      <c r="AM64" s="2319"/>
    </row>
  </sheetData>
  <sheetProtection sort="0" autoFilter="0" insertRows="0" insertColumns="1" deleteRows="0" deleteColumns="0"/>
  <mergeCells count="112">
    <mergeCell ref="T63:AM63"/>
    <mergeCell ref="T64:AM64"/>
    <mergeCell ref="AJ49:AJ50"/>
    <mergeCell ref="AK49:AK50"/>
    <mergeCell ref="AM49:AM51"/>
    <mergeCell ref="T59:AM59"/>
    <mergeCell ref="T60:AM60"/>
    <mergeCell ref="T62:AM62"/>
    <mergeCell ref="Q48:Q51"/>
    <mergeCell ref="V48:AC48"/>
    <mergeCell ref="AD48:AL48"/>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V37:AC37"/>
    <mergeCell ref="AD37:AK37"/>
    <mergeCell ref="S38:AL38"/>
    <mergeCell ref="AM38:AM41"/>
    <mergeCell ref="S39:S41"/>
    <mergeCell ref="T39:T41"/>
    <mergeCell ref="V39:AB39"/>
    <mergeCell ref="AC39:AC41"/>
    <mergeCell ref="AD39:AJ39"/>
    <mergeCell ref="AK39:AK41"/>
    <mergeCell ref="S34:T34"/>
    <mergeCell ref="V34:AB34"/>
    <mergeCell ref="AD34:AJ34"/>
    <mergeCell ref="S35:T35"/>
    <mergeCell ref="V35:AB35"/>
    <mergeCell ref="AD35:AJ35"/>
    <mergeCell ref="S31:T31"/>
    <mergeCell ref="V31:AB31"/>
    <mergeCell ref="AD31:AJ31"/>
    <mergeCell ref="S32:T32"/>
    <mergeCell ref="V32:AB32"/>
    <mergeCell ref="AD32:AJ32"/>
    <mergeCell ref="S26:AJ26"/>
    <mergeCell ref="S27:AJ27"/>
    <mergeCell ref="S29:T29"/>
    <mergeCell ref="V29:AB29"/>
    <mergeCell ref="AD29:AJ29"/>
    <mergeCell ref="S30:T30"/>
    <mergeCell ref="V30:AB30"/>
    <mergeCell ref="AD30:AJ30"/>
    <mergeCell ref="AI8:AI9"/>
    <mergeCell ref="AJ8:AJ9"/>
    <mergeCell ref="AM8:AM10"/>
    <mergeCell ref="AH17:AH18"/>
    <mergeCell ref="AI17:AI18"/>
    <mergeCell ref="AJ17:AJ18"/>
    <mergeCell ref="AK17:AK18"/>
    <mergeCell ref="K8:K9"/>
    <mergeCell ref="Z8:Z9"/>
    <mergeCell ref="AA8:AA9"/>
    <mergeCell ref="AB8:AB9"/>
    <mergeCell ref="AC8:AC9"/>
    <mergeCell ref="AH8:AH9"/>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9B4EB0A-5884-F7A8-5ABB-BB28E0EDA809}" mc:Ignorable="x14ac xr xr2 xr3">
  <sheetPr>
    <tabColor theme="6" tint="0.4"/>
  </sheetPr>
  <dimension ref="A1:AR64"/>
  <sheetViews>
    <sheetView topLeftCell="A1" showGridLines="0" workbookViewId="0">
      <selection activeCell="A1" sqref="A1"/>
    </sheetView>
  </sheetViews>
  <sheetFormatPr defaultColWidth="10.57421875" customHeight="1" defaultRowHeight="14.25"/>
  <cols>
    <col min="1" max="1" style="8849" width="10.57421875" hidden="1"/>
    <col min="2" max="2" style="8849" width="11.00390625" hidden="1" customWidth="1"/>
    <col min="3" max="3" style="8849" width="10.57421875" hidden="1"/>
    <col min="4" max="4" style="8849" width="11.8515625" hidden="1" customWidth="1"/>
    <col min="5" max="5" style="8849" width="10.00390625" hidden="1" customWidth="1"/>
    <col min="6" max="6" style="8849" width="8.7109375" hidden="1" customWidth="1"/>
    <col min="7" max="7" style="8849" width="7.57421875" hidden="1" customWidth="1"/>
    <col min="8" max="8" style="8849" width="11.421875" hidden="1" customWidth="1"/>
    <col min="9" max="9" style="8849" width="12.00390625" hidden="1" customWidth="1"/>
    <col min="10" max="10" style="8849" width="9.8515625" hidden="1" customWidth="1"/>
    <col min="11" max="11" style="8849" width="11.421875" hidden="1" customWidth="1"/>
    <col min="12" max="12" style="8850" width="19.140625" hidden="1" customWidth="1"/>
    <col min="13" max="14" style="8851" width="12.28125" hidden="1" customWidth="1"/>
    <col min="15" max="15" style="8851" width="23.421875" hidden="1" customWidth="1"/>
    <col min="16" max="16" style="8851" width="3.7109375" customWidth="1"/>
    <col min="17" max="18" style="8805" width="3.7109375" customWidth="1"/>
    <col min="19" max="19" style="8806" width="12.7109375" customWidth="1"/>
    <col min="20" max="20" style="8849" width="32.00390625" customWidth="1"/>
    <col min="21" max="21" style="8849" width="0.140625" customWidth="1"/>
    <col min="22" max="22" style="8849" width="24.7109375" hidden="1" customWidth="1"/>
    <col min="23" max="23" style="8849" width="0.140625" hidden="1" customWidth="1"/>
    <col min="24" max="25" style="8849" width="24.7109375" hidden="1" customWidth="1"/>
    <col min="26" max="26" style="8849" width="11.7109375" hidden="1" customWidth="1"/>
    <col min="27" max="27" style="8849" width="3.7109375" hidden="1" customWidth="1"/>
    <col min="28" max="28" style="8849" width="11.7109375" hidden="1" customWidth="1"/>
    <col min="29" max="29" style="8849" width="8.57421875" hidden="1" customWidth="1"/>
    <col min="30" max="30" style="8849" width="24.7109375" customWidth="1"/>
    <col min="31" max="31" style="8849" width="0.140625" customWidth="1"/>
    <col min="32" max="33" style="8849" width="24.7109375" customWidth="1"/>
    <col min="34" max="34" style="8849" width="11.7109375" customWidth="1"/>
    <col min="35" max="35" style="8849" width="3.7109375" customWidth="1"/>
    <col min="36" max="36" style="8849" width="11.7109375" customWidth="1"/>
    <col min="37" max="37" style="8849" width="8.57421875" hidden="1" customWidth="1"/>
    <col min="38" max="38" style="8849" width="4.7109375" customWidth="1"/>
    <col min="39" max="39" style="8849" width="115.7109375" customWidth="1"/>
    <col min="40" max="41" style="8847" width="10.57421875"/>
    <col min="42" max="42" style="8847" width="11.140625" customWidth="1"/>
    <col min="43" max="44" style="8847" width="10.57421875"/>
  </cols>
  <sheetData>
    <row customHeight="1" ht="14.25" hidden="1"/>
    <row customHeight="1" ht="21" hidden="1">
      <c r="A2" s="1426"/>
      <c r="B2" s="1426"/>
      <c r="C2" s="1426"/>
      <c r="D2" s="1426"/>
      <c r="E2" s="2355">
        <v>1</v>
      </c>
      <c r="F2" s="1426"/>
      <c r="G2" s="1426"/>
      <c r="H2" s="1426"/>
      <c r="I2" s="1426"/>
      <c r="J2" s="1426"/>
      <c r="K2" s="1426"/>
      <c r="L2" s="1469"/>
      <c r="M2" s="1769"/>
      <c r="N2" s="1769"/>
      <c r="O2" s="1769"/>
      <c r="P2" s="1749"/>
      <c r="Q2" s="514"/>
      <c r="R2" s="509"/>
      <c r="S2" s="2118">
        <f>INDEX(PT_DIFFERENTIATION_NUM_NTAR,MATCH(A2,PT_DIFFERENTIATION_NTAR_ID,0))</f>
      </c>
      <c r="T2" s="1684" t="s">
        <v>120</v>
      </c>
      <c r="U2" s="454"/>
      <c r="V2" s="2314"/>
      <c r="W2" s="2315"/>
      <c r="X2" s="2315"/>
      <c r="Y2" s="2315"/>
      <c r="Z2" s="2315"/>
      <c r="AA2" s="2315"/>
      <c r="AB2" s="2315"/>
      <c r="AC2" s="2316"/>
      <c r="AD2" s="2314">
        <f>INDEX(PT_DIFFERENTIATION_NTAR,MATCH(A2,PT_DIFFERENTIATION_NTAR_ID,0))</f>
      </c>
      <c r="AE2" s="2315"/>
      <c r="AF2" s="2315"/>
      <c r="AG2" s="2315"/>
      <c r="AH2" s="2315"/>
      <c r="AI2" s="2315"/>
      <c r="AJ2" s="2315"/>
      <c r="AK2" s="2315"/>
      <c r="AL2" s="2316"/>
      <c r="AM2" s="1416" t="s">
        <v>396</v>
      </c>
      <c r="AO2" s="1783"/>
      <c r="AP2" s="1783" t="str">
        <f>IF(T2="","",T2)</f>
        <v>Наименование тарифа</v>
      </c>
      <c r="AQ2" s="1783"/>
      <c r="AR2" s="1783"/>
    </row>
    <row customHeight="1" ht="21" hidden="1">
      <c r="A3" s="1426"/>
      <c r="B3" s="1426"/>
      <c r="C3" s="1426"/>
      <c r="D3" s="1426"/>
      <c r="E3" s="2356"/>
      <c r="F3" s="2355">
        <v>1</v>
      </c>
      <c r="G3" s="1426"/>
      <c r="H3" s="1426"/>
      <c r="I3" s="1426"/>
      <c r="J3" s="1426"/>
      <c r="K3" s="1426"/>
      <c r="L3" s="1469"/>
      <c r="M3" s="1769"/>
      <c r="N3" s="1769"/>
      <c r="O3" s="1769"/>
      <c r="P3" s="2100"/>
      <c r="Q3" s="506"/>
      <c r="R3" s="507"/>
      <c r="S3" s="2118">
        <f>INDEX(PT_DIFFERENTIATION_NUM_TER,MATCH(B3,PT_DIFFERENTIATION_TER_ID,0))</f>
      </c>
      <c r="T3" s="1681" t="s">
        <v>397</v>
      </c>
      <c r="U3" s="454"/>
      <c r="V3" s="2314"/>
      <c r="W3" s="2315"/>
      <c r="X3" s="2315"/>
      <c r="Y3" s="2315"/>
      <c r="Z3" s="2315"/>
      <c r="AA3" s="2315"/>
      <c r="AB3" s="2315"/>
      <c r="AC3" s="2316"/>
      <c r="AD3" s="2314">
        <f>INDEX(PT_DIFFERENTIATION_TER,MATCH(B3,PT_DIFFERENTIATION_TER_ID,0))</f>
      </c>
      <c r="AE3" s="2315"/>
      <c r="AF3" s="2315"/>
      <c r="AG3" s="2315"/>
      <c r="AH3" s="2315"/>
      <c r="AI3" s="2315"/>
      <c r="AJ3" s="2315"/>
      <c r="AK3" s="2315"/>
      <c r="AL3" s="2316"/>
      <c r="AM3" s="1416" t="s">
        <v>398</v>
      </c>
      <c r="AO3" s="1783"/>
      <c r="AP3" s="1783" t="str">
        <f>IF(T3="","",T3)</f>
        <v>Территория действия тарифа</v>
      </c>
      <c r="AQ3" s="1783"/>
      <c r="AR3" s="1783"/>
    </row>
    <row customHeight="1" ht="23.25" hidden="1">
      <c r="A4" s="1426"/>
      <c r="B4" s="1426"/>
      <c r="C4" s="1426"/>
      <c r="D4" s="1426"/>
      <c r="E4" s="2356"/>
      <c r="F4" s="2356"/>
      <c r="G4" s="2355">
        <v>1</v>
      </c>
      <c r="H4" s="1426"/>
      <c r="I4" s="1426"/>
      <c r="J4" s="1426"/>
      <c r="K4" s="1426"/>
      <c r="L4" s="1469"/>
      <c r="M4" s="1769"/>
      <c r="N4" s="1769"/>
      <c r="O4" s="1769"/>
      <c r="P4" s="508"/>
      <c r="Q4" s="506"/>
      <c r="R4" s="507"/>
      <c r="S4" s="2118">
        <f>INDEX(PT_DIFFERENTIATION_NUM_CS,MATCH(C4,PT_DIFFERENTIATION_CS_ID,0))</f>
      </c>
      <c r="T4" s="463" t="s">
        <v>399</v>
      </c>
      <c r="U4" s="454"/>
      <c r="V4" s="2314"/>
      <c r="W4" s="2315"/>
      <c r="X4" s="2315"/>
      <c r="Y4" s="2315"/>
      <c r="Z4" s="2315"/>
      <c r="AA4" s="2315"/>
      <c r="AB4" s="2315"/>
      <c r="AC4" s="2316"/>
      <c r="AD4" s="2314">
        <f>INDEX(PT_DIFFERENTIATION_CS,MATCH(C4,PT_DIFFERENTIATION_CS_ID,0))</f>
      </c>
      <c r="AE4" s="2315"/>
      <c r="AF4" s="2315"/>
      <c r="AG4" s="2315"/>
      <c r="AH4" s="2315"/>
      <c r="AI4" s="2315"/>
      <c r="AJ4" s="2315"/>
      <c r="AK4" s="2315"/>
      <c r="AL4" s="2316"/>
      <c r="AM4" s="1416" t="s">
        <v>400</v>
      </c>
      <c r="AO4" s="1783"/>
      <c r="AP4" s="1783" t="str">
        <f>IF(T4="","",T4)</f>
        <v>Наименование системы теплоснабжения </v>
      </c>
      <c r="AQ4" s="1783"/>
      <c r="AR4" s="1783"/>
    </row>
    <row customHeight="1" ht="21" hidden="1">
      <c r="A5" s="1426"/>
      <c r="B5" s="1426"/>
      <c r="C5" s="1426"/>
      <c r="D5" s="1426"/>
      <c r="E5" s="2356"/>
      <c r="F5" s="2356"/>
      <c r="G5" s="2356"/>
      <c r="H5" s="2355">
        <v>1</v>
      </c>
      <c r="I5" s="1426"/>
      <c r="J5" s="1426"/>
      <c r="K5" s="1426"/>
      <c r="L5" s="1469"/>
      <c r="M5" s="1769"/>
      <c r="N5" s="1769"/>
      <c r="O5" s="1769"/>
      <c r="P5" s="508"/>
      <c r="Q5" s="506"/>
      <c r="R5" s="507"/>
      <c r="S5" s="2118">
        <f>INDEX(PT_DIFFERENTIATION_NUM_IST_TE,MATCH(D5,PT_DIFFERENTIATION_IST_TE_ID,0))</f>
      </c>
      <c r="T5" s="464" t="s">
        <v>401</v>
      </c>
      <c r="U5" s="454"/>
      <c r="V5" s="2314"/>
      <c r="W5" s="2315"/>
      <c r="X5" s="2315"/>
      <c r="Y5" s="2315"/>
      <c r="Z5" s="2315"/>
      <c r="AA5" s="2315"/>
      <c r="AB5" s="2315"/>
      <c r="AC5" s="2316"/>
      <c r="AD5" s="2314">
        <f>INDEX(PT_DIFFERENTIATION_IST_TE,MATCH(D5,PT_DIFFERENTIATION_IST_TE_ID,0))</f>
      </c>
      <c r="AE5" s="2315"/>
      <c r="AF5" s="2315"/>
      <c r="AG5" s="2315"/>
      <c r="AH5" s="2315"/>
      <c r="AI5" s="2315"/>
      <c r="AJ5" s="2315"/>
      <c r="AK5" s="2315"/>
      <c r="AL5" s="2316"/>
      <c r="AM5" s="1416" t="s">
        <v>402</v>
      </c>
      <c r="AO5" s="1783"/>
      <c r="AP5" s="1783" t="str">
        <f>IF(T5="","",T5)</f>
        <v>Источник тепловой энергии  </v>
      </c>
      <c r="AQ5" s="1783"/>
      <c r="AR5" s="1783"/>
    </row>
    <row customHeight="1" ht="47.25" hidden="1">
      <c r="A6" s="1426"/>
      <c r="B6" s="1426"/>
      <c r="C6" s="1426"/>
      <c r="D6" s="1426"/>
      <c r="E6" s="2356"/>
      <c r="F6" s="2356"/>
      <c r="G6" s="2356"/>
      <c r="H6" s="2356"/>
      <c r="I6" s="2185">
        <f>S5&amp;".1"</f>
      </c>
      <c r="J6" s="1426"/>
      <c r="K6" s="1426"/>
      <c r="L6" s="1469" t="s">
        <v>403</v>
      </c>
      <c r="M6" s="1794"/>
      <c r="P6" s="2324">
        <v>1</v>
      </c>
      <c r="Q6" s="2114"/>
      <c r="R6" s="510"/>
      <c r="S6" s="2118">
        <f>$I6</f>
      </c>
      <c r="T6" s="439" t="s">
        <v>404</v>
      </c>
      <c r="U6" s="454"/>
      <c r="V6" s="2308"/>
      <c r="W6" s="2309"/>
      <c r="X6" s="2309"/>
      <c r="Y6" s="2309"/>
      <c r="Z6" s="2309"/>
      <c r="AA6" s="2309"/>
      <c r="AB6" s="2309"/>
      <c r="AC6" s="2310"/>
      <c r="AD6" s="2308"/>
      <c r="AE6" s="2309"/>
      <c r="AF6" s="2309"/>
      <c r="AG6" s="2309"/>
      <c r="AH6" s="2309"/>
      <c r="AI6" s="2309"/>
      <c r="AJ6" s="2309"/>
      <c r="AK6" s="2309"/>
      <c r="AL6" s="2310"/>
      <c r="AM6" s="1416" t="s">
        <v>405</v>
      </c>
      <c r="AO6" s="1783"/>
      <c r="AP6" s="1783" t="str">
        <f>IF(T6="","",T6)</f>
        <v>Схема подключения теплопотребляющей установки к коллектору источника тепловой энергии</v>
      </c>
      <c r="AQ6" s="1783"/>
      <c r="AR6" s="1783"/>
    </row>
    <row customHeight="1" ht="21" hidden="1">
      <c r="A7" s="1426"/>
      <c r="B7" s="1426"/>
      <c r="C7" s="1426"/>
      <c r="D7" s="1426"/>
      <c r="E7" s="2356"/>
      <c r="F7" s="2356"/>
      <c r="G7" s="2356"/>
      <c r="H7" s="2356"/>
      <c r="I7" s="2169"/>
      <c r="J7" s="2185">
        <f>I6&amp;".1"</f>
      </c>
      <c r="K7" s="1426"/>
      <c r="L7" s="1469" t="s">
        <v>406</v>
      </c>
      <c r="M7" s="1794"/>
      <c r="N7" s="1790"/>
      <c r="P7" s="2324"/>
      <c r="Q7" s="2324">
        <v>1</v>
      </c>
      <c r="R7" s="511"/>
      <c r="S7" s="2118">
        <f>$J7</f>
      </c>
      <c r="T7" s="440" t="s">
        <v>407</v>
      </c>
      <c r="U7" s="454"/>
      <c r="V7" s="2308"/>
      <c r="W7" s="2309"/>
      <c r="X7" s="2309"/>
      <c r="Y7" s="2309"/>
      <c r="Z7" s="2309"/>
      <c r="AA7" s="2309"/>
      <c r="AB7" s="2309"/>
      <c r="AC7" s="2310"/>
      <c r="AD7" s="2308"/>
      <c r="AE7" s="2309"/>
      <c r="AF7" s="2309"/>
      <c r="AG7" s="2309"/>
      <c r="AH7" s="2309"/>
      <c r="AI7" s="2309"/>
      <c r="AJ7" s="2309"/>
      <c r="AK7" s="2309"/>
      <c r="AL7" s="2310"/>
      <c r="AM7" s="1416" t="s">
        <v>408</v>
      </c>
      <c r="AO7" s="1783"/>
      <c r="AP7" s="1783" t="str">
        <f>IF(T7="","",T7)</f>
        <v>Группа потребителей</v>
      </c>
      <c r="AQ7" s="1783"/>
      <c r="AR7" s="1783"/>
    </row>
    <row customHeight="1" ht="21" hidden="1">
      <c r="A8" s="1426"/>
      <c r="B8" s="1426"/>
      <c r="C8" s="1426"/>
      <c r="D8" s="1426"/>
      <c r="E8" s="2356"/>
      <c r="F8" s="2356"/>
      <c r="G8" s="2356"/>
      <c r="H8" s="2356"/>
      <c r="I8" s="2169"/>
      <c r="J8" s="2169"/>
      <c r="K8" s="2185">
        <f>J7&amp;".1"</f>
      </c>
      <c r="L8" s="1469" t="s">
        <v>409</v>
      </c>
      <c r="M8" s="1794"/>
      <c r="N8" s="1790"/>
      <c r="O8" s="1790"/>
      <c r="P8" s="2324"/>
      <c r="Q8" s="2324"/>
      <c r="R8" s="511">
        <v>1</v>
      </c>
      <c r="S8" s="2118">
        <f>$K8</f>
      </c>
      <c r="T8" s="1506"/>
      <c r="U8" s="454"/>
      <c r="V8" s="905"/>
      <c r="W8" s="479"/>
      <c r="X8" s="905"/>
      <c r="Y8" s="1415"/>
      <c r="Z8" s="2325"/>
      <c r="AA8" s="2195" t="s">
        <v>64</v>
      </c>
      <c r="AB8" s="2325"/>
      <c r="AC8" s="2195" t="s">
        <v>64</v>
      </c>
      <c r="AD8" s="905"/>
      <c r="AE8" s="479"/>
      <c r="AF8" s="905"/>
      <c r="AG8" s="1415"/>
      <c r="AH8" s="2325"/>
      <c r="AI8" s="2195" t="s">
        <v>64</v>
      </c>
      <c r="AJ8" s="2325"/>
      <c r="AK8" s="2195" t="s">
        <v>64</v>
      </c>
      <c r="AL8" s="479"/>
      <c r="AM8" s="2350" t="s">
        <v>410</v>
      </c>
      <c r="AN8" s="1795">
        <f>STRCHECKDATE(V9:AL9)</f>
      </c>
      <c r="AO8" s="1783"/>
      <c r="AP8" s="1783" t="str">
        <f>IF(T8="","",T8)</f>
        <v/>
      </c>
      <c r="AQ8" s="1783"/>
      <c r="AR8" s="1783"/>
    </row>
    <row customHeight="1" ht="0.75" hidden="1">
      <c r="A9" s="1426"/>
      <c r="B9" s="1426"/>
      <c r="C9" s="1426"/>
      <c r="D9" s="1426"/>
      <c r="E9" s="2356"/>
      <c r="F9" s="2356"/>
      <c r="G9" s="2356"/>
      <c r="H9" s="2356"/>
      <c r="I9" s="2169"/>
      <c r="J9" s="2169"/>
      <c r="K9" s="2185"/>
      <c r="L9" s="1469"/>
      <c r="M9" s="1794"/>
      <c r="N9" s="1790"/>
      <c r="O9" s="1790"/>
      <c r="P9" s="2324"/>
      <c r="Q9" s="2324"/>
      <c r="R9" s="511"/>
      <c r="S9" s="2127"/>
      <c r="T9" s="454"/>
      <c r="U9" s="454"/>
      <c r="V9" s="479"/>
      <c r="W9" s="479"/>
      <c r="X9" s="479"/>
      <c r="Y9" s="482" t="str">
        <f>Z8&amp;"-"&amp;AB8</f>
        <v>-</v>
      </c>
      <c r="Z9" s="2326"/>
      <c r="AA9" s="2195"/>
      <c r="AB9" s="2326"/>
      <c r="AC9" s="2195"/>
      <c r="AD9" s="479"/>
      <c r="AE9" s="479"/>
      <c r="AF9" s="479"/>
      <c r="AG9" s="482" t="str">
        <f>AH8&amp;"-"&amp;AJ8</f>
        <v>-</v>
      </c>
      <c r="AH9" s="2326"/>
      <c r="AI9" s="2195"/>
      <c r="AJ9" s="2326"/>
      <c r="AK9" s="2195"/>
      <c r="AL9" s="479"/>
      <c r="AM9" s="2351"/>
      <c r="AO9" s="1783"/>
      <c r="AP9" s="1783" t="str">
        <f>IF(T9="","",T9)</f>
        <v/>
      </c>
      <c r="AQ9" s="1783"/>
      <c r="AR9" s="1783"/>
    </row>
    <row customHeight="1" ht="15" hidden="1">
      <c r="A10" s="1426"/>
      <c r="B10" s="1426"/>
      <c r="C10" s="1426"/>
      <c r="D10" s="1426"/>
      <c r="E10" s="2356"/>
      <c r="F10" s="2356"/>
      <c r="G10" s="2356"/>
      <c r="H10" s="2356"/>
      <c r="I10" s="2169"/>
      <c r="J10" s="2185"/>
      <c r="K10" s="1426"/>
      <c r="L10" s="1469"/>
      <c r="M10" s="1794"/>
      <c r="N10" s="1790"/>
      <c r="P10" s="2324"/>
      <c r="Q10" s="2324"/>
      <c r="R10" s="510"/>
      <c r="S10" s="1437"/>
      <c r="T10" s="442" t="s">
        <v>411</v>
      </c>
      <c r="U10" s="754"/>
      <c r="V10" s="754"/>
      <c r="W10" s="754"/>
      <c r="X10" s="754"/>
      <c r="Y10" s="754"/>
      <c r="Z10" s="754"/>
      <c r="AA10" s="754"/>
      <c r="AB10" s="754"/>
      <c r="AC10" s="754"/>
      <c r="AD10" s="754"/>
      <c r="AE10" s="754"/>
      <c r="AF10" s="754"/>
      <c r="AG10" s="754"/>
      <c r="AH10" s="754"/>
      <c r="AI10" s="754"/>
      <c r="AJ10" s="754"/>
      <c r="AK10" s="754"/>
      <c r="AL10" s="478"/>
      <c r="AM10" s="2352"/>
      <c r="AO10" s="1783"/>
      <c r="AP10" s="1783" t="str">
        <f>IF(T10="","",T10)</f>
        <v>Добавить вид теплоносителя (параметры теплоносителя)</v>
      </c>
      <c r="AQ10" s="1783"/>
      <c r="AR10" s="1783"/>
    </row>
    <row customHeight="1" ht="15" hidden="1">
      <c r="A11" s="1426"/>
      <c r="B11" s="1426"/>
      <c r="C11" s="1426"/>
      <c r="D11" s="1426"/>
      <c r="E11" s="2356"/>
      <c r="F11" s="2356"/>
      <c r="G11" s="2356"/>
      <c r="H11" s="2356"/>
      <c r="I11" s="2185"/>
      <c r="J11" s="1426"/>
      <c r="K11" s="1426"/>
      <c r="L11" s="1469"/>
      <c r="M11" s="1794"/>
      <c r="P11" s="2324"/>
      <c r="Q11" s="2114"/>
      <c r="R11" s="510"/>
      <c r="S11" s="1437"/>
      <c r="T11" s="441" t="s">
        <v>412</v>
      </c>
      <c r="U11" s="754"/>
      <c r="V11" s="754"/>
      <c r="W11" s="754"/>
      <c r="X11" s="754"/>
      <c r="Y11" s="754"/>
      <c r="Z11" s="754"/>
      <c r="AA11" s="754"/>
      <c r="AB11" s="754"/>
      <c r="AC11" s="520"/>
      <c r="AD11" s="754"/>
      <c r="AE11" s="754"/>
      <c r="AF11" s="754"/>
      <c r="AG11" s="754"/>
      <c r="AH11" s="754"/>
      <c r="AI11" s="754"/>
      <c r="AJ11" s="754"/>
      <c r="AK11" s="520"/>
      <c r="AL11" s="754"/>
      <c r="AM11" s="457"/>
      <c r="AO11" s="1783"/>
      <c r="AP11" s="1783" t="str">
        <f>IF(T11="","",T11)</f>
        <v>Добавить группу потребителей</v>
      </c>
      <c r="AQ11" s="1783"/>
      <c r="AR11" s="1783"/>
    </row>
    <row customHeight="1" ht="14.25" hidden="1">
      <c r="A12" s="1426"/>
      <c r="B12" s="1426"/>
      <c r="C12" s="1426"/>
      <c r="D12" s="1426"/>
      <c r="E12" s="2356"/>
      <c r="F12" s="2356"/>
      <c r="G12" s="2356"/>
      <c r="H12" s="2355"/>
      <c r="I12" s="1426"/>
      <c r="J12" s="1426"/>
      <c r="K12" s="1426"/>
      <c r="L12" s="1469"/>
      <c r="M12" s="1769"/>
      <c r="N12" s="1769"/>
      <c r="O12" s="1794"/>
      <c r="P12" s="514"/>
      <c r="Q12" s="529"/>
      <c r="R12" s="509"/>
      <c r="S12" s="1437"/>
      <c r="T12" s="519" t="s">
        <v>413</v>
      </c>
      <c r="U12" s="754"/>
      <c r="V12" s="754"/>
      <c r="W12" s="754"/>
      <c r="X12" s="754"/>
      <c r="Y12" s="754"/>
      <c r="Z12" s="754"/>
      <c r="AA12" s="754"/>
      <c r="AB12" s="754"/>
      <c r="AC12" s="520"/>
      <c r="AD12" s="754"/>
      <c r="AE12" s="754"/>
      <c r="AF12" s="754"/>
      <c r="AG12" s="754"/>
      <c r="AH12" s="754"/>
      <c r="AI12" s="754"/>
      <c r="AJ12" s="754"/>
      <c r="AK12" s="520"/>
      <c r="AL12" s="754"/>
      <c r="AM12" s="457"/>
      <c r="AO12" s="1783"/>
      <c r="AP12" s="1783" t="str">
        <f>IF(T12="","",T12)</f>
        <v>Добавить схему подключения</v>
      </c>
      <c r="AQ12" s="1783"/>
      <c r="AR12" s="1783"/>
    </row>
    <row s="8827" customFormat="1" customHeight="1" ht="0.75" hidden="1">
      <c r="A13" s="2135"/>
      <c r="B13" s="2135"/>
      <c r="C13" s="2135"/>
      <c r="D13" s="2135"/>
      <c r="E13" s="2356"/>
      <c r="F13" s="2356"/>
      <c r="G13" s="2355"/>
      <c r="H13" s="2135"/>
      <c r="I13" s="2135"/>
      <c r="J13" s="2135"/>
      <c r="K13" s="2135"/>
      <c r="L13" s="1539"/>
      <c r="M13" s="1769"/>
      <c r="N13" s="1769"/>
      <c r="O13" s="1794"/>
      <c r="P13" s="1475"/>
      <c r="Q13" s="1476"/>
      <c r="R13" s="1475"/>
      <c r="S13" s="1477"/>
      <c r="T13" s="1478" t="s">
        <v>414</v>
      </c>
      <c r="U13" s="1479"/>
      <c r="V13" s="1479"/>
      <c r="W13" s="1479"/>
      <c r="X13" s="1479"/>
      <c r="Y13" s="1479"/>
      <c r="Z13" s="1479"/>
      <c r="AA13" s="1479"/>
      <c r="AB13" s="1479"/>
      <c r="AC13" s="1479"/>
      <c r="AD13" s="1479"/>
      <c r="AE13" s="1479"/>
      <c r="AF13" s="1479"/>
      <c r="AG13" s="1479"/>
      <c r="AH13" s="1479"/>
      <c r="AI13" s="1479"/>
      <c r="AJ13" s="1479"/>
      <c r="AK13" s="1479"/>
      <c r="AL13" s="1479"/>
      <c r="AM13" s="1479"/>
      <c r="AO13" s="1409"/>
      <c r="AP13" s="1409" t="str">
        <f>IF(T13="","",T13)</f>
        <v>Добавить источник для дифференциации</v>
      </c>
      <c r="AQ13" s="1409"/>
      <c r="AR13" s="1409"/>
    </row>
    <row s="8827" customFormat="1" customHeight="1" ht="0.75" hidden="1">
      <c r="A14" s="2135"/>
      <c r="B14" s="2135"/>
      <c r="C14" s="2135"/>
      <c r="D14" s="2135"/>
      <c r="E14" s="2356"/>
      <c r="F14" s="2355"/>
      <c r="G14" s="2135"/>
      <c r="H14" s="2135"/>
      <c r="I14" s="2135"/>
      <c r="J14" s="2135"/>
      <c r="K14" s="2135"/>
      <c r="L14" s="1539"/>
      <c r="M14" s="2136"/>
      <c r="N14" s="2136"/>
      <c r="O14" s="1794"/>
      <c r="P14" s="1475"/>
      <c r="Q14" s="1476"/>
      <c r="R14" s="1475"/>
      <c r="S14" s="1481"/>
      <c r="T14" s="1482" t="s">
        <v>251</v>
      </c>
      <c r="U14" s="1483"/>
      <c r="V14" s="1483"/>
      <c r="W14" s="1483"/>
      <c r="X14" s="1483"/>
      <c r="Y14" s="1483"/>
      <c r="Z14" s="1483"/>
      <c r="AA14" s="1483"/>
      <c r="AB14" s="1483"/>
      <c r="AC14" s="1483"/>
      <c r="AD14" s="1483"/>
      <c r="AE14" s="1483"/>
      <c r="AF14" s="1483"/>
      <c r="AG14" s="1483"/>
      <c r="AH14" s="1483"/>
      <c r="AI14" s="1483"/>
      <c r="AJ14" s="1483"/>
      <c r="AK14" s="1483"/>
      <c r="AL14" s="1483"/>
      <c r="AM14" s="1483"/>
      <c r="AO14" s="1409"/>
      <c r="AP14" s="1409" t="str">
        <f>IF(T14="","",T14)</f>
        <v>Добавить централизованную систему для дифференциации</v>
      </c>
      <c r="AQ14" s="1409"/>
      <c r="AR14" s="1409"/>
    </row>
    <row s="8827" customFormat="1" customHeight="1" ht="0.75" hidden="1">
      <c r="A15" s="2135"/>
      <c r="B15" s="2135"/>
      <c r="C15" s="2135"/>
      <c r="D15" s="2135"/>
      <c r="E15" s="2355"/>
      <c r="F15" s="2135"/>
      <c r="G15" s="2135"/>
      <c r="H15" s="2135"/>
      <c r="I15" s="2135"/>
      <c r="J15" s="2135"/>
      <c r="K15" s="2135"/>
      <c r="L15" s="1539"/>
      <c r="M15" s="2136"/>
      <c r="N15" s="2136"/>
      <c r="O15" s="1794"/>
      <c r="P15" s="1475"/>
      <c r="Q15" s="1476"/>
      <c r="R15" s="1475"/>
      <c r="S15" s="1481"/>
      <c r="T15" s="1484" t="s">
        <v>252</v>
      </c>
      <c r="U15" s="1483"/>
      <c r="V15" s="1483"/>
      <c r="W15" s="1483"/>
      <c r="X15" s="1483"/>
      <c r="Y15" s="1483"/>
      <c r="Z15" s="1483"/>
      <c r="AA15" s="1483"/>
      <c r="AB15" s="1483"/>
      <c r="AC15" s="1483"/>
      <c r="AD15" s="1483"/>
      <c r="AE15" s="1483"/>
      <c r="AF15" s="1483"/>
      <c r="AG15" s="1483"/>
      <c r="AH15" s="1483"/>
      <c r="AI15" s="1483"/>
      <c r="AJ15" s="1483"/>
      <c r="AK15" s="1483"/>
      <c r="AL15" s="1483"/>
      <c r="AM15" s="1483"/>
      <c r="AO15" s="1409"/>
      <c r="AP15" s="1409" t="str">
        <f>IF(T15="","",T15)</f>
        <v>Добавить территорию для дифференциации</v>
      </c>
      <c r="AQ15" s="1409"/>
      <c r="AR15" s="1409"/>
    </row>
    <row customHeight="1" ht="14.25" hidden="1"/>
    <row customHeight="1" ht="14.25" hidden="1">
      <c r="AD17" s="1519"/>
      <c r="AE17" s="1519"/>
      <c r="AF17" s="1519"/>
      <c r="AG17" s="1520"/>
      <c r="AH17" s="2318"/>
      <c r="AI17" s="2317" t="s">
        <v>64</v>
      </c>
      <c r="AJ17" s="2318"/>
      <c r="AK17" s="2317" t="s">
        <v>64</v>
      </c>
    </row>
    <row customHeight="1" ht="14.25" hidden="1">
      <c r="AD18" s="1519"/>
      <c r="AE18" s="1519"/>
      <c r="AF18" s="1519"/>
      <c r="AG18" s="482" t="str">
        <f>AH17&amp;"-"&amp;AJ17</f>
        <v>-</v>
      </c>
      <c r="AH18" s="2317"/>
      <c r="AI18" s="2317"/>
      <c r="AJ18" s="2317"/>
      <c r="AK18" s="2317"/>
    </row>
    <row customHeight="1" ht="14.25" hidden="1"/>
    <row s="8834" customFormat="1" customHeight="1" ht="14.25" hidden="1">
      <c r="A20" s="1790"/>
      <c r="B20" s="1790"/>
      <c r="C20" s="1790"/>
      <c r="D20" s="1790"/>
      <c r="E20" s="1790"/>
      <c r="F20" s="1790"/>
      <c r="G20" s="1790"/>
      <c r="H20" s="1790"/>
      <c r="I20" s="1790"/>
      <c r="J20" s="1790"/>
      <c r="K20" s="1790"/>
      <c r="L20" s="2099"/>
      <c r="M20" s="2125"/>
      <c r="N20" s="2125"/>
      <c r="O20" s="1504" t="s">
        <v>415</v>
      </c>
      <c r="P20" s="1521"/>
      <c r="Q20" s="1530"/>
      <c r="R20" s="1530"/>
      <c r="S20" s="883"/>
      <c r="Z20" s="1526"/>
      <c r="AB20" s="1526"/>
      <c r="AH20" s="1526"/>
      <c r="AJ20" s="1526"/>
      <c r="AN20" s="1795"/>
      <c r="AO20" s="1795"/>
      <c r="AP20" s="1795"/>
      <c r="AQ20" s="1795"/>
      <c r="AR20" s="1795"/>
    </row>
    <row s="8834" customFormat="1" customHeight="1" ht="14.25" hidden="1">
      <c r="A21" s="1790"/>
      <c r="B21" s="1790"/>
      <c r="C21" s="1790"/>
      <c r="D21" s="1790"/>
      <c r="E21" s="1790"/>
      <c r="F21" s="1790"/>
      <c r="G21" s="1790"/>
      <c r="H21" s="1790"/>
      <c r="I21" s="1790"/>
      <c r="J21" s="1790"/>
      <c r="K21" s="1790"/>
      <c r="L21" s="2099"/>
      <c r="M21" s="2125"/>
      <c r="N21" s="2125"/>
      <c r="O21" s="2125"/>
      <c r="P21" s="1521"/>
      <c r="Q21" s="1530"/>
      <c r="R21" s="1530"/>
      <c r="S21" s="883"/>
      <c r="AN21" s="1795"/>
      <c r="AO21" s="1795"/>
      <c r="AP21" s="1795"/>
      <c r="AQ21" s="1795"/>
      <c r="AR21" s="1795"/>
    </row>
    <row s="8834" customFormat="1" customHeight="1" ht="14.25" hidden="1">
      <c r="A22" s="1790"/>
      <c r="B22" s="1790"/>
      <c r="C22" s="1790"/>
      <c r="D22" s="1790"/>
      <c r="E22" s="1790"/>
      <c r="F22" s="1790"/>
      <c r="G22" s="1790"/>
      <c r="H22" s="1790"/>
      <c r="I22" s="1790"/>
      <c r="J22" s="1790"/>
      <c r="K22" s="1790"/>
      <c r="L22" s="2099"/>
      <c r="M22" s="2125"/>
      <c r="N22" s="2125"/>
      <c r="O22" s="1469" t="s">
        <v>416</v>
      </c>
      <c r="P22" s="1521"/>
      <c r="Q22" s="1530"/>
      <c r="R22" s="1530"/>
      <c r="S22" s="883"/>
      <c r="T22" s="1525" t="s">
        <v>417</v>
      </c>
      <c r="AA22" s="749" t="s">
        <v>418</v>
      </c>
      <c r="AC22" s="749" t="s">
        <v>419</v>
      </c>
      <c r="AD22" s="1525" t="s">
        <v>417</v>
      </c>
      <c r="AI22" s="749" t="s">
        <v>420</v>
      </c>
      <c r="AK22" s="749" t="s">
        <v>419</v>
      </c>
      <c r="AN22" s="1795"/>
      <c r="AO22" s="1795"/>
      <c r="AP22" s="1795"/>
      <c r="AQ22" s="1795"/>
      <c r="AR22" s="1795"/>
    </row>
    <row customHeight="1" ht="14.25" hidden="1">
      <c r="O23" s="1469"/>
    </row>
    <row customHeight="1" ht="14.25" hidden="1">
      <c r="O24" s="1469"/>
    </row>
    <row customHeight="1" ht="14.25">
      <c r="Q25" s="530"/>
      <c r="R25" s="530"/>
      <c r="S25" s="1434"/>
      <c r="T25" s="611"/>
      <c r="U25" s="611"/>
      <c r="V25" s="1794"/>
      <c r="W25" s="1794"/>
      <c r="X25" s="1794"/>
      <c r="Y25" s="1794"/>
      <c r="Z25" s="1794"/>
      <c r="AA25" s="1794"/>
      <c r="AB25" s="1794"/>
      <c r="AC25" s="1794"/>
      <c r="AD25" s="1794"/>
      <c r="AE25" s="1794"/>
      <c r="AF25" s="1794"/>
      <c r="AG25" s="1794"/>
      <c r="AH25" s="1794"/>
      <c r="AI25" s="1794"/>
      <c r="AJ25" s="1794"/>
      <c r="AK25" s="1794"/>
    </row>
    <row customHeight="1" ht="14.25">
      <c r="Q26" s="530"/>
      <c r="R26" s="530"/>
      <c r="S26" s="2353" t="str">
        <f>IF(TEMPLATE_GROUP="P",PT_P_FORM_HEAT_4_NAME_FORM,PT_R_FORM_HEAT_21_NAME_FORM)</f>
        <v>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v>
      </c>
      <c r="T26" s="2353"/>
      <c r="U26" s="2353"/>
      <c r="V26" s="2353"/>
      <c r="W26" s="2353"/>
      <c r="X26" s="2353"/>
      <c r="Y26" s="2353"/>
      <c r="Z26" s="2353"/>
      <c r="AA26" s="2353"/>
      <c r="AB26" s="2353"/>
      <c r="AC26" s="2353"/>
      <c r="AD26" s="2353"/>
      <c r="AE26" s="2353"/>
      <c r="AF26" s="2353"/>
      <c r="AG26" s="2353"/>
      <c r="AH26" s="2353"/>
      <c r="AI26" s="2353"/>
      <c r="AJ26" s="2353"/>
      <c r="AK26" s="1401"/>
    </row>
    <row customHeight="1" ht="14.25">
      <c r="Q27" s="530"/>
      <c r="R27" s="530"/>
      <c r="S27" s="2354" t="str">
        <f>IF(org=0,"Не определено",org)</f>
        <v>АО "Теплокоммунэнерго"</v>
      </c>
      <c r="T27" s="2354"/>
      <c r="U27" s="2354"/>
      <c r="V27" s="2354"/>
      <c r="W27" s="2354"/>
      <c r="X27" s="2354"/>
      <c r="Y27" s="2354"/>
      <c r="Z27" s="2354"/>
      <c r="AA27" s="2354"/>
      <c r="AB27" s="2354"/>
      <c r="AC27" s="2354"/>
      <c r="AD27" s="2354"/>
      <c r="AE27" s="2354"/>
      <c r="AF27" s="2354"/>
      <c r="AG27" s="2354"/>
      <c r="AH27" s="2354"/>
      <c r="AI27" s="2354"/>
      <c r="AJ27" s="2354"/>
      <c r="AK27" s="1401"/>
    </row>
    <row customHeight="1" ht="14.25" hidden="1">
      <c r="Q28" s="530"/>
      <c r="R28" s="530"/>
      <c r="S28" s="1434"/>
      <c r="T28" s="611"/>
      <c r="U28" s="611"/>
      <c r="V28" s="476"/>
      <c r="W28" s="476"/>
      <c r="X28" s="476"/>
      <c r="Y28" s="476"/>
      <c r="Z28" s="476"/>
      <c r="AA28" s="476"/>
      <c r="AB28" s="476"/>
      <c r="AC28" s="476"/>
      <c r="AD28" s="476"/>
      <c r="AE28" s="476"/>
      <c r="AF28" s="476"/>
      <c r="AG28" s="476"/>
      <c r="AH28" s="476"/>
      <c r="AI28" s="476"/>
      <c r="AJ28" s="476"/>
      <c r="AK28" s="476"/>
      <c r="AL28" s="1794"/>
    </row>
    <row s="8735" customFormat="1" customHeight="1" ht="25.5" hidden="1">
      <c r="A29" s="1406"/>
      <c r="B29" s="1406"/>
      <c r="C29" s="1406"/>
      <c r="D29" s="1406"/>
      <c r="E29" s="1406"/>
      <c r="F29" s="1406"/>
      <c r="G29" s="1406"/>
      <c r="H29" s="1406"/>
      <c r="I29" s="1406"/>
      <c r="J29" s="1406"/>
      <c r="K29" s="1406"/>
      <c r="L29" s="1539"/>
      <c r="M29" s="1406"/>
      <c r="N29" s="1406"/>
      <c r="O29" s="1406"/>
      <c r="S29" s="2311" t="s">
        <v>38</v>
      </c>
      <c r="T29" s="2311"/>
      <c r="U29" s="1531"/>
      <c r="V29" s="2313" t="str">
        <f>IF(TITLE_NAME_OR_PR_CHANGE="",IF(TITLE_NAME_OR_PR="","",TITLE_NAME_OR_PR),TITLE_NAME_OR_PR_CHANGE)</f>
        <v>Региональная служба по тарифам Ростовской области</v>
      </c>
      <c r="W29" s="2313"/>
      <c r="X29" s="2313"/>
      <c r="Y29" s="2313"/>
      <c r="Z29" s="2313"/>
      <c r="AA29" s="2313"/>
      <c r="AB29" s="2313"/>
      <c r="AC29" s="1794"/>
      <c r="AD29" s="2313" t="str">
        <f>IF(TITLE_NAME_OR_PR_CHANGE="",IF(TITLE_NAME_OR_PR="","",TITLE_NAME_OR_PR),TITLE_NAME_OR_PR_CHANGE)</f>
        <v>Региональная служба по тарифам Ростовской области</v>
      </c>
      <c r="AE29" s="2313"/>
      <c r="AF29" s="2313"/>
      <c r="AG29" s="2313"/>
      <c r="AH29" s="2313"/>
      <c r="AI29" s="2313"/>
      <c r="AJ29" s="2313"/>
      <c r="AK29" s="1794"/>
      <c r="AL29" s="1794"/>
      <c r="AM29" s="434"/>
      <c r="AN29" s="522"/>
      <c r="AO29" s="522"/>
      <c r="AP29" s="522"/>
      <c r="AQ29" s="522"/>
      <c r="AR29" s="522"/>
    </row>
    <row s="8735" customFormat="1" customHeight="1" ht="18.75" hidden="1">
      <c r="A30" s="1406"/>
      <c r="B30" s="1406"/>
      <c r="C30" s="1406"/>
      <c r="D30" s="1406"/>
      <c r="E30" s="1406"/>
      <c r="F30" s="1406"/>
      <c r="G30" s="1406"/>
      <c r="H30" s="1406"/>
      <c r="I30" s="1406"/>
      <c r="J30" s="1406"/>
      <c r="K30" s="1406"/>
      <c r="L30" s="1539"/>
      <c r="M30" s="1406"/>
      <c r="N30" s="1406"/>
      <c r="O30" s="1406"/>
      <c r="S30" s="2311" t="s">
        <v>421</v>
      </c>
      <c r="T30" s="2311"/>
      <c r="U30" s="1531"/>
      <c r="V30" s="2312" t="str">
        <f>IF(TITLE_DATE_PR_CHANGE="",IF(TITLE_DATE_PR="","",TITLE_DATE_PR),TITLE_DATE_PR_CHANGE)</f>
        <v>45279</v>
      </c>
      <c r="W30" s="2312"/>
      <c r="X30" s="2312"/>
      <c r="Y30" s="2312"/>
      <c r="Z30" s="2312"/>
      <c r="AA30" s="2312"/>
      <c r="AB30" s="2312"/>
      <c r="AC30" s="1794"/>
      <c r="AD30" s="2312" t="str">
        <f>IF(TITLE_DATE_PR_CHANGE="",IF(TITLE_DATE_PR="","",TITLE_DATE_PR),TITLE_DATE_PR_CHANGE)</f>
        <v>45279</v>
      </c>
      <c r="AE30" s="2312"/>
      <c r="AF30" s="2312"/>
      <c r="AG30" s="2312"/>
      <c r="AH30" s="2312"/>
      <c r="AI30" s="2312"/>
      <c r="AJ30" s="2312"/>
      <c r="AK30" s="1794"/>
      <c r="AL30" s="1794"/>
      <c r="AM30" s="434"/>
      <c r="AN30" s="522"/>
      <c r="AO30" s="522"/>
      <c r="AP30" s="522"/>
      <c r="AQ30" s="522"/>
      <c r="AR30" s="522"/>
    </row>
    <row s="8735" customFormat="1" customHeight="1" ht="18.75" hidden="1">
      <c r="A31" s="1406"/>
      <c r="B31" s="1406"/>
      <c r="C31" s="1406"/>
      <c r="D31" s="1406"/>
      <c r="E31" s="1406"/>
      <c r="F31" s="1406"/>
      <c r="G31" s="1406"/>
      <c r="H31" s="1406"/>
      <c r="I31" s="1406"/>
      <c r="J31" s="1406"/>
      <c r="K31" s="1406"/>
      <c r="L31" s="1539"/>
      <c r="M31" s="1406"/>
      <c r="N31" s="1406"/>
      <c r="O31" s="1406"/>
      <c r="S31" s="2311" t="s">
        <v>422</v>
      </c>
      <c r="T31" s="2311"/>
      <c r="U31" s="1531"/>
      <c r="V31" s="2313" t="str">
        <f>IF(TITLE_NUMBER_PR_CHANGE="",IF(TITLE_NUMBER_PR="","",TITLE_NUMBER_PR),TITLE_NUMBER_PR_CHANGE)</f>
        <v>877</v>
      </c>
      <c r="W31" s="2313"/>
      <c r="X31" s="2313"/>
      <c r="Y31" s="2313"/>
      <c r="Z31" s="2313"/>
      <c r="AA31" s="2313"/>
      <c r="AB31" s="2313"/>
      <c r="AC31" s="1794"/>
      <c r="AD31" s="2313" t="str">
        <f>IF(TITLE_NUMBER_PR_CHANGE="",IF(TITLE_NUMBER_PR="","",TITLE_NUMBER_PR),TITLE_NUMBER_PR_CHANGE)</f>
        <v>877</v>
      </c>
      <c r="AE31" s="2313"/>
      <c r="AF31" s="2313"/>
      <c r="AG31" s="2313"/>
      <c r="AH31" s="2313"/>
      <c r="AI31" s="2313"/>
      <c r="AJ31" s="2313"/>
      <c r="AK31" s="1794"/>
      <c r="AL31" s="1794"/>
      <c r="AM31" s="434"/>
      <c r="AN31" s="522"/>
      <c r="AO31" s="522"/>
      <c r="AP31" s="522"/>
      <c r="AQ31" s="522"/>
      <c r="AR31" s="522"/>
    </row>
    <row s="8735" customFormat="1" customHeight="1" ht="18.75" hidden="1">
      <c r="A32" s="1406"/>
      <c r="B32" s="1406"/>
      <c r="C32" s="1406"/>
      <c r="D32" s="1406"/>
      <c r="E32" s="1406"/>
      <c r="F32" s="1406"/>
      <c r="G32" s="1406"/>
      <c r="H32" s="1406"/>
      <c r="I32" s="1406"/>
      <c r="J32" s="1406"/>
      <c r="K32" s="1406"/>
      <c r="L32" s="1539"/>
      <c r="M32" s="1406"/>
      <c r="N32" s="1406"/>
      <c r="O32" s="1406"/>
      <c r="S32" s="2311" t="s">
        <v>40</v>
      </c>
      <c r="T32" s="2311"/>
      <c r="U32" s="1531"/>
      <c r="V32" s="2313" t="str">
        <f>IF(TITLE_IST_PUB_CHANGE="",IF(TITLE_IST_PUB="","",TITLE_IST_PUB),TITLE_IST_PUB_CHANGE)</f>
        <v>Официальный портал правовой информации Ростовской области</v>
      </c>
      <c r="W32" s="2313"/>
      <c r="X32" s="2313"/>
      <c r="Y32" s="2313"/>
      <c r="Z32" s="2313"/>
      <c r="AA32" s="2313"/>
      <c r="AB32" s="2313"/>
      <c r="AC32" s="1794"/>
      <c r="AD32" s="2313" t="str">
        <f>IF(TITLE_IST_PUB_CHANGE="",IF(TITLE_IST_PUB="","",TITLE_IST_PUB),TITLE_IST_PUB_CHANGE)</f>
        <v>Официальный портал правовой информации Ростовской области</v>
      </c>
      <c r="AE32" s="2313"/>
      <c r="AF32" s="2313"/>
      <c r="AG32" s="2313"/>
      <c r="AH32" s="2313"/>
      <c r="AI32" s="2313"/>
      <c r="AJ32" s="2313"/>
      <c r="AK32" s="1794"/>
      <c r="AL32" s="1794"/>
      <c r="AM32" s="434"/>
      <c r="AN32" s="522"/>
      <c r="AO32" s="522"/>
      <c r="AP32" s="522"/>
      <c r="AQ32" s="522"/>
      <c r="AR32" s="522"/>
    </row>
    <row customHeight="1" ht="14.25" hidden="1">
      <c r="Q33" s="530"/>
      <c r="R33" s="530"/>
      <c r="S33" s="1434"/>
      <c r="T33" s="611"/>
      <c r="U33" s="611"/>
      <c r="V33" s="476"/>
      <c r="W33" s="476"/>
      <c r="X33" s="476"/>
      <c r="Y33" s="476"/>
      <c r="Z33" s="476"/>
      <c r="AA33" s="476"/>
      <c r="AB33" s="476"/>
      <c r="AC33" s="476"/>
      <c r="AD33" s="476"/>
      <c r="AE33" s="476"/>
      <c r="AF33" s="476"/>
      <c r="AG33" s="476"/>
      <c r="AH33" s="476"/>
      <c r="AI33" s="476"/>
      <c r="AJ33" s="476"/>
      <c r="AK33" s="476"/>
      <c r="AL33" s="1794"/>
    </row>
    <row s="8735" customFormat="1" customHeight="1" ht="18.75" hidden="1">
      <c r="A34" s="1406"/>
      <c r="B34" s="1406"/>
      <c r="C34" s="1406"/>
      <c r="D34" s="1406"/>
      <c r="E34" s="1406"/>
      <c r="F34" s="1406"/>
      <c r="G34" s="1406"/>
      <c r="H34" s="1406"/>
      <c r="I34" s="1406"/>
      <c r="J34" s="1406"/>
      <c r="K34" s="1406"/>
      <c r="L34" s="1539"/>
      <c r="M34" s="1406"/>
      <c r="N34" s="1406"/>
      <c r="O34" s="1406"/>
      <c r="S34" s="2311" t="s">
        <v>423</v>
      </c>
      <c r="T34" s="2311"/>
      <c r="U34" s="1531"/>
      <c r="V34" s="2312" t="str">
        <f>IF(TITLE_DATE_PR_CHANGE="",IF(TITLE_DATE_PR="","",TITLE_DATE_PR),TITLE_DATE_PR_CHANGE)</f>
        <v>45279</v>
      </c>
      <c r="W34" s="2312"/>
      <c r="X34" s="2312"/>
      <c r="Y34" s="2312"/>
      <c r="Z34" s="2312"/>
      <c r="AA34" s="2312"/>
      <c r="AB34" s="2312"/>
      <c r="AC34" s="1794"/>
      <c r="AD34" s="2312" t="str">
        <f>IF(TITLE_DATE_PR_CHANGE="",IF(TITLE_DATE_PR="","",TITLE_DATE_PR),TITLE_DATE_PR_CHANGE)</f>
        <v>45279</v>
      </c>
      <c r="AE34" s="2312"/>
      <c r="AF34" s="2312"/>
      <c r="AG34" s="2312"/>
      <c r="AH34" s="2312"/>
      <c r="AI34" s="2312"/>
      <c r="AJ34" s="2312"/>
      <c r="AK34" s="1794"/>
      <c r="AL34" s="1794"/>
      <c r="AM34" s="434"/>
      <c r="AN34" s="522"/>
      <c r="AO34" s="522"/>
      <c r="AP34" s="522"/>
      <c r="AQ34" s="522"/>
      <c r="AR34" s="522"/>
    </row>
    <row s="8735" customFormat="1" customHeight="1" ht="18.75" hidden="1">
      <c r="A35" s="1406"/>
      <c r="B35" s="1406"/>
      <c r="C35" s="1406"/>
      <c r="D35" s="1406"/>
      <c r="E35" s="1406"/>
      <c r="F35" s="1406"/>
      <c r="G35" s="1406"/>
      <c r="H35" s="1406"/>
      <c r="I35" s="1406"/>
      <c r="J35" s="1406"/>
      <c r="K35" s="1406"/>
      <c r="L35" s="1539"/>
      <c r="M35" s="1406"/>
      <c r="N35" s="1406"/>
      <c r="O35" s="1406"/>
      <c r="S35" s="2311" t="s">
        <v>424</v>
      </c>
      <c r="T35" s="2311"/>
      <c r="U35" s="1531"/>
      <c r="V35" s="2313" t="str">
        <f>IF(TITLE_NUMBER_PR_CHANGE="",IF(TITLE_NUMBER_PR="","",TITLE_NUMBER_PR),TITLE_NUMBER_PR_CHANGE)</f>
        <v>877</v>
      </c>
      <c r="W35" s="2313"/>
      <c r="X35" s="2313"/>
      <c r="Y35" s="2313"/>
      <c r="Z35" s="2313"/>
      <c r="AA35" s="2313"/>
      <c r="AB35" s="2313"/>
      <c r="AC35" s="1794"/>
      <c r="AD35" s="2313" t="str">
        <f>IF(TITLE_NUMBER_PR_CHANGE="",IF(TITLE_NUMBER_PR="","",TITLE_NUMBER_PR),TITLE_NUMBER_PR_CHANGE)</f>
        <v>877</v>
      </c>
      <c r="AE35" s="2313"/>
      <c r="AF35" s="2313"/>
      <c r="AG35" s="2313"/>
      <c r="AH35" s="2313"/>
      <c r="AI35" s="2313"/>
      <c r="AJ35" s="2313"/>
      <c r="AK35" s="1794"/>
      <c r="AL35" s="1794"/>
      <c r="AM35" s="434"/>
      <c r="AN35" s="522"/>
      <c r="AO35" s="522"/>
      <c r="AP35" s="522"/>
      <c r="AQ35" s="522"/>
      <c r="AR35" s="522"/>
    </row>
    <row s="8735" customFormat="1" customHeight="1" ht="0">
      <c r="A36" s="1406"/>
      <c r="B36" s="1406"/>
      <c r="C36" s="1406"/>
      <c r="D36" s="1406"/>
      <c r="E36" s="1406"/>
      <c r="F36" s="1406"/>
      <c r="G36" s="1406"/>
      <c r="H36" s="1406"/>
      <c r="I36" s="1406"/>
      <c r="J36" s="1406"/>
      <c r="K36" s="1406"/>
      <c r="L36" s="1539"/>
      <c r="M36" s="1406"/>
      <c r="N36" s="1406"/>
      <c r="O36" s="1406"/>
      <c r="S36" s="1794"/>
      <c r="T36" s="1794"/>
      <c r="U36" s="2130"/>
      <c r="V36" s="1794"/>
      <c r="W36" s="1794"/>
      <c r="X36" s="1794"/>
      <c r="Y36" s="1794"/>
      <c r="Z36" s="1794"/>
      <c r="AA36" s="1794"/>
      <c r="AB36" s="1794"/>
      <c r="AC36" s="1801" t="s">
        <v>425</v>
      </c>
      <c r="AD36" s="1794"/>
      <c r="AE36" s="1794"/>
      <c r="AF36" s="1794"/>
      <c r="AG36" s="1794"/>
      <c r="AH36" s="1794"/>
      <c r="AI36" s="1794"/>
      <c r="AJ36" s="1794"/>
      <c r="AK36" s="1801" t="s">
        <v>425</v>
      </c>
      <c r="AN36" s="522"/>
      <c r="AO36" s="522"/>
      <c r="AP36" s="522"/>
      <c r="AQ36" s="522"/>
      <c r="AR36" s="522"/>
    </row>
    <row customHeight="1" ht="14.25">
      <c r="Q37" s="530"/>
      <c r="R37" s="530"/>
      <c r="S37" s="1434"/>
      <c r="T37" s="611"/>
      <c r="U37" s="1402"/>
      <c r="V37" s="2337"/>
      <c r="W37" s="2337"/>
      <c r="X37" s="2337"/>
      <c r="Y37" s="2337"/>
      <c r="Z37" s="2337"/>
      <c r="AA37" s="2337"/>
      <c r="AB37" s="2337"/>
      <c r="AC37" s="2337"/>
      <c r="AD37" s="2337"/>
      <c r="AE37" s="2337"/>
      <c r="AF37" s="2337"/>
      <c r="AG37" s="2337"/>
      <c r="AH37" s="2337"/>
      <c r="AI37" s="2337"/>
      <c r="AJ37" s="2337"/>
      <c r="AK37" s="2337"/>
    </row>
    <row customHeight="1" ht="14.25">
      <c r="Q38" s="530"/>
      <c r="R38" s="530"/>
      <c r="S38" s="2185" t="s">
        <v>300</v>
      </c>
      <c r="T38" s="2185"/>
      <c r="U38" s="2185"/>
      <c r="V38" s="2185"/>
      <c r="W38" s="2185"/>
      <c r="X38" s="2185"/>
      <c r="Y38" s="2185"/>
      <c r="Z38" s="2185"/>
      <c r="AA38" s="2185"/>
      <c r="AB38" s="2185"/>
      <c r="AC38" s="2185"/>
      <c r="AD38" s="2185"/>
      <c r="AE38" s="2185"/>
      <c r="AF38" s="2185"/>
      <c r="AG38" s="2185"/>
      <c r="AH38" s="2185"/>
      <c r="AI38" s="2185"/>
      <c r="AJ38" s="2185"/>
      <c r="AK38" s="2185"/>
      <c r="AL38" s="2185"/>
      <c r="AM38" s="2185" t="s">
        <v>301</v>
      </c>
    </row>
    <row customHeight="1" ht="14.25">
      <c r="Q39" s="530"/>
      <c r="R39" s="530"/>
      <c r="S39" s="2338" t="s">
        <v>85</v>
      </c>
      <c r="T39" s="2275" t="s">
        <v>426</v>
      </c>
      <c r="U39" s="491"/>
      <c r="V39" s="2339" t="s">
        <v>427</v>
      </c>
      <c r="W39" s="2340"/>
      <c r="X39" s="2340"/>
      <c r="Y39" s="2340"/>
      <c r="Z39" s="2340"/>
      <c r="AA39" s="2340"/>
      <c r="AB39" s="2341"/>
      <c r="AC39" s="2342" t="s">
        <v>428</v>
      </c>
      <c r="AD39" s="2339" t="s">
        <v>427</v>
      </c>
      <c r="AE39" s="2340"/>
      <c r="AF39" s="2340"/>
      <c r="AG39" s="2340"/>
      <c r="AH39" s="2340"/>
      <c r="AI39" s="2340"/>
      <c r="AJ39" s="2341"/>
      <c r="AK39" s="2342" t="s">
        <v>429</v>
      </c>
      <c r="AL39" s="2345" t="s">
        <v>430</v>
      </c>
      <c r="AM39" s="2185"/>
    </row>
    <row customHeight="1" ht="33.75">
      <c r="Q40" s="530"/>
      <c r="R40" s="530"/>
      <c r="S40" s="2338"/>
      <c r="T40" s="2275"/>
      <c r="U40" s="1186"/>
      <c r="V40" s="2348" t="s">
        <v>431</v>
      </c>
      <c r="W40" s="2329" t="s">
        <v>432</v>
      </c>
      <c r="X40" s="2331" t="s">
        <v>433</v>
      </c>
      <c r="Y40" s="2333"/>
      <c r="Z40" s="2331" t="s">
        <v>446</v>
      </c>
      <c r="AA40" s="2332"/>
      <c r="AB40" s="2333"/>
      <c r="AC40" s="2343"/>
      <c r="AD40" s="2348" t="s">
        <v>431</v>
      </c>
      <c r="AE40" s="2329" t="s">
        <v>432</v>
      </c>
      <c r="AF40" s="2331" t="s">
        <v>433</v>
      </c>
      <c r="AG40" s="2333"/>
      <c r="AH40" s="2331" t="s">
        <v>434</v>
      </c>
      <c r="AI40" s="2332"/>
      <c r="AJ40" s="2333"/>
      <c r="AK40" s="2343"/>
      <c r="AL40" s="2346"/>
      <c r="AM40" s="2185"/>
    </row>
    <row customHeight="1" ht="33.75">
      <c r="A41" s="1425"/>
      <c r="B41" s="1425" t="s">
        <v>132</v>
      </c>
      <c r="C41" s="1425" t="s">
        <v>133</v>
      </c>
      <c r="D41" s="1425" t="s">
        <v>134</v>
      </c>
      <c r="E41" s="1469" t="s">
        <v>435</v>
      </c>
      <c r="F41" s="1469" t="s">
        <v>436</v>
      </c>
      <c r="G41" s="1469" t="s">
        <v>437</v>
      </c>
      <c r="H41" s="1469" t="s">
        <v>438</v>
      </c>
      <c r="I41" s="1469" t="s">
        <v>439</v>
      </c>
      <c r="J41" s="1469" t="s">
        <v>440</v>
      </c>
      <c r="K41" s="1469" t="s">
        <v>441</v>
      </c>
      <c r="L41" s="1469" t="s">
        <v>416</v>
      </c>
      <c r="Q41" s="530"/>
      <c r="R41" s="530"/>
      <c r="S41" s="2338"/>
      <c r="T41" s="2275"/>
      <c r="U41" s="456"/>
      <c r="V41" s="2349"/>
      <c r="W41" s="2330"/>
      <c r="X41" s="2098" t="s">
        <v>442</v>
      </c>
      <c r="Y41" s="2098" t="s">
        <v>443</v>
      </c>
      <c r="Z41" s="2098" t="s">
        <v>444</v>
      </c>
      <c r="AA41" s="2334" t="s">
        <v>445</v>
      </c>
      <c r="AB41" s="2335"/>
      <c r="AC41" s="2344"/>
      <c r="AD41" s="2349"/>
      <c r="AE41" s="2330"/>
      <c r="AF41" s="2098" t="s">
        <v>442</v>
      </c>
      <c r="AG41" s="2098" t="s">
        <v>443</v>
      </c>
      <c r="AH41" s="2098" t="s">
        <v>444</v>
      </c>
      <c r="AI41" s="2334" t="s">
        <v>445</v>
      </c>
      <c r="AJ41" s="2335"/>
      <c r="AK41" s="2344"/>
      <c r="AL41" s="2347"/>
      <c r="AM41" s="2185"/>
    </row>
    <row s="8844" customFormat="1" customHeight="1" ht="11.25" hidden="1">
      <c r="A42" s="1425"/>
      <c r="B42" s="1425"/>
      <c r="C42" s="1425"/>
      <c r="D42" s="1425"/>
      <c r="E42" s="1425"/>
      <c r="F42" s="1425"/>
      <c r="G42" s="1425"/>
      <c r="H42" s="1425"/>
      <c r="I42" s="1425"/>
      <c r="J42" s="1425"/>
      <c r="K42" s="1425"/>
      <c r="L42" s="1469"/>
      <c r="M42" s="2125"/>
      <c r="N42" s="2125"/>
      <c r="O42" s="2125"/>
      <c r="P42" s="1404"/>
      <c r="Q42" s="1405"/>
      <c r="R42" s="1412">
        <v>1</v>
      </c>
      <c r="S42" s="1436" t="s">
        <v>106</v>
      </c>
      <c r="T42" s="1413" t="s">
        <v>107</v>
      </c>
      <c r="U42" s="1403" t="str">
        <f>OFFSET(U42,0,-1)</f>
        <v>2</v>
      </c>
      <c r="V42" s="2116">
        <f>OFFSET(V42,0,-1)+1</f>
        <v>3</v>
      </c>
      <c r="W42" s="2116"/>
      <c r="X42" s="2116">
        <f>OFFSET(X42,0,-1)+1</f>
        <v>1</v>
      </c>
      <c r="Y42" s="2116">
        <f>OFFSET(Y42,0,-1)+1</f>
        <v>2</v>
      </c>
      <c r="Z42" s="2116">
        <f>OFFSET(Z42,0,-1)+1</f>
        <v>3</v>
      </c>
      <c r="AA42" s="2336">
        <f>OFFSET(AA42,0,-1)+1</f>
        <v>4</v>
      </c>
      <c r="AB42" s="2336"/>
      <c r="AC42" s="2116">
        <f>OFFSET(AC42,0,-2)+1</f>
        <v>5</v>
      </c>
      <c r="AD42" s="2116">
        <f>OFFSET(AD42,0,-1)+1</f>
        <v>6</v>
      </c>
      <c r="AE42" s="2116"/>
      <c r="AF42" s="2116">
        <f>OFFSET(AF42,0,-1)+1</f>
        <v>1</v>
      </c>
      <c r="AG42" s="2116">
        <f>OFFSET(AG42,0,-1)+1</f>
        <v>2</v>
      </c>
      <c r="AH42" s="2116">
        <f>OFFSET(AH42,0,-1)+1</f>
        <v>3</v>
      </c>
      <c r="AI42" s="2336">
        <f>OFFSET(AI42,0,-1)+1</f>
        <v>4</v>
      </c>
      <c r="AJ42" s="2336"/>
      <c r="AK42" s="2116">
        <f>OFFSET(AK42,0,-2)+1</f>
        <v>5</v>
      </c>
      <c r="AL42" s="1403">
        <f>OFFSET(AL42,0,-1)</f>
        <v>5</v>
      </c>
      <c r="AM42" s="2116">
        <f>OFFSET(AM42,0,-1)+1</f>
        <v>6</v>
      </c>
      <c r="AN42" s="1795"/>
      <c r="AO42" s="1795"/>
      <c r="AP42" s="1795"/>
      <c r="AQ42" s="1795"/>
      <c r="AR42" s="1795"/>
    </row>
    <row customHeight="1" ht="21">
      <c r="A43" s="1426" t="s">
        <v>207</v>
      </c>
      <c r="B43" s="1426"/>
      <c r="C43" s="1426"/>
      <c r="D43" s="1426"/>
      <c r="E43" s="2355">
        <v>1</v>
      </c>
      <c r="F43" s="1426"/>
      <c r="G43" s="1426"/>
      <c r="H43" s="1426"/>
      <c r="I43" s="1426"/>
      <c r="J43" s="1426"/>
      <c r="K43" s="1426"/>
      <c r="L43" s="1469"/>
      <c r="M43" s="1769"/>
      <c r="N43" s="1769"/>
      <c r="O43" s="1769"/>
      <c r="P43" s="1749"/>
      <c r="Q43" s="514"/>
      <c r="R43" s="509"/>
      <c r="S43" s="2118">
        <f>INDEX(PT_DIFFERENTIATION_NUM_NTAR,MATCH(A43,PT_DIFFERENTIATION_NTAR_ID,0))</f>
        <v>0</v>
      </c>
      <c r="T43" s="1684" t="s">
        <v>120</v>
      </c>
      <c r="U43" s="454"/>
      <c r="V43" s="2314"/>
      <c r="W43" s="2315"/>
      <c r="X43" s="2315"/>
      <c r="Y43" s="2315"/>
      <c r="Z43" s="2315"/>
      <c r="AA43" s="2315"/>
      <c r="AB43" s="2315"/>
      <c r="AC43" s="2316"/>
      <c r="AD43" s="2314" t="str">
        <f>INDEX(PT_DIFFERENTIATION_NTAR,MATCH(A43,PT_DIFFERENTIATION_NTAR_ID,0))</f>
        <v/>
      </c>
      <c r="AE43" s="2315"/>
      <c r="AF43" s="2315"/>
      <c r="AG43" s="2315"/>
      <c r="AH43" s="2315"/>
      <c r="AI43" s="2315"/>
      <c r="AJ43" s="2315"/>
      <c r="AK43" s="2315"/>
      <c r="AL43" s="2316"/>
      <c r="AM43" s="1416"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O43" s="1783"/>
      <c r="AP43" s="1783" t="str">
        <f>IF(T43="","",T43)</f>
        <v>Наименование тарифа</v>
      </c>
      <c r="AQ43" s="1783"/>
      <c r="AR43" s="1783"/>
    </row>
    <row customHeight="1" ht="21">
      <c r="A44" s="1426" t="s">
        <v>207</v>
      </c>
      <c r="B44" s="1426" t="s">
        <v>208</v>
      </c>
      <c r="C44" s="1426"/>
      <c r="D44" s="1426"/>
      <c r="E44" s="2356"/>
      <c r="F44" s="2355">
        <v>1</v>
      </c>
      <c r="G44" s="1426"/>
      <c r="H44" s="1426"/>
      <c r="I44" s="1426"/>
      <c r="J44" s="1426"/>
      <c r="K44" s="1426"/>
      <c r="L44" s="1469"/>
      <c r="M44" s="1769"/>
      <c r="N44" s="1769"/>
      <c r="O44" s="1769"/>
      <c r="P44" s="2100"/>
      <c r="Q44" s="506"/>
      <c r="R44" s="507"/>
      <c r="S44" s="2118" t="str">
        <f>INDEX(PT_DIFFERENTIATION_NUM_TER,MATCH(B44,PT_DIFFERENTIATION_TER_ID,0))</f>
        <v>.</v>
      </c>
      <c r="T44" s="1681" t="s">
        <v>397</v>
      </c>
      <c r="U44" s="454"/>
      <c r="V44" s="2314"/>
      <c r="W44" s="2315"/>
      <c r="X44" s="2315"/>
      <c r="Y44" s="2315"/>
      <c r="Z44" s="2315"/>
      <c r="AA44" s="2315"/>
      <c r="AB44" s="2315"/>
      <c r="AC44" s="2316"/>
      <c r="AD44" s="2314" t="str">
        <f>INDEX(PT_DIFFERENTIATION_TER,MATCH(B44,PT_DIFFERENTIATION_TER_ID,0))</f>
        <v/>
      </c>
      <c r="AE44" s="2315"/>
      <c r="AF44" s="2315"/>
      <c r="AG44" s="2315"/>
      <c r="AH44" s="2315"/>
      <c r="AI44" s="2315"/>
      <c r="AJ44" s="2315"/>
      <c r="AK44" s="2315"/>
      <c r="AL44" s="2316"/>
      <c r="AM44" s="1416" t="s">
        <v>398</v>
      </c>
      <c r="AO44" s="1783"/>
      <c r="AP44" s="1783" t="str">
        <f>IF(T44="","",T44)</f>
        <v>Территория действия тарифа</v>
      </c>
      <c r="AQ44" s="1783"/>
      <c r="AR44" s="1783"/>
    </row>
    <row customHeight="1" ht="23.25">
      <c r="A45" s="1426" t="s">
        <v>207</v>
      </c>
      <c r="B45" s="1426" t="s">
        <v>208</v>
      </c>
      <c r="C45" s="1426" t="s">
        <v>209</v>
      </c>
      <c r="D45" s="1426"/>
      <c r="E45" s="2356"/>
      <c r="F45" s="2356"/>
      <c r="G45" s="2355">
        <v>1</v>
      </c>
      <c r="H45" s="1426"/>
      <c r="I45" s="1426"/>
      <c r="J45" s="1426"/>
      <c r="K45" s="1426"/>
      <c r="L45" s="1469"/>
      <c r="M45" s="1769"/>
      <c r="N45" s="1769"/>
      <c r="O45" s="1769"/>
      <c r="P45" s="508"/>
      <c r="Q45" s="506"/>
      <c r="R45" s="507"/>
      <c r="S45" s="2118" t="str">
        <f>INDEX(PT_DIFFERENTIATION_NUM_CS,MATCH(C45,PT_DIFFERENTIATION_CS_ID,0))</f>
        <v>..</v>
      </c>
      <c r="T45" s="463" t="s">
        <v>399</v>
      </c>
      <c r="U45" s="454"/>
      <c r="V45" s="2314"/>
      <c r="W45" s="2315"/>
      <c r="X45" s="2315"/>
      <c r="Y45" s="2315"/>
      <c r="Z45" s="2315"/>
      <c r="AA45" s="2315"/>
      <c r="AB45" s="2315"/>
      <c r="AC45" s="2316"/>
      <c r="AD45" s="2314" t="str">
        <f>INDEX(PT_DIFFERENTIATION_CS,MATCH(C45,PT_DIFFERENTIATION_CS_ID,0))</f>
        <v/>
      </c>
      <c r="AE45" s="2315"/>
      <c r="AF45" s="2315"/>
      <c r="AG45" s="2315"/>
      <c r="AH45" s="2315"/>
      <c r="AI45" s="2315"/>
      <c r="AJ45" s="2315"/>
      <c r="AK45" s="2315"/>
      <c r="AL45" s="2316"/>
      <c r="AM45" s="1416" t="s">
        <v>400</v>
      </c>
      <c r="AO45" s="1783"/>
      <c r="AP45" s="1783" t="str">
        <f>IF(T45="","",T45)</f>
        <v>Наименование системы теплоснабжения </v>
      </c>
      <c r="AQ45" s="1783"/>
      <c r="AR45" s="1783"/>
    </row>
    <row customHeight="1" ht="21">
      <c r="A46" s="1426" t="s">
        <v>207</v>
      </c>
      <c r="B46" s="1426" t="s">
        <v>208</v>
      </c>
      <c r="C46" s="1426" t="s">
        <v>209</v>
      </c>
      <c r="D46" s="1426" t="s">
        <v>210</v>
      </c>
      <c r="E46" s="2356"/>
      <c r="F46" s="2356"/>
      <c r="G46" s="2356"/>
      <c r="H46" s="2355">
        <v>1</v>
      </c>
      <c r="I46" s="1426"/>
      <c r="J46" s="1426"/>
      <c r="K46" s="1426"/>
      <c r="L46" s="1469"/>
      <c r="M46" s="1769"/>
      <c r="N46" s="1769"/>
      <c r="O46" s="1769"/>
      <c r="P46" s="508"/>
      <c r="Q46" s="506"/>
      <c r="R46" s="507"/>
      <c r="S46" s="2118" t="str">
        <f>INDEX(PT_DIFFERENTIATION_NUM_IST_TE,MATCH(D46,PT_DIFFERENTIATION_IST_TE_ID,0))</f>
        <v>...</v>
      </c>
      <c r="T46" s="464" t="s">
        <v>401</v>
      </c>
      <c r="U46" s="454"/>
      <c r="V46" s="2314"/>
      <c r="W46" s="2315"/>
      <c r="X46" s="2315"/>
      <c r="Y46" s="2315"/>
      <c r="Z46" s="2315"/>
      <c r="AA46" s="2315"/>
      <c r="AB46" s="2315"/>
      <c r="AC46" s="2316"/>
      <c r="AD46" s="2314" t="str">
        <f>INDEX(PT_DIFFERENTIATION_IST_TE,MATCH(D46,PT_DIFFERENTIATION_IST_TE_ID,0))</f>
        <v/>
      </c>
      <c r="AE46" s="2315"/>
      <c r="AF46" s="2315"/>
      <c r="AG46" s="2315"/>
      <c r="AH46" s="2315"/>
      <c r="AI46" s="2315"/>
      <c r="AJ46" s="2315"/>
      <c r="AK46" s="2315"/>
      <c r="AL46" s="2316"/>
      <c r="AM46" s="1416" t="s">
        <v>402</v>
      </c>
      <c r="AO46" s="1783"/>
      <c r="AP46" s="1783" t="str">
        <f>IF(T46="","",T46)</f>
        <v>Источник тепловой энергии  </v>
      </c>
      <c r="AQ46" s="1783"/>
      <c r="AR46" s="1783"/>
    </row>
    <row customHeight="1" ht="47.25">
      <c r="A47" s="1426" t="s">
        <v>207</v>
      </c>
      <c r="B47" s="1426" t="s">
        <v>208</v>
      </c>
      <c r="C47" s="1426" t="s">
        <v>209</v>
      </c>
      <c r="D47" s="1426" t="s">
        <v>210</v>
      </c>
      <c r="E47" s="2356"/>
      <c r="F47" s="2356"/>
      <c r="G47" s="2356"/>
      <c r="H47" s="2356"/>
      <c r="I47" s="2185" t="str">
        <f>S46&amp;".1"</f>
        <v>....1</v>
      </c>
      <c r="J47" s="1426"/>
      <c r="K47" s="1426"/>
      <c r="L47" s="1469" t="s">
        <v>403</v>
      </c>
      <c r="P47" s="2324">
        <v>1</v>
      </c>
      <c r="Q47" s="2114"/>
      <c r="R47" s="510"/>
      <c r="S47" s="2118" t="str">
        <f>$I47</f>
        <v>....1</v>
      </c>
      <c r="T47" s="439" t="s">
        <v>404</v>
      </c>
      <c r="U47" s="454"/>
      <c r="V47" s="2308"/>
      <c r="W47" s="2309"/>
      <c r="X47" s="2309"/>
      <c r="Y47" s="2309"/>
      <c r="Z47" s="2309"/>
      <c r="AA47" s="2309"/>
      <c r="AB47" s="2309"/>
      <c r="AC47" s="2310"/>
      <c r="AD47" s="2308"/>
      <c r="AE47" s="2309"/>
      <c r="AF47" s="2309"/>
      <c r="AG47" s="2309"/>
      <c r="AH47" s="2309"/>
      <c r="AI47" s="2309"/>
      <c r="AJ47" s="2309"/>
      <c r="AK47" s="2309"/>
      <c r="AL47" s="2310"/>
      <c r="AM47" s="1416" t="s">
        <v>405</v>
      </c>
      <c r="AO47" s="1783"/>
      <c r="AP47" s="1783" t="str">
        <f>IF(T47="","",T47)</f>
        <v>Схема подключения теплопотребляющей установки к коллектору источника тепловой энергии</v>
      </c>
      <c r="AQ47" s="1783"/>
      <c r="AR47" s="1783"/>
    </row>
    <row customHeight="1" ht="21">
      <c r="A48" s="1426" t="s">
        <v>207</v>
      </c>
      <c r="B48" s="1426" t="s">
        <v>208</v>
      </c>
      <c r="C48" s="1426" t="s">
        <v>209</v>
      </c>
      <c r="D48" s="1426" t="s">
        <v>210</v>
      </c>
      <c r="E48" s="2356"/>
      <c r="F48" s="2356"/>
      <c r="G48" s="2356"/>
      <c r="H48" s="2356"/>
      <c r="I48" s="2169"/>
      <c r="J48" s="2185" t="str">
        <f>I47&amp;".1"</f>
        <v>....1.1</v>
      </c>
      <c r="K48" s="1426"/>
      <c r="L48" s="1469" t="s">
        <v>406</v>
      </c>
      <c r="P48" s="2324"/>
      <c r="Q48" s="2324">
        <v>1</v>
      </c>
      <c r="R48" s="511"/>
      <c r="S48" s="2118" t="str">
        <f>$J48</f>
        <v>....1.1</v>
      </c>
      <c r="T48" s="440" t="s">
        <v>407</v>
      </c>
      <c r="U48" s="454"/>
      <c r="V48" s="2308"/>
      <c r="W48" s="2309"/>
      <c r="X48" s="2309"/>
      <c r="Y48" s="2309"/>
      <c r="Z48" s="2309"/>
      <c r="AA48" s="2309"/>
      <c r="AB48" s="2309"/>
      <c r="AC48" s="2310"/>
      <c r="AD48" s="2308"/>
      <c r="AE48" s="2309"/>
      <c r="AF48" s="2309"/>
      <c r="AG48" s="2309"/>
      <c r="AH48" s="2309"/>
      <c r="AI48" s="2309"/>
      <c r="AJ48" s="2309"/>
      <c r="AK48" s="2309"/>
      <c r="AL48" s="2310"/>
      <c r="AM48" s="1416" t="s">
        <v>408</v>
      </c>
      <c r="AO48" s="1783"/>
      <c r="AP48" s="1783" t="str">
        <f>IF(T48="","",T48)</f>
        <v>Группа потребителей</v>
      </c>
      <c r="AQ48" s="1783"/>
      <c r="AR48" s="1783"/>
    </row>
    <row customHeight="1" ht="21">
      <c r="A49" s="1426" t="s">
        <v>207</v>
      </c>
      <c r="B49" s="1426" t="s">
        <v>208</v>
      </c>
      <c r="C49" s="1426" t="s">
        <v>209</v>
      </c>
      <c r="D49" s="1426" t="s">
        <v>210</v>
      </c>
      <c r="E49" s="2356"/>
      <c r="F49" s="2356"/>
      <c r="G49" s="2356"/>
      <c r="H49" s="2356"/>
      <c r="I49" s="2169"/>
      <c r="J49" s="2169"/>
      <c r="K49" s="2185" t="str">
        <f>J48&amp;".1"</f>
        <v>....1.1.1</v>
      </c>
      <c r="L49" s="1469" t="s">
        <v>409</v>
      </c>
      <c r="P49" s="2324"/>
      <c r="Q49" s="2324"/>
      <c r="R49" s="511">
        <v>1</v>
      </c>
      <c r="S49" s="2118" t="str">
        <f>$K49</f>
        <v>....1.1.1</v>
      </c>
      <c r="T49" s="1506"/>
      <c r="U49" s="454"/>
      <c r="V49" s="905"/>
      <c r="W49" s="479"/>
      <c r="X49" s="905"/>
      <c r="Y49" s="1415"/>
      <c r="Z49" s="2325"/>
      <c r="AA49" s="2195" t="s">
        <v>64</v>
      </c>
      <c r="AB49" s="2325"/>
      <c r="AC49" s="2195" t="s">
        <v>64</v>
      </c>
      <c r="AD49" s="905"/>
      <c r="AE49" s="479"/>
      <c r="AF49" s="905"/>
      <c r="AG49" s="1415"/>
      <c r="AH49" s="2325"/>
      <c r="AI49" s="2195" t="s">
        <v>64</v>
      </c>
      <c r="AJ49" s="2327"/>
      <c r="AK49" s="2195" t="s">
        <v>64</v>
      </c>
      <c r="AL49" s="1507"/>
      <c r="AM49" s="2350" t="s">
        <v>410</v>
      </c>
      <c r="AN49" s="1795">
        <f>STRCHECKDATE(V50:AL50)</f>
      </c>
      <c r="AO49" s="1783"/>
      <c r="AP49" s="1783" t="str">
        <f>IF(T49="","",T49)</f>
        <v/>
      </c>
      <c r="AQ49" s="1783"/>
      <c r="AR49" s="1783"/>
    </row>
    <row customHeight="1" ht="0.75">
      <c r="A50" s="1426" t="s">
        <v>207</v>
      </c>
      <c r="B50" s="1426" t="s">
        <v>208</v>
      </c>
      <c r="C50" s="1426" t="s">
        <v>209</v>
      </c>
      <c r="D50" s="1426" t="s">
        <v>210</v>
      </c>
      <c r="E50" s="2356"/>
      <c r="F50" s="2356"/>
      <c r="G50" s="2356"/>
      <c r="H50" s="2356"/>
      <c r="I50" s="2169"/>
      <c r="J50" s="2169"/>
      <c r="K50" s="2185"/>
      <c r="L50" s="1469"/>
      <c r="P50" s="2324"/>
      <c r="Q50" s="2324"/>
      <c r="R50" s="511"/>
      <c r="S50" s="2127"/>
      <c r="T50" s="454"/>
      <c r="U50" s="454"/>
      <c r="V50" s="479"/>
      <c r="W50" s="479"/>
      <c r="X50" s="479"/>
      <c r="Y50" s="482" t="str">
        <f>Z49&amp;"-"&amp;AB49</f>
        <v>-</v>
      </c>
      <c r="Z50" s="2326"/>
      <c r="AA50" s="2195"/>
      <c r="AB50" s="2326"/>
      <c r="AC50" s="2195"/>
      <c r="AD50" s="479"/>
      <c r="AE50" s="479"/>
      <c r="AF50" s="479"/>
      <c r="AG50" s="482" t="str">
        <f>AH49&amp;"-"&amp;AJ49</f>
        <v>-</v>
      </c>
      <c r="AH50" s="2326"/>
      <c r="AI50" s="2195"/>
      <c r="AJ50" s="2328"/>
      <c r="AK50" s="2195"/>
      <c r="AL50" s="1508"/>
      <c r="AM50" s="2351"/>
      <c r="AO50" s="1783"/>
      <c r="AP50" s="1783" t="str">
        <f>IF(T50="","",T50)</f>
        <v/>
      </c>
      <c r="AQ50" s="1783"/>
      <c r="AR50" s="1783"/>
    </row>
    <row customHeight="1" ht="11.25">
      <c r="A51" s="1426" t="s">
        <v>207</v>
      </c>
      <c r="B51" s="1426" t="s">
        <v>208</v>
      </c>
      <c r="C51" s="1426" t="s">
        <v>209</v>
      </c>
      <c r="D51" s="1426" t="s">
        <v>210</v>
      </c>
      <c r="E51" s="2356"/>
      <c r="F51" s="2356"/>
      <c r="G51" s="2356"/>
      <c r="H51" s="2356"/>
      <c r="I51" s="2169"/>
      <c r="J51" s="2185"/>
      <c r="K51" s="1426"/>
      <c r="L51" s="1469"/>
      <c r="P51" s="2324"/>
      <c r="Q51" s="2324"/>
      <c r="R51" s="510"/>
      <c r="S51" s="1437"/>
      <c r="T51" s="442" t="s">
        <v>411</v>
      </c>
      <c r="U51" s="754"/>
      <c r="V51" s="754"/>
      <c r="W51" s="754"/>
      <c r="X51" s="754"/>
      <c r="Y51" s="754"/>
      <c r="Z51" s="754"/>
      <c r="AA51" s="754"/>
      <c r="AB51" s="754"/>
      <c r="AC51" s="754"/>
      <c r="AD51" s="754"/>
      <c r="AE51" s="754"/>
      <c r="AF51" s="754"/>
      <c r="AG51" s="754"/>
      <c r="AH51" s="754"/>
      <c r="AI51" s="754"/>
      <c r="AJ51" s="754"/>
      <c r="AK51" s="754"/>
      <c r="AL51" s="478"/>
      <c r="AM51" s="2352"/>
      <c r="AO51" s="1783"/>
      <c r="AP51" s="1783" t="str">
        <f>IF(T51="","",T51)</f>
        <v>Добавить вид теплоносителя (параметры теплоносителя)</v>
      </c>
      <c r="AQ51" s="1783"/>
      <c r="AR51" s="1783"/>
    </row>
    <row customHeight="1" ht="11.25">
      <c r="A52" s="1426" t="s">
        <v>207</v>
      </c>
      <c r="B52" s="1426" t="s">
        <v>208</v>
      </c>
      <c r="C52" s="1426" t="s">
        <v>209</v>
      </c>
      <c r="D52" s="1426" t="s">
        <v>210</v>
      </c>
      <c r="E52" s="2356"/>
      <c r="F52" s="2356"/>
      <c r="G52" s="2356"/>
      <c r="H52" s="2356"/>
      <c r="I52" s="2185"/>
      <c r="J52" s="1426"/>
      <c r="K52" s="1426"/>
      <c r="L52" s="1469"/>
      <c r="P52" s="2324"/>
      <c r="Q52" s="2114"/>
      <c r="R52" s="510"/>
      <c r="S52" s="1437"/>
      <c r="T52" s="441" t="s">
        <v>412</v>
      </c>
      <c r="U52" s="754"/>
      <c r="V52" s="754"/>
      <c r="W52" s="754"/>
      <c r="X52" s="754"/>
      <c r="Y52" s="754"/>
      <c r="Z52" s="754"/>
      <c r="AA52" s="754"/>
      <c r="AB52" s="754"/>
      <c r="AC52" s="520"/>
      <c r="AD52" s="754"/>
      <c r="AE52" s="754"/>
      <c r="AF52" s="754"/>
      <c r="AG52" s="754"/>
      <c r="AH52" s="754"/>
      <c r="AI52" s="754"/>
      <c r="AJ52" s="754"/>
      <c r="AK52" s="520"/>
      <c r="AL52" s="754"/>
      <c r="AM52" s="457"/>
      <c r="AO52" s="1783"/>
      <c r="AP52" s="1783" t="str">
        <f>IF(T52="","",T52)</f>
        <v>Добавить группу потребителей</v>
      </c>
      <c r="AQ52" s="1783"/>
      <c r="AR52" s="1783"/>
    </row>
    <row customHeight="1" ht="14.25">
      <c r="A53" s="1426" t="s">
        <v>207</v>
      </c>
      <c r="B53" s="1426" t="s">
        <v>208</v>
      </c>
      <c r="C53" s="1426" t="s">
        <v>209</v>
      </c>
      <c r="D53" s="1426" t="s">
        <v>210</v>
      </c>
      <c r="E53" s="2356"/>
      <c r="F53" s="2356"/>
      <c r="G53" s="2356"/>
      <c r="H53" s="2355"/>
      <c r="I53" s="1426"/>
      <c r="J53" s="1426"/>
      <c r="K53" s="1426"/>
      <c r="L53" s="1469"/>
      <c r="M53" s="1769"/>
      <c r="N53" s="1769"/>
      <c r="O53" s="1794"/>
      <c r="P53" s="514"/>
      <c r="Q53" s="529"/>
      <c r="R53" s="509"/>
      <c r="S53" s="1437"/>
      <c r="T53" s="519" t="s">
        <v>413</v>
      </c>
      <c r="U53" s="754"/>
      <c r="V53" s="754"/>
      <c r="W53" s="754"/>
      <c r="X53" s="754"/>
      <c r="Y53" s="754"/>
      <c r="Z53" s="754"/>
      <c r="AA53" s="754"/>
      <c r="AB53" s="754"/>
      <c r="AC53" s="520"/>
      <c r="AD53" s="754"/>
      <c r="AE53" s="754"/>
      <c r="AF53" s="754"/>
      <c r="AG53" s="754"/>
      <c r="AH53" s="754"/>
      <c r="AI53" s="754"/>
      <c r="AJ53" s="754"/>
      <c r="AK53" s="520"/>
      <c r="AL53" s="754"/>
      <c r="AM53" s="457"/>
      <c r="AO53" s="1783"/>
      <c r="AP53" s="1783" t="str">
        <f>IF(T53="","",T53)</f>
        <v>Добавить схему подключения</v>
      </c>
      <c r="AQ53" s="1783"/>
      <c r="AR53" s="1783"/>
    </row>
    <row s="8827" customFormat="1" customHeight="1" ht="0.75">
      <c r="A54" s="1426" t="s">
        <v>207</v>
      </c>
      <c r="B54" s="1426" t="s">
        <v>208</v>
      </c>
      <c r="C54" s="1426" t="s">
        <v>209</v>
      </c>
      <c r="D54" s="2135"/>
      <c r="E54" s="2356"/>
      <c r="F54" s="2356"/>
      <c r="G54" s="2355"/>
      <c r="H54" s="2135"/>
      <c r="I54" s="2135"/>
      <c r="J54" s="2135"/>
      <c r="K54" s="2135"/>
      <c r="L54" s="1539"/>
      <c r="M54" s="1769"/>
      <c r="N54" s="1769"/>
      <c r="O54" s="1794"/>
      <c r="P54" s="1475"/>
      <c r="Q54" s="1476"/>
      <c r="R54" s="1475"/>
      <c r="S54" s="1481"/>
      <c r="T54" s="1484" t="s">
        <v>414</v>
      </c>
      <c r="U54" s="1483"/>
      <c r="V54" s="1483"/>
      <c r="W54" s="1483"/>
      <c r="X54" s="1483"/>
      <c r="Y54" s="1483"/>
      <c r="Z54" s="1483"/>
      <c r="AA54" s="1483"/>
      <c r="AB54" s="1483"/>
      <c r="AC54" s="1483"/>
      <c r="AD54" s="1483"/>
      <c r="AE54" s="1483"/>
      <c r="AF54" s="1483"/>
      <c r="AG54" s="1483"/>
      <c r="AH54" s="1483"/>
      <c r="AI54" s="1483"/>
      <c r="AJ54" s="1483"/>
      <c r="AK54" s="1483"/>
      <c r="AL54" s="1483"/>
      <c r="AM54" s="1483"/>
      <c r="AO54" s="1409"/>
      <c r="AP54" s="1409" t="str">
        <f>IF(T54="","",T54)</f>
        <v>Добавить источник для дифференциации</v>
      </c>
      <c r="AQ54" s="1409"/>
      <c r="AR54" s="1409"/>
    </row>
    <row s="8827" customFormat="1" customHeight="1" ht="0.75">
      <c r="A55" s="1426" t="s">
        <v>207</v>
      </c>
      <c r="B55" s="1426" t="s">
        <v>208</v>
      </c>
      <c r="C55" s="2135"/>
      <c r="D55" s="2135"/>
      <c r="E55" s="2356"/>
      <c r="F55" s="2355"/>
      <c r="G55" s="2135"/>
      <c r="H55" s="2135"/>
      <c r="I55" s="2135"/>
      <c r="J55" s="2135"/>
      <c r="K55" s="2135"/>
      <c r="L55" s="1539"/>
      <c r="M55" s="2136"/>
      <c r="N55" s="2136"/>
      <c r="O55" s="1794"/>
      <c r="P55" s="1475"/>
      <c r="Q55" s="1476"/>
      <c r="R55" s="1475"/>
      <c r="S55" s="1481"/>
      <c r="T55" s="1484" t="s">
        <v>251</v>
      </c>
      <c r="U55" s="1483"/>
      <c r="V55" s="1483"/>
      <c r="W55" s="1483"/>
      <c r="X55" s="1483"/>
      <c r="Y55" s="1483"/>
      <c r="Z55" s="1483"/>
      <c r="AA55" s="1483"/>
      <c r="AB55" s="1483"/>
      <c r="AC55" s="1483"/>
      <c r="AD55" s="1483"/>
      <c r="AE55" s="1483"/>
      <c r="AF55" s="1483"/>
      <c r="AG55" s="1483"/>
      <c r="AH55" s="1483"/>
      <c r="AI55" s="1483"/>
      <c r="AJ55" s="1483"/>
      <c r="AK55" s="1483"/>
      <c r="AL55" s="1483"/>
      <c r="AM55" s="1483"/>
      <c r="AO55" s="1409"/>
      <c r="AP55" s="1409" t="str">
        <f>IF(T55="","",T55)</f>
        <v>Добавить централизованную систему для дифференциации</v>
      </c>
      <c r="AQ55" s="1409"/>
      <c r="AR55" s="1409"/>
    </row>
    <row s="8847" customFormat="1" customHeight="1" ht="0.75">
      <c r="A56" s="1426" t="s">
        <v>207</v>
      </c>
      <c r="B56" s="1426"/>
      <c r="C56" s="1426"/>
      <c r="D56" s="1426"/>
      <c r="E56" s="2355"/>
      <c r="F56" s="1426"/>
      <c r="G56" s="1426"/>
      <c r="H56" s="1426"/>
      <c r="I56" s="1426"/>
      <c r="J56" s="1426"/>
      <c r="K56" s="1426"/>
      <c r="L56" s="1469"/>
      <c r="M56" s="2136"/>
      <c r="N56" s="2136"/>
      <c r="O56" s="1794"/>
      <c r="P56" s="534"/>
      <c r="Q56" s="1503"/>
      <c r="R56" s="534"/>
      <c r="S56" s="1481"/>
      <c r="T56" s="1484" t="s">
        <v>252</v>
      </c>
      <c r="U56" s="1483"/>
      <c r="V56" s="1483"/>
      <c r="W56" s="1483"/>
      <c r="X56" s="1483"/>
      <c r="Y56" s="1483"/>
      <c r="Z56" s="1483"/>
      <c r="AA56" s="1483"/>
      <c r="AB56" s="1483"/>
      <c r="AC56" s="1483"/>
      <c r="AD56" s="1483"/>
      <c r="AE56" s="1483"/>
      <c r="AF56" s="1483"/>
      <c r="AG56" s="1483"/>
      <c r="AH56" s="1483"/>
      <c r="AI56" s="1483"/>
      <c r="AJ56" s="1483"/>
      <c r="AK56" s="1483"/>
      <c r="AL56" s="1483"/>
      <c r="AM56" s="1483"/>
      <c r="AO56" s="1783"/>
      <c r="AP56" s="1783" t="str">
        <f>IF(T56="","",T56)</f>
        <v>Добавить территорию для дифференциации</v>
      </c>
      <c r="AQ56" s="1783"/>
      <c r="AR56" s="1783"/>
    </row>
    <row s="8827" customFormat="1" customHeight="1" ht="0.75">
      <c r="A57" s="2135"/>
      <c r="B57" s="2135"/>
      <c r="C57" s="2135"/>
      <c r="D57" s="2135"/>
      <c r="E57" s="1426"/>
      <c r="F57" s="2135"/>
      <c r="G57" s="2135"/>
      <c r="H57" s="2135"/>
      <c r="I57" s="2135"/>
      <c r="J57" s="2135"/>
      <c r="K57" s="2135"/>
      <c r="L57" s="1539"/>
      <c r="M57" s="2136"/>
      <c r="N57" s="2136"/>
      <c r="O57" s="1794"/>
      <c r="P57" s="1475"/>
      <c r="Q57" s="1476"/>
      <c r="R57" s="1475"/>
      <c r="S57" s="1481"/>
      <c r="T57" s="1484" t="s">
        <v>253</v>
      </c>
      <c r="U57" s="1483"/>
      <c r="V57" s="1483"/>
      <c r="W57" s="1483"/>
      <c r="X57" s="1483"/>
      <c r="Y57" s="1483"/>
      <c r="Z57" s="1483"/>
      <c r="AA57" s="1483"/>
      <c r="AB57" s="1483"/>
      <c r="AC57" s="1483"/>
      <c r="AD57" s="1483"/>
      <c r="AE57" s="1483"/>
      <c r="AF57" s="1483"/>
      <c r="AG57" s="1483"/>
      <c r="AH57" s="1483"/>
      <c r="AI57" s="1483"/>
      <c r="AJ57" s="1483"/>
      <c r="AK57" s="1483"/>
      <c r="AL57" s="1483"/>
      <c r="AM57" s="1483"/>
      <c r="AO57" s="1409"/>
      <c r="AP57" s="1409" t="str">
        <f>IF(T57="","",T57)</f>
        <v>Добавить наименование тарифа</v>
      </c>
      <c r="AQ57" s="1409"/>
      <c r="AR57" s="1409"/>
    </row>
    <row customHeight="1" ht="11.25">
      <c r="M58" s="1790"/>
      <c r="N58" s="1790"/>
      <c r="O58" s="1794"/>
      <c r="P58" s="1790"/>
      <c r="Q58" s="1790"/>
      <c r="R58" s="1790"/>
      <c r="S58" s="1790"/>
      <c r="AN58" s="1790"/>
      <c r="AO58" s="1790"/>
      <c r="AP58" s="1790"/>
      <c r="AQ58" s="1790"/>
      <c r="AR58" s="1790"/>
    </row>
    <row customHeight="1" ht="27">
      <c r="O59" s="1794"/>
      <c r="S59" s="1411"/>
      <c r="T59" s="2319"/>
      <c r="U59" s="2319"/>
      <c r="V59" s="2319"/>
      <c r="W59" s="2319"/>
      <c r="X59" s="2319"/>
      <c r="Y59" s="2319"/>
      <c r="Z59" s="2319"/>
      <c r="AA59" s="2319"/>
      <c r="AB59" s="2319"/>
      <c r="AC59" s="2319"/>
      <c r="AD59" s="2319"/>
      <c r="AE59" s="2319"/>
      <c r="AF59" s="2319"/>
      <c r="AG59" s="2319"/>
      <c r="AH59" s="2319"/>
      <c r="AI59" s="2319"/>
      <c r="AJ59" s="2319"/>
      <c r="AK59" s="2319"/>
      <c r="AL59" s="2319"/>
      <c r="AM59" s="2319"/>
    </row>
    <row customHeight="1" ht="62.25">
      <c r="O60" s="1794"/>
      <c r="T60" s="2319"/>
      <c r="U60" s="2319"/>
      <c r="V60" s="2319"/>
      <c r="W60" s="2319"/>
      <c r="X60" s="2319"/>
      <c r="Y60" s="2319"/>
      <c r="Z60" s="2319"/>
      <c r="AA60" s="2319"/>
      <c r="AB60" s="2319"/>
      <c r="AC60" s="2319"/>
      <c r="AD60" s="2319"/>
      <c r="AE60" s="2319"/>
      <c r="AF60" s="2319"/>
      <c r="AG60" s="2319"/>
      <c r="AH60" s="2319"/>
      <c r="AI60" s="2319"/>
      <c r="AJ60" s="2319"/>
      <c r="AK60" s="2319"/>
      <c r="AL60" s="2319"/>
      <c r="AM60" s="2319"/>
    </row>
    <row customHeight="1" ht="14.25">
      <c r="O61" s="1794"/>
    </row>
    <row customHeight="1" ht="18">
      <c r="O62" s="1794"/>
      <c r="S62" s="1411"/>
      <c r="T62" s="2319"/>
      <c r="U62" s="2319"/>
      <c r="V62" s="2319"/>
      <c r="W62" s="2319"/>
      <c r="X62" s="2319"/>
      <c r="Y62" s="2319"/>
      <c r="Z62" s="2319"/>
      <c r="AA62" s="2319"/>
      <c r="AB62" s="2319"/>
      <c r="AC62" s="2319"/>
      <c r="AD62" s="2319"/>
      <c r="AE62" s="2319"/>
      <c r="AF62" s="2319"/>
      <c r="AG62" s="2319"/>
      <c r="AH62" s="2319"/>
      <c r="AI62" s="2319"/>
      <c r="AJ62" s="2319"/>
      <c r="AK62" s="2319"/>
      <c r="AL62" s="2319"/>
      <c r="AM62" s="2319"/>
    </row>
    <row customHeight="1" ht="18">
      <c r="O63" s="1794"/>
      <c r="T63" s="2319"/>
      <c r="U63" s="2319"/>
      <c r="V63" s="2319"/>
      <c r="W63" s="2319"/>
      <c r="X63" s="2319"/>
      <c r="Y63" s="2319"/>
      <c r="Z63" s="2319"/>
      <c r="AA63" s="2319"/>
      <c r="AB63" s="2319"/>
      <c r="AC63" s="2319"/>
      <c r="AD63" s="2319"/>
      <c r="AE63" s="2319"/>
      <c r="AF63" s="2319"/>
      <c r="AG63" s="2319"/>
      <c r="AH63" s="2319"/>
      <c r="AI63" s="2319"/>
      <c r="AJ63" s="2319"/>
      <c r="AK63" s="2319"/>
      <c r="AL63" s="2319"/>
      <c r="AM63" s="2319"/>
    </row>
    <row customHeight="1" ht="27.75">
      <c r="O64" s="1794"/>
      <c r="S64" s="1411"/>
      <c r="T64" s="2319"/>
      <c r="U64" s="2319"/>
      <c r="V64" s="2319"/>
      <c r="W64" s="2319"/>
      <c r="X64" s="2319"/>
      <c r="Y64" s="2319"/>
      <c r="Z64" s="2319"/>
      <c r="AA64" s="2319"/>
      <c r="AB64" s="2319"/>
      <c r="AC64" s="2319"/>
      <c r="AD64" s="2319"/>
      <c r="AE64" s="2319"/>
      <c r="AF64" s="2319"/>
      <c r="AG64" s="2319"/>
      <c r="AH64" s="2319"/>
      <c r="AI64" s="2319"/>
      <c r="AJ64" s="2319"/>
      <c r="AK64" s="2319"/>
      <c r="AL64" s="2319"/>
      <c r="AM64" s="2319"/>
    </row>
  </sheetData>
  <sheetProtection sort="0" autoFilter="0" insertRows="0" insertColumns="1" deleteRows="0" deleteColumns="0"/>
  <mergeCells count="112">
    <mergeCell ref="T63:AM63"/>
    <mergeCell ref="T64:AM64"/>
    <mergeCell ref="AJ49:AJ50"/>
    <mergeCell ref="AK49:AK50"/>
    <mergeCell ref="AM49:AM51"/>
    <mergeCell ref="T59:AM59"/>
    <mergeCell ref="T60:AM60"/>
    <mergeCell ref="T62:AM62"/>
    <mergeCell ref="Q48:Q51"/>
    <mergeCell ref="V48:AC48"/>
    <mergeCell ref="AD48:AL48"/>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V37:AC37"/>
    <mergeCell ref="AD37:AK37"/>
    <mergeCell ref="S38:AL38"/>
    <mergeCell ref="AM38:AM41"/>
    <mergeCell ref="S39:S41"/>
    <mergeCell ref="T39:T41"/>
    <mergeCell ref="V39:AB39"/>
    <mergeCell ref="AC39:AC41"/>
    <mergeCell ref="AD39:AJ39"/>
    <mergeCell ref="AK39:AK41"/>
    <mergeCell ref="S34:T34"/>
    <mergeCell ref="V34:AB34"/>
    <mergeCell ref="AD34:AJ34"/>
    <mergeCell ref="S35:T35"/>
    <mergeCell ref="V35:AB35"/>
    <mergeCell ref="AD35:AJ35"/>
    <mergeCell ref="S31:T31"/>
    <mergeCell ref="V31:AB31"/>
    <mergeCell ref="AD31:AJ31"/>
    <mergeCell ref="S32:T32"/>
    <mergeCell ref="V32:AB32"/>
    <mergeCell ref="AD32:AJ32"/>
    <mergeCell ref="S26:AJ26"/>
    <mergeCell ref="S27:AJ27"/>
    <mergeCell ref="S29:T29"/>
    <mergeCell ref="V29:AB29"/>
    <mergeCell ref="AD29:AJ29"/>
    <mergeCell ref="S30:T30"/>
    <mergeCell ref="V30:AB30"/>
    <mergeCell ref="AD30:AJ30"/>
    <mergeCell ref="AI8:AI9"/>
    <mergeCell ref="AJ8:AJ9"/>
    <mergeCell ref="AM8:AM10"/>
    <mergeCell ref="AH17:AH18"/>
    <mergeCell ref="AI17:AI18"/>
    <mergeCell ref="AJ17:AJ18"/>
    <mergeCell ref="AK17:AK18"/>
    <mergeCell ref="K8:K9"/>
    <mergeCell ref="Z8:Z9"/>
    <mergeCell ref="AA8:AA9"/>
    <mergeCell ref="AB8:AB9"/>
    <mergeCell ref="AC8:AC9"/>
    <mergeCell ref="AH8:AH9"/>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s>
  <dataValidations count="8">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F697604-E599-56E2-E315-5952B8DEA4C1}" mc:Ignorable="x14ac xr xr2 xr3">
  <sheetPr>
    <tabColor theme="6" tint="0.4"/>
  </sheetPr>
  <dimension ref="A1:AR64"/>
  <sheetViews>
    <sheetView topLeftCell="A1" showGridLines="0" zoomScale="90" workbookViewId="0">
      <selection activeCell="A1" sqref="A1"/>
    </sheetView>
  </sheetViews>
  <sheetFormatPr defaultColWidth="10.57421875" customHeight="1" defaultRowHeight="14.25"/>
  <cols>
    <col min="1" max="1" style="8721" width="10.57421875" hidden="1"/>
    <col min="2" max="2" style="8721" width="11.00390625" hidden="1" customWidth="1"/>
    <col min="3" max="3" style="8721" width="10.57421875" hidden="1"/>
    <col min="4" max="4" style="8721" width="11.8515625" hidden="1" customWidth="1"/>
    <col min="5" max="5" style="8721" width="10.00390625" hidden="1" customWidth="1"/>
    <col min="6" max="6" style="8721" width="8.7109375" hidden="1" customWidth="1"/>
    <col min="7" max="7" style="8721" width="7.57421875" hidden="1" customWidth="1"/>
    <col min="8" max="8" style="8721" width="11.421875" hidden="1" customWidth="1"/>
    <col min="9" max="9" style="8721" width="12.00390625" hidden="1" customWidth="1"/>
    <col min="10" max="10" style="8721" width="9.8515625" hidden="1" customWidth="1"/>
    <col min="11" max="11" style="8721" width="11.421875" hidden="1" customWidth="1"/>
    <col min="12" max="12" style="8802" width="19.140625" hidden="1" customWidth="1"/>
    <col min="13" max="14" style="8803" width="12.28125" hidden="1" customWidth="1"/>
    <col min="15" max="15" style="8803" width="23.421875" hidden="1" customWidth="1"/>
    <col min="16" max="16" style="8815" width="3.7109375" customWidth="1"/>
    <col min="17" max="18" style="8805" width="3.7109375" customWidth="1"/>
    <col min="19" max="19" style="8806" width="12.7109375" customWidth="1"/>
    <col min="20" max="20" style="8807" width="32.00390625" customWidth="1"/>
    <col min="21" max="21" style="8807" width="0.7109375" hidden="1" customWidth="1"/>
    <col min="22" max="22" style="8807" width="1.7109375" hidden="1" customWidth="1"/>
    <col min="23" max="23" style="8807" width="24.7109375" hidden="1" customWidth="1"/>
    <col min="24" max="25" style="8807" width="0.140625" hidden="1" customWidth="1"/>
    <col min="26" max="26" style="8807" width="11.7109375" hidden="1" customWidth="1"/>
    <col min="27" max="27" style="8807" width="3.7109375" hidden="1" customWidth="1"/>
    <col min="28" max="28" style="8807" width="11.7109375" hidden="1" customWidth="1"/>
    <col min="29" max="29" style="8807" width="8.57421875" hidden="1" customWidth="1"/>
    <col min="30" max="30" style="8807" width="0.140625" customWidth="1"/>
    <col min="31" max="31" style="8807" width="24.7109375" customWidth="1"/>
    <col min="32" max="33" style="8807" width="0.140625" customWidth="1"/>
    <col min="34" max="34" style="8807" width="11.7109375" customWidth="1"/>
    <col min="35" max="35" style="8807" width="3.7109375" customWidth="1"/>
    <col min="36" max="36" style="8807" width="11.7109375" customWidth="1"/>
    <col min="37" max="37" style="8807" width="8.57421875" hidden="1" customWidth="1"/>
    <col min="38" max="38" style="8807" width="4.7109375" customWidth="1"/>
    <col min="39" max="39" style="8807" width="115.7109375" customWidth="1"/>
    <col min="40" max="41" style="8794" width="10.57421875"/>
    <col min="42" max="42" style="8794" width="11.140625" customWidth="1"/>
    <col min="43" max="44" style="8794" width="10.57421875"/>
  </cols>
  <sheetData>
    <row customHeight="1" ht="14.25" hidden="1">
      <c r="Y1" s="481"/>
      <c r="Z1" s="481"/>
      <c r="AG1" s="481"/>
      <c r="AH1" s="481"/>
    </row>
    <row customHeight="1" ht="21" hidden="1">
      <c r="A2" s="1522"/>
      <c r="B2" s="1522"/>
      <c r="C2" s="1522"/>
      <c r="D2" s="1522"/>
      <c r="E2" s="2320">
        <v>1</v>
      </c>
      <c r="F2" s="1522"/>
      <c r="G2" s="1522"/>
      <c r="H2" s="1522"/>
      <c r="I2" s="1522"/>
      <c r="J2" s="1522"/>
      <c r="K2" s="1522"/>
      <c r="L2" s="1523"/>
      <c r="M2" s="1524"/>
      <c r="N2" s="1524"/>
      <c r="O2" s="1524"/>
      <c r="P2" s="515"/>
      <c r="Q2" s="514"/>
      <c r="R2" s="509"/>
      <c r="S2" s="1495">
        <f>INDEX(PT_DIFFERENTIATION_NUM_NTAR,MATCH(A2,PT_DIFFERENTIATION_NTAR_ID,0))</f>
      </c>
      <c r="T2" s="452" t="s">
        <v>120</v>
      </c>
      <c r="U2" s="454"/>
      <c r="V2" s="2314"/>
      <c r="W2" s="2315"/>
      <c r="X2" s="2315"/>
      <c r="Y2" s="2315"/>
      <c r="Z2" s="2315"/>
      <c r="AA2" s="2315"/>
      <c r="AB2" s="2315"/>
      <c r="AC2" s="2316"/>
      <c r="AD2" s="2314">
        <f>INDEX(PT_DIFFERENTIATION_NTAR,MATCH(A2,PT_DIFFERENTIATION_NTAR_ID,0))</f>
      </c>
      <c r="AE2" s="2315"/>
      <c r="AF2" s="2315"/>
      <c r="AG2" s="2315"/>
      <c r="AH2" s="2315"/>
      <c r="AI2" s="2315"/>
      <c r="AJ2" s="2315"/>
      <c r="AK2" s="2315"/>
      <c r="AL2" s="2316"/>
      <c r="AM2" s="1416" t="s">
        <v>396</v>
      </c>
      <c r="AO2" s="654"/>
      <c r="AP2" s="654" t="str">
        <f>IF(T2="","",T2)</f>
        <v>Наименование тарифа</v>
      </c>
      <c r="AQ2" s="654"/>
      <c r="AR2" s="654"/>
    </row>
    <row customHeight="1" ht="21" hidden="1">
      <c r="A3" s="1522"/>
      <c r="B3" s="1522"/>
      <c r="C3" s="1522"/>
      <c r="D3" s="1522"/>
      <c r="E3" s="2321"/>
      <c r="F3" s="2320">
        <v>1</v>
      </c>
      <c r="G3" s="1522"/>
      <c r="H3" s="1522"/>
      <c r="I3" s="1522"/>
      <c r="J3" s="1522"/>
      <c r="K3" s="1522"/>
      <c r="L3" s="1523"/>
      <c r="M3" s="1524"/>
      <c r="N3" s="1524"/>
      <c r="O3" s="1524"/>
      <c r="P3" s="1491"/>
      <c r="Q3" s="506"/>
      <c r="R3" s="507"/>
      <c r="S3" s="1495">
        <f>INDEX(PT_DIFFERENTIATION_NUM_TER,MATCH(B3,PT_DIFFERENTIATION_TER_ID,0))</f>
      </c>
      <c r="T3" s="462" t="s">
        <v>397</v>
      </c>
      <c r="U3" s="454"/>
      <c r="V3" s="2314"/>
      <c r="W3" s="2315"/>
      <c r="X3" s="2315"/>
      <c r="Y3" s="2315"/>
      <c r="Z3" s="2315"/>
      <c r="AA3" s="2315"/>
      <c r="AB3" s="2315"/>
      <c r="AC3" s="2316"/>
      <c r="AD3" s="2314">
        <f>INDEX(PT_DIFFERENTIATION_TER,MATCH(B3,PT_DIFFERENTIATION_TER_ID,0))</f>
      </c>
      <c r="AE3" s="2315"/>
      <c r="AF3" s="2315"/>
      <c r="AG3" s="2315"/>
      <c r="AH3" s="2315"/>
      <c r="AI3" s="2315"/>
      <c r="AJ3" s="2315"/>
      <c r="AK3" s="2315"/>
      <c r="AL3" s="2316"/>
      <c r="AM3" s="1416" t="s">
        <v>398</v>
      </c>
      <c r="AO3" s="654"/>
      <c r="AP3" s="654" t="str">
        <f>IF(T3="","",T3)</f>
        <v>Территория действия тарифа</v>
      </c>
      <c r="AQ3" s="654"/>
      <c r="AR3" s="654"/>
    </row>
    <row customHeight="1" ht="23.25" hidden="1">
      <c r="A4" s="1522"/>
      <c r="B4" s="1522"/>
      <c r="C4" s="1522"/>
      <c r="D4" s="1522"/>
      <c r="E4" s="2321"/>
      <c r="F4" s="2321"/>
      <c r="G4" s="2320">
        <v>1</v>
      </c>
      <c r="H4" s="1522"/>
      <c r="I4" s="1522"/>
      <c r="J4" s="1522"/>
      <c r="K4" s="1522"/>
      <c r="L4" s="1523"/>
      <c r="M4" s="1524"/>
      <c r="N4" s="1524"/>
      <c r="O4" s="1524"/>
      <c r="P4" s="508"/>
      <c r="Q4" s="506"/>
      <c r="R4" s="507"/>
      <c r="S4" s="1495">
        <f>INDEX(PT_DIFFERENTIATION_NUM_CS,MATCH(C4,PT_DIFFERENTIATION_CS_ID,0))</f>
      </c>
      <c r="T4" s="463" t="s">
        <v>399</v>
      </c>
      <c r="U4" s="454"/>
      <c r="V4" s="2314"/>
      <c r="W4" s="2315"/>
      <c r="X4" s="2315"/>
      <c r="Y4" s="2315"/>
      <c r="Z4" s="2315"/>
      <c r="AA4" s="2315"/>
      <c r="AB4" s="2315"/>
      <c r="AC4" s="2316"/>
      <c r="AD4" s="2314">
        <f>INDEX(PT_DIFFERENTIATION_CS,MATCH(C4,PT_DIFFERENTIATION_CS_ID,0))</f>
      </c>
      <c r="AE4" s="2315"/>
      <c r="AF4" s="2315"/>
      <c r="AG4" s="2315"/>
      <c r="AH4" s="2315"/>
      <c r="AI4" s="2315"/>
      <c r="AJ4" s="2315"/>
      <c r="AK4" s="2315"/>
      <c r="AL4" s="2316"/>
      <c r="AM4" s="1416" t="s">
        <v>400</v>
      </c>
      <c r="AO4" s="654"/>
      <c r="AP4" s="654" t="str">
        <f>IF(T4="","",T4)</f>
        <v>Наименование системы теплоснабжения </v>
      </c>
      <c r="AQ4" s="654"/>
      <c r="AR4" s="654"/>
    </row>
    <row customHeight="1" ht="21" hidden="1">
      <c r="A5" s="1522"/>
      <c r="B5" s="1522"/>
      <c r="C5" s="1522"/>
      <c r="D5" s="1522"/>
      <c r="E5" s="2321"/>
      <c r="F5" s="2321"/>
      <c r="G5" s="2321"/>
      <c r="H5" s="2320">
        <v>1</v>
      </c>
      <c r="I5" s="1522"/>
      <c r="J5" s="1522"/>
      <c r="K5" s="1522"/>
      <c r="L5" s="1523"/>
      <c r="M5" s="1524"/>
      <c r="N5" s="1524"/>
      <c r="O5" s="1524"/>
      <c r="P5" s="508"/>
      <c r="Q5" s="506"/>
      <c r="R5" s="507"/>
      <c r="S5" s="1495">
        <f>INDEX(PT_DIFFERENTIATION_NUM_IST_TE,MATCH(D5,PT_DIFFERENTIATION_IST_TE_ID,0))</f>
      </c>
      <c r="T5" s="464" t="s">
        <v>401</v>
      </c>
      <c r="U5" s="454"/>
      <c r="V5" s="2314"/>
      <c r="W5" s="2315"/>
      <c r="X5" s="2315"/>
      <c r="Y5" s="2315"/>
      <c r="Z5" s="2315"/>
      <c r="AA5" s="2315"/>
      <c r="AB5" s="2315"/>
      <c r="AC5" s="2316"/>
      <c r="AD5" s="2314">
        <f>INDEX(PT_DIFFERENTIATION_IST_TE,MATCH(D5,PT_DIFFERENTIATION_IST_TE_ID,0))</f>
      </c>
      <c r="AE5" s="2315"/>
      <c r="AF5" s="2315"/>
      <c r="AG5" s="2315"/>
      <c r="AH5" s="2315"/>
      <c r="AI5" s="2315"/>
      <c r="AJ5" s="2315"/>
      <c r="AK5" s="2315"/>
      <c r="AL5" s="2316"/>
      <c r="AM5" s="1416" t="s">
        <v>402</v>
      </c>
      <c r="AO5" s="654"/>
      <c r="AP5" s="654" t="str">
        <f>IF(T5="","",T5)</f>
        <v>Источник тепловой энергии  </v>
      </c>
      <c r="AQ5" s="654"/>
      <c r="AR5" s="654"/>
    </row>
    <row customHeight="1" ht="47.25" hidden="1">
      <c r="A6" s="1522"/>
      <c r="B6" s="1522"/>
      <c r="C6" s="1522"/>
      <c r="D6" s="1522"/>
      <c r="E6" s="2321"/>
      <c r="F6" s="2321"/>
      <c r="G6" s="2321"/>
      <c r="H6" s="2321"/>
      <c r="I6" s="2322">
        <f>S5&amp;".1"</f>
      </c>
      <c r="J6" s="1522"/>
      <c r="K6" s="1522"/>
      <c r="L6" s="1523" t="s">
        <v>403</v>
      </c>
      <c r="M6" s="691"/>
      <c r="P6" s="2324">
        <v>1</v>
      </c>
      <c r="Q6" s="1490"/>
      <c r="R6" s="510"/>
      <c r="S6" s="1495">
        <f>$I6</f>
      </c>
      <c r="T6" s="439" t="s">
        <v>404</v>
      </c>
      <c r="U6" s="454"/>
      <c r="V6" s="2308"/>
      <c r="W6" s="2309"/>
      <c r="X6" s="2309"/>
      <c r="Y6" s="2309"/>
      <c r="Z6" s="2309"/>
      <c r="AA6" s="2309"/>
      <c r="AB6" s="2309"/>
      <c r="AC6" s="2310"/>
      <c r="AD6" s="2308"/>
      <c r="AE6" s="2309"/>
      <c r="AF6" s="2309"/>
      <c r="AG6" s="2309"/>
      <c r="AH6" s="2309"/>
      <c r="AI6" s="2309"/>
      <c r="AJ6" s="2309"/>
      <c r="AK6" s="2309"/>
      <c r="AL6" s="2310"/>
      <c r="AM6" s="1416" t="s">
        <v>405</v>
      </c>
      <c r="AO6" s="654"/>
      <c r="AP6" s="654" t="str">
        <f>IF(T6="","",T6)</f>
        <v>Схема подключения теплопотребляющей установки к коллектору источника тепловой энергии</v>
      </c>
      <c r="AQ6" s="654"/>
      <c r="AR6" s="654"/>
    </row>
    <row customHeight="1" ht="21" hidden="1">
      <c r="A7" s="1522"/>
      <c r="B7" s="1522"/>
      <c r="C7" s="1522"/>
      <c r="D7" s="1522"/>
      <c r="E7" s="2321"/>
      <c r="F7" s="2321"/>
      <c r="G7" s="2321"/>
      <c r="H7" s="2321"/>
      <c r="I7" s="2323"/>
      <c r="J7" s="2322">
        <f>I6&amp;".1"</f>
      </c>
      <c r="K7" s="1522"/>
      <c r="L7" s="1523" t="s">
        <v>406</v>
      </c>
      <c r="M7" s="691"/>
      <c r="N7" s="1525"/>
      <c r="P7" s="2324"/>
      <c r="Q7" s="2324">
        <v>1</v>
      </c>
      <c r="R7" s="511"/>
      <c r="S7" s="1495">
        <f>$J7</f>
      </c>
      <c r="T7" s="440" t="s">
        <v>407</v>
      </c>
      <c r="U7" s="454"/>
      <c r="V7" s="2308"/>
      <c r="W7" s="2309"/>
      <c r="X7" s="2309"/>
      <c r="Y7" s="2309"/>
      <c r="Z7" s="2309"/>
      <c r="AA7" s="2309"/>
      <c r="AB7" s="2309"/>
      <c r="AC7" s="2310"/>
      <c r="AD7" s="2308"/>
      <c r="AE7" s="2309"/>
      <c r="AF7" s="2309"/>
      <c r="AG7" s="2309"/>
      <c r="AH7" s="2309"/>
      <c r="AI7" s="2309"/>
      <c r="AJ7" s="2309"/>
      <c r="AK7" s="2309"/>
      <c r="AL7" s="2310"/>
      <c r="AM7" s="1416" t="s">
        <v>408</v>
      </c>
      <c r="AO7" s="654"/>
      <c r="AP7" s="654" t="str">
        <f>IF(T7="","",T7)</f>
        <v>Группа потребителей</v>
      </c>
      <c r="AQ7" s="654"/>
      <c r="AR7" s="654"/>
    </row>
    <row customHeight="1" ht="21" hidden="1">
      <c r="A8" s="1522"/>
      <c r="B8" s="1522"/>
      <c r="C8" s="1522"/>
      <c r="D8" s="1522"/>
      <c r="E8" s="2321"/>
      <c r="F8" s="2321"/>
      <c r="G8" s="2321"/>
      <c r="H8" s="2321"/>
      <c r="I8" s="2323"/>
      <c r="J8" s="2323"/>
      <c r="K8" s="2322">
        <f>J7&amp;".1"</f>
      </c>
      <c r="L8" s="1523" t="s">
        <v>409</v>
      </c>
      <c r="M8" s="691"/>
      <c r="N8" s="1525"/>
      <c r="O8" s="1525"/>
      <c r="P8" s="2324"/>
      <c r="Q8" s="2324"/>
      <c r="R8" s="511">
        <v>1</v>
      </c>
      <c r="S8" s="1495">
        <f>$K8</f>
      </c>
      <c r="T8" s="1506"/>
      <c r="U8" s="454"/>
      <c r="V8" s="479"/>
      <c r="W8" s="905"/>
      <c r="X8" s="479"/>
      <c r="Y8" s="538"/>
      <c r="Z8" s="2325"/>
      <c r="AA8" s="2195" t="s">
        <v>64</v>
      </c>
      <c r="AB8" s="2325"/>
      <c r="AC8" s="2195" t="s">
        <v>64</v>
      </c>
      <c r="AD8" s="479"/>
      <c r="AE8" s="905"/>
      <c r="AF8" s="479"/>
      <c r="AG8" s="538"/>
      <c r="AH8" s="2325"/>
      <c r="AI8" s="2195" t="s">
        <v>64</v>
      </c>
      <c r="AJ8" s="2325"/>
      <c r="AK8" s="2195" t="s">
        <v>64</v>
      </c>
      <c r="AL8" s="479"/>
      <c r="AM8" s="2350" t="s">
        <v>410</v>
      </c>
      <c r="AN8" s="665">
        <f>STRCHECKDATE(V9:AL9)</f>
      </c>
      <c r="AO8" s="654"/>
      <c r="AP8" s="654" t="str">
        <f>IF(T8="","",T8)</f>
        <v/>
      </c>
      <c r="AQ8" s="654"/>
      <c r="AR8" s="654"/>
    </row>
    <row customHeight="1" ht="0.75" hidden="1">
      <c r="A9" s="1522"/>
      <c r="B9" s="1522"/>
      <c r="C9" s="1522"/>
      <c r="D9" s="1522"/>
      <c r="E9" s="2321"/>
      <c r="F9" s="2321"/>
      <c r="G9" s="2321"/>
      <c r="H9" s="2321"/>
      <c r="I9" s="2323"/>
      <c r="J9" s="2323"/>
      <c r="K9" s="2322"/>
      <c r="L9" s="1523"/>
      <c r="M9" s="691"/>
      <c r="N9" s="1525"/>
      <c r="O9" s="1525"/>
      <c r="P9" s="2324"/>
      <c r="Q9" s="2324"/>
      <c r="R9" s="511"/>
      <c r="S9" s="1501"/>
      <c r="T9" s="454"/>
      <c r="U9" s="454"/>
      <c r="V9" s="479"/>
      <c r="W9" s="479"/>
      <c r="X9" s="479"/>
      <c r="Y9" s="482" t="str">
        <f>Z8&amp;"-"&amp;AB8</f>
        <v>-</v>
      </c>
      <c r="Z9" s="2326"/>
      <c r="AA9" s="2195"/>
      <c r="AB9" s="2326"/>
      <c r="AC9" s="2195"/>
      <c r="AD9" s="479"/>
      <c r="AE9" s="479"/>
      <c r="AF9" s="479"/>
      <c r="AG9" s="482" t="str">
        <f>AH8&amp;"-"&amp;AJ8</f>
        <v>-</v>
      </c>
      <c r="AH9" s="2326"/>
      <c r="AI9" s="2195"/>
      <c r="AJ9" s="2326"/>
      <c r="AK9" s="2195"/>
      <c r="AL9" s="479"/>
      <c r="AM9" s="2351"/>
      <c r="AO9" s="654"/>
      <c r="AP9" s="654" t="str">
        <f>IF(T9="","",T9)</f>
        <v/>
      </c>
      <c r="AQ9" s="654"/>
      <c r="AR9" s="654"/>
    </row>
    <row customHeight="1" ht="15" hidden="1">
      <c r="A10" s="1522"/>
      <c r="B10" s="1522"/>
      <c r="C10" s="1522"/>
      <c r="D10" s="1522"/>
      <c r="E10" s="2321"/>
      <c r="F10" s="2321"/>
      <c r="G10" s="2321"/>
      <c r="H10" s="2321"/>
      <c r="I10" s="2323"/>
      <c r="J10" s="2322"/>
      <c r="K10" s="1522"/>
      <c r="L10" s="1523"/>
      <c r="M10" s="691"/>
      <c r="N10" s="1525"/>
      <c r="P10" s="2324"/>
      <c r="Q10" s="2324"/>
      <c r="R10" s="510"/>
      <c r="S10" s="1437"/>
      <c r="T10" s="442" t="s">
        <v>411</v>
      </c>
      <c r="U10" s="521"/>
      <c r="V10" s="521"/>
      <c r="W10" s="521"/>
      <c r="X10" s="521"/>
      <c r="Y10" s="521"/>
      <c r="Z10" s="521"/>
      <c r="AA10" s="521"/>
      <c r="AB10" s="521"/>
      <c r="AC10" s="521"/>
      <c r="AD10" s="521"/>
      <c r="AE10" s="521"/>
      <c r="AF10" s="521"/>
      <c r="AG10" s="521"/>
      <c r="AH10" s="521"/>
      <c r="AI10" s="521"/>
      <c r="AJ10" s="521"/>
      <c r="AK10" s="521"/>
      <c r="AL10" s="478"/>
      <c r="AM10" s="2352"/>
      <c r="AO10" s="654"/>
      <c r="AP10" s="654" t="str">
        <f>IF(T10="","",T10)</f>
        <v>Добавить вид теплоносителя (параметры теплоносителя)</v>
      </c>
      <c r="AQ10" s="654"/>
      <c r="AR10" s="654"/>
    </row>
    <row customHeight="1" ht="15" hidden="1">
      <c r="A11" s="1522"/>
      <c r="B11" s="1522"/>
      <c r="C11" s="1522"/>
      <c r="D11" s="1522"/>
      <c r="E11" s="2321"/>
      <c r="F11" s="2321"/>
      <c r="G11" s="2321"/>
      <c r="H11" s="2321"/>
      <c r="I11" s="2322"/>
      <c r="J11" s="1522"/>
      <c r="K11" s="1522"/>
      <c r="L11" s="1523"/>
      <c r="M11" s="691"/>
      <c r="P11" s="2324"/>
      <c r="Q11" s="1490"/>
      <c r="R11" s="510"/>
      <c r="S11" s="1437"/>
      <c r="T11" s="441" t="s">
        <v>412</v>
      </c>
      <c r="U11" s="521"/>
      <c r="V11" s="521"/>
      <c r="W11" s="521"/>
      <c r="X11" s="521"/>
      <c r="Y11" s="521"/>
      <c r="Z11" s="521"/>
      <c r="AA11" s="521"/>
      <c r="AB11" s="521"/>
      <c r="AC11" s="520"/>
      <c r="AD11" s="521"/>
      <c r="AE11" s="521"/>
      <c r="AF11" s="521"/>
      <c r="AG11" s="521"/>
      <c r="AH11" s="521"/>
      <c r="AI11" s="521"/>
      <c r="AJ11" s="521"/>
      <c r="AK11" s="520"/>
      <c r="AL11" s="521"/>
      <c r="AM11" s="457"/>
      <c r="AO11" s="654"/>
      <c r="AP11" s="654" t="str">
        <f>IF(T11="","",T11)</f>
        <v>Добавить группу потребителей</v>
      </c>
      <c r="AQ11" s="654"/>
      <c r="AR11" s="654"/>
    </row>
    <row customHeight="1" ht="14.25" hidden="1">
      <c r="A12" s="1522"/>
      <c r="B12" s="1522"/>
      <c r="C12" s="1522"/>
      <c r="D12" s="1522"/>
      <c r="E12" s="2321"/>
      <c r="F12" s="2321"/>
      <c r="G12" s="2321"/>
      <c r="H12" s="2320"/>
      <c r="I12" s="1522"/>
      <c r="J12" s="1522"/>
      <c r="K12" s="1522"/>
      <c r="L12" s="1523"/>
      <c r="M12" s="1524"/>
      <c r="N12" s="1524"/>
      <c r="O12" s="691"/>
      <c r="P12" s="514"/>
      <c r="Q12" s="529"/>
      <c r="R12" s="509"/>
      <c r="S12" s="1437"/>
      <c r="T12" s="519" t="s">
        <v>413</v>
      </c>
      <c r="U12" s="521"/>
      <c r="V12" s="521"/>
      <c r="W12" s="521"/>
      <c r="X12" s="521"/>
      <c r="Y12" s="521"/>
      <c r="Z12" s="521"/>
      <c r="AA12" s="521"/>
      <c r="AB12" s="521"/>
      <c r="AC12" s="520"/>
      <c r="AD12" s="521"/>
      <c r="AE12" s="521"/>
      <c r="AF12" s="521"/>
      <c r="AG12" s="521"/>
      <c r="AH12" s="521"/>
      <c r="AI12" s="521"/>
      <c r="AJ12" s="521"/>
      <c r="AK12" s="520"/>
      <c r="AL12" s="521"/>
      <c r="AM12" s="457"/>
      <c r="AO12" s="654"/>
      <c r="AP12" s="654" t="str">
        <f>IF(T12="","",T12)</f>
        <v>Добавить схему подключения</v>
      </c>
      <c r="AQ12" s="654"/>
      <c r="AR12" s="654"/>
    </row>
    <row s="8702" customFormat="1" customHeight="1" ht="0.75" hidden="1">
      <c r="A13" s="1473"/>
      <c r="B13" s="1473"/>
      <c r="C13" s="1473"/>
      <c r="D13" s="1473"/>
      <c r="E13" s="2321"/>
      <c r="F13" s="2321"/>
      <c r="G13" s="2320"/>
      <c r="H13" s="1473"/>
      <c r="I13" s="1473"/>
      <c r="J13" s="1473"/>
      <c r="K13" s="1473"/>
      <c r="L13" s="1498"/>
      <c r="M13" s="1474"/>
      <c r="N13" s="1474"/>
      <c r="P13" s="1475"/>
      <c r="Q13" s="1476"/>
      <c r="R13" s="1475"/>
      <c r="S13" s="1477"/>
      <c r="T13" s="1478" t="s">
        <v>414</v>
      </c>
      <c r="U13" s="1479"/>
      <c r="V13" s="1479"/>
      <c r="W13" s="1479"/>
      <c r="X13" s="1479"/>
      <c r="Y13" s="1479"/>
      <c r="Z13" s="1479"/>
      <c r="AA13" s="1479"/>
      <c r="AB13" s="1479"/>
      <c r="AC13" s="1479"/>
      <c r="AD13" s="1479"/>
      <c r="AE13" s="1479"/>
      <c r="AF13" s="1479"/>
      <c r="AG13" s="1479"/>
      <c r="AH13" s="1479"/>
      <c r="AI13" s="1479"/>
      <c r="AJ13" s="1479"/>
      <c r="AK13" s="1479"/>
      <c r="AL13" s="1479"/>
      <c r="AM13" s="1479"/>
      <c r="AO13" s="943"/>
      <c r="AP13" s="943" t="str">
        <f>IF(T13="","",T13)</f>
        <v>Добавить источник для дифференциации</v>
      </c>
      <c r="AQ13" s="943"/>
      <c r="AR13" s="943"/>
    </row>
    <row s="8702" customFormat="1" customHeight="1" ht="0.75" hidden="1">
      <c r="A14" s="1473"/>
      <c r="B14" s="1473"/>
      <c r="C14" s="1473"/>
      <c r="D14" s="1473"/>
      <c r="E14" s="2321"/>
      <c r="F14" s="2320"/>
      <c r="G14" s="1473"/>
      <c r="H14" s="1473"/>
      <c r="I14" s="1473"/>
      <c r="J14" s="1473"/>
      <c r="K14" s="1473"/>
      <c r="L14" s="1498"/>
      <c r="M14" s="1480"/>
      <c r="N14" s="1480"/>
      <c r="P14" s="1475"/>
      <c r="Q14" s="1476"/>
      <c r="R14" s="1475"/>
      <c r="S14" s="1481"/>
      <c r="T14" s="1482" t="s">
        <v>251</v>
      </c>
      <c r="U14" s="1483"/>
      <c r="V14" s="1483"/>
      <c r="W14" s="1483"/>
      <c r="X14" s="1483"/>
      <c r="Y14" s="1483"/>
      <c r="Z14" s="1483"/>
      <c r="AA14" s="1483"/>
      <c r="AB14" s="1483"/>
      <c r="AC14" s="1483"/>
      <c r="AD14" s="1483"/>
      <c r="AE14" s="1483"/>
      <c r="AF14" s="1483"/>
      <c r="AG14" s="1483"/>
      <c r="AH14" s="1483"/>
      <c r="AI14" s="1483"/>
      <c r="AJ14" s="1483"/>
      <c r="AK14" s="1483"/>
      <c r="AL14" s="1483"/>
      <c r="AM14" s="1483"/>
      <c r="AO14" s="943"/>
      <c r="AP14" s="943" t="str">
        <f>IF(T14="","",T14)</f>
        <v>Добавить централизованную систему для дифференциации</v>
      </c>
      <c r="AQ14" s="943"/>
      <c r="AR14" s="943"/>
    </row>
    <row s="8702" customFormat="1" customHeight="1" ht="0.75" hidden="1">
      <c r="A15" s="1473"/>
      <c r="B15" s="1473"/>
      <c r="C15" s="1473"/>
      <c r="D15" s="1473"/>
      <c r="E15" s="2320"/>
      <c r="F15" s="1473"/>
      <c r="G15" s="1473"/>
      <c r="H15" s="1473"/>
      <c r="I15" s="1473"/>
      <c r="J15" s="1473"/>
      <c r="K15" s="1473"/>
      <c r="L15" s="1498"/>
      <c r="M15" s="1480"/>
      <c r="N15" s="1480"/>
      <c r="P15" s="1475"/>
      <c r="Q15" s="1476"/>
      <c r="R15" s="1475"/>
      <c r="S15" s="1481"/>
      <c r="T15" s="1484" t="s">
        <v>252</v>
      </c>
      <c r="U15" s="1483"/>
      <c r="V15" s="1483"/>
      <c r="W15" s="1483"/>
      <c r="X15" s="1483"/>
      <c r="Y15" s="1483"/>
      <c r="Z15" s="1483"/>
      <c r="AA15" s="1483"/>
      <c r="AB15" s="1483"/>
      <c r="AC15" s="1483"/>
      <c r="AD15" s="1483"/>
      <c r="AE15" s="1483"/>
      <c r="AF15" s="1483"/>
      <c r="AG15" s="1483"/>
      <c r="AH15" s="1483"/>
      <c r="AI15" s="1483"/>
      <c r="AJ15" s="1483"/>
      <c r="AK15" s="1483"/>
      <c r="AL15" s="1483"/>
      <c r="AM15" s="1483"/>
      <c r="AO15" s="943"/>
      <c r="AP15" s="943" t="str">
        <f>IF(T15="","",T15)</f>
        <v>Добавить территорию для дифференциации</v>
      </c>
      <c r="AQ15" s="943"/>
      <c r="AR15" s="943"/>
    </row>
    <row customHeight="1" ht="14.25" hidden="1">
      <c r="AC16" s="481"/>
      <c r="AK16" s="481"/>
    </row>
    <row customHeight="1" ht="14.25" hidden="1">
      <c r="AD17" s="1519"/>
      <c r="AE17" s="1519"/>
      <c r="AF17" s="1519"/>
      <c r="AG17" s="1520"/>
      <c r="AH17" s="2318"/>
      <c r="AI17" s="2317" t="s">
        <v>64</v>
      </c>
      <c r="AJ17" s="2318"/>
      <c r="AK17" s="2317" t="s">
        <v>64</v>
      </c>
    </row>
    <row customHeight="1" ht="14.25" hidden="1">
      <c r="AD18" s="1519"/>
      <c r="AE18" s="1519"/>
      <c r="AF18" s="1519"/>
      <c r="AG18" s="482" t="str">
        <f>AH17&amp;"-"&amp;AJ17</f>
        <v>-</v>
      </c>
      <c r="AH18" s="2317"/>
      <c r="AI18" s="2317"/>
      <c r="AJ18" s="2317"/>
      <c r="AK18" s="2317"/>
    </row>
    <row customHeight="1" ht="14.25" hidden="1">
      <c r="AK19" s="481"/>
    </row>
    <row s="8721" customFormat="1" customHeight="1" ht="22.5" hidden="1">
      <c r="L20" s="1488"/>
      <c r="M20" s="1521"/>
      <c r="N20" s="1521"/>
      <c r="O20" s="1526" t="s">
        <v>415</v>
      </c>
      <c r="P20" s="1521"/>
      <c r="Q20" s="1530"/>
      <c r="R20" s="1530"/>
      <c r="S20" s="883"/>
      <c r="Z20" s="1526"/>
      <c r="AB20" s="1526"/>
      <c r="AC20" s="1525"/>
      <c r="AH20" s="1526"/>
      <c r="AJ20" s="1526"/>
      <c r="AK20" s="1525"/>
      <c r="AN20" s="665"/>
      <c r="AO20" s="665"/>
      <c r="AP20" s="665"/>
      <c r="AQ20" s="665"/>
      <c r="AR20" s="665"/>
    </row>
    <row s="8721" customFormat="1" customHeight="1" ht="14.25" hidden="1">
      <c r="L21" s="1488"/>
      <c r="M21" s="1521"/>
      <c r="N21" s="1521"/>
      <c r="O21" s="1521"/>
      <c r="P21" s="1521"/>
      <c r="Q21" s="1530"/>
      <c r="R21" s="1530"/>
      <c r="S21" s="883"/>
      <c r="AC21" s="1525"/>
      <c r="AK21" s="1525"/>
      <c r="AN21" s="665"/>
      <c r="AO21" s="665"/>
      <c r="AP21" s="665"/>
      <c r="AQ21" s="665"/>
      <c r="AR21" s="665"/>
    </row>
    <row s="8721" customFormat="1" customHeight="1" ht="33.75" hidden="1">
      <c r="L22" s="1488"/>
      <c r="M22" s="1521"/>
      <c r="N22" s="1521"/>
      <c r="O22" s="1523" t="s">
        <v>416</v>
      </c>
      <c r="P22" s="1521"/>
      <c r="Q22" s="1530"/>
      <c r="R22" s="1530"/>
      <c r="S22" s="883"/>
      <c r="T22" s="1316" t="s">
        <v>417</v>
      </c>
      <c r="AA22" s="340" t="s">
        <v>418</v>
      </c>
      <c r="AC22" s="340" t="s">
        <v>419</v>
      </c>
      <c r="AD22" s="1316" t="s">
        <v>417</v>
      </c>
      <c r="AI22" s="340" t="s">
        <v>420</v>
      </c>
      <c r="AK22" s="340" t="s">
        <v>419</v>
      </c>
      <c r="AN22" s="665"/>
      <c r="AO22" s="665"/>
      <c r="AP22" s="665"/>
      <c r="AQ22" s="665"/>
      <c r="AR22" s="665"/>
    </row>
    <row customHeight="1" ht="14.25" hidden="1">
      <c r="O23" s="1523"/>
    </row>
    <row customHeight="1" ht="14.25" hidden="1">
      <c r="O24" s="1523"/>
    </row>
    <row customHeight="1" ht="14.25">
      <c r="Q25" s="530"/>
      <c r="R25" s="530"/>
      <c r="S25" s="1434"/>
      <c r="T25" s="517"/>
      <c r="U25" s="517"/>
      <c r="V25" s="663"/>
      <c r="W25" s="663"/>
      <c r="X25" s="663"/>
      <c r="Y25" s="663"/>
      <c r="Z25" s="663"/>
      <c r="AA25" s="663"/>
      <c r="AB25" s="663"/>
      <c r="AC25" s="663"/>
      <c r="AD25" s="663"/>
      <c r="AE25" s="663"/>
      <c r="AF25" s="663"/>
      <c r="AG25" s="663"/>
      <c r="AH25" s="663"/>
      <c r="AI25" s="663"/>
      <c r="AJ25" s="663"/>
      <c r="AK25" s="663"/>
    </row>
    <row customHeight="1" ht="27.75">
      <c r="Q26" s="530"/>
      <c r="R26" s="530"/>
      <c r="S26" s="2353" t="str">
        <f>IF(TEMPLATE_GROUP="P",PT_P_FORM_HEAT_4_NAME_FORM,PT_R_FORM_HEAT_21_NAME_FORM)</f>
        <v>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v>
      </c>
      <c r="T26" s="2353"/>
      <c r="U26" s="2353"/>
      <c r="V26" s="2353"/>
      <c r="W26" s="2353"/>
      <c r="X26" s="2353"/>
      <c r="Y26" s="2353"/>
      <c r="Z26" s="2353"/>
      <c r="AA26" s="2353"/>
      <c r="AB26" s="2353"/>
      <c r="AC26" s="2353"/>
      <c r="AD26" s="2353"/>
      <c r="AE26" s="2353"/>
      <c r="AF26" s="2353"/>
      <c r="AG26" s="2353"/>
      <c r="AH26" s="2353"/>
      <c r="AI26" s="2353"/>
      <c r="AJ26" s="2353"/>
      <c r="AK26" s="1401"/>
    </row>
    <row customHeight="1" ht="14.25">
      <c r="Q27" s="530"/>
      <c r="R27" s="530"/>
      <c r="S27" s="2354" t="str">
        <f>IF(org=0,"Не определено",org)</f>
        <v>АО "Теплокоммунэнерго"</v>
      </c>
      <c r="T27" s="2354"/>
      <c r="U27" s="2354"/>
      <c r="V27" s="2354"/>
      <c r="W27" s="2354"/>
      <c r="X27" s="2354"/>
      <c r="Y27" s="2354"/>
      <c r="Z27" s="2354"/>
      <c r="AA27" s="2354"/>
      <c r="AB27" s="2354"/>
      <c r="AC27" s="2354"/>
      <c r="AD27" s="2354"/>
      <c r="AE27" s="2354"/>
      <c r="AF27" s="2354"/>
      <c r="AG27" s="2354"/>
      <c r="AH27" s="2354"/>
      <c r="AI27" s="2354"/>
      <c r="AJ27" s="2354"/>
      <c r="AK27" s="1401"/>
    </row>
    <row customHeight="1" ht="14.25">
      <c r="Q28" s="530"/>
      <c r="R28" s="530"/>
      <c r="S28" s="1434"/>
      <c r="T28" s="517"/>
      <c r="U28" s="517"/>
      <c r="V28" s="476"/>
      <c r="W28" s="476"/>
      <c r="X28" s="476"/>
      <c r="Y28" s="476"/>
      <c r="Z28" s="476"/>
      <c r="AA28" s="476"/>
      <c r="AB28" s="476"/>
      <c r="AC28" s="476"/>
      <c r="AD28" s="476"/>
      <c r="AE28" s="476"/>
      <c r="AF28" s="476"/>
      <c r="AG28" s="476"/>
      <c r="AH28" s="476"/>
      <c r="AI28" s="476"/>
      <c r="AJ28" s="476"/>
      <c r="AK28" s="476"/>
      <c r="AL28" s="663"/>
    </row>
    <row s="8735" customFormat="1" customHeight="1" ht="25.5">
      <c r="A29" s="1527"/>
      <c r="B29" s="1527"/>
      <c r="C29" s="1527"/>
      <c r="D29" s="1527"/>
      <c r="E29" s="1527"/>
      <c r="F29" s="1527"/>
      <c r="G29" s="1527"/>
      <c r="H29" s="1527"/>
      <c r="I29" s="1527"/>
      <c r="J29" s="1527"/>
      <c r="K29" s="1527"/>
      <c r="L29" s="1528"/>
      <c r="M29" s="1527"/>
      <c r="N29" s="1527"/>
      <c r="O29" s="1527"/>
      <c r="S29" s="2311" t="s">
        <v>38</v>
      </c>
      <c r="T29" s="2311"/>
      <c r="U29" s="1531"/>
      <c r="V29" s="2313" t="str">
        <f>IF(TITLE_NAME_OR_PR_CHANGE="",IF(TITLE_NAME_OR_PR="","",TITLE_NAME_OR_PR),TITLE_NAME_OR_PR_CHANGE)</f>
        <v>Региональная служба по тарифам Ростовской области</v>
      </c>
      <c r="W29" s="2313"/>
      <c r="X29" s="2313"/>
      <c r="Y29" s="2313"/>
      <c r="Z29" s="2313"/>
      <c r="AA29" s="2313"/>
      <c r="AB29" s="2313"/>
      <c r="AC29" s="480"/>
      <c r="AD29" s="2313" t="str">
        <f>IF(TITLE_NAME_OR_PR_CHANGE="",IF(TITLE_NAME_OR_PR="","",TITLE_NAME_OR_PR),TITLE_NAME_OR_PR_CHANGE)</f>
        <v>Региональная служба по тарифам Ростовской области</v>
      </c>
      <c r="AE29" s="2313"/>
      <c r="AF29" s="2313"/>
      <c r="AG29" s="2313"/>
      <c r="AH29" s="2313"/>
      <c r="AI29" s="2313"/>
      <c r="AJ29" s="2313"/>
      <c r="AK29" s="480"/>
      <c r="AL29" s="480"/>
      <c r="AM29" s="434"/>
      <c r="AN29" s="522"/>
      <c r="AO29" s="522"/>
      <c r="AP29" s="522"/>
      <c r="AQ29" s="522"/>
      <c r="AR29" s="522"/>
    </row>
    <row s="8735" customFormat="1" customHeight="1" ht="18.75">
      <c r="A30" s="1527"/>
      <c r="B30" s="1527"/>
      <c r="C30" s="1527"/>
      <c r="D30" s="1527"/>
      <c r="E30" s="1527"/>
      <c r="F30" s="1527"/>
      <c r="G30" s="1527"/>
      <c r="H30" s="1527"/>
      <c r="I30" s="1527"/>
      <c r="J30" s="1527"/>
      <c r="K30" s="1527"/>
      <c r="L30" s="1528"/>
      <c r="M30" s="1527"/>
      <c r="N30" s="1527"/>
      <c r="O30" s="1527"/>
      <c r="S30" s="2311" t="s">
        <v>421</v>
      </c>
      <c r="T30" s="2311"/>
      <c r="U30" s="1531"/>
      <c r="V30" s="2312" t="str">
        <f>IF(TITLE_DATE_PR_CHANGE="",IF(TITLE_DATE_PR="","",TITLE_DATE_PR),TITLE_DATE_PR_CHANGE)</f>
        <v>45279</v>
      </c>
      <c r="W30" s="2312"/>
      <c r="X30" s="2312"/>
      <c r="Y30" s="2312"/>
      <c r="Z30" s="2312"/>
      <c r="AA30" s="2312"/>
      <c r="AB30" s="2312"/>
      <c r="AC30" s="480"/>
      <c r="AD30" s="2312" t="str">
        <f>IF(TITLE_DATE_PR_CHANGE="",IF(TITLE_DATE_PR="","",TITLE_DATE_PR),TITLE_DATE_PR_CHANGE)</f>
        <v>45279</v>
      </c>
      <c r="AE30" s="2312"/>
      <c r="AF30" s="2312"/>
      <c r="AG30" s="2312"/>
      <c r="AH30" s="2312"/>
      <c r="AI30" s="2312"/>
      <c r="AJ30" s="2312"/>
      <c r="AK30" s="480"/>
      <c r="AL30" s="480"/>
      <c r="AM30" s="434"/>
      <c r="AN30" s="522"/>
      <c r="AO30" s="522"/>
      <c r="AP30" s="522"/>
      <c r="AQ30" s="522"/>
      <c r="AR30" s="522"/>
    </row>
    <row s="8735" customFormat="1" customHeight="1" ht="18.75">
      <c r="A31" s="1527"/>
      <c r="B31" s="1527"/>
      <c r="C31" s="1527"/>
      <c r="D31" s="1527"/>
      <c r="E31" s="1527"/>
      <c r="F31" s="1527"/>
      <c r="G31" s="1527"/>
      <c r="H31" s="1527"/>
      <c r="I31" s="1527"/>
      <c r="J31" s="1527"/>
      <c r="K31" s="1527"/>
      <c r="L31" s="1528"/>
      <c r="M31" s="1527"/>
      <c r="N31" s="1527"/>
      <c r="O31" s="1527"/>
      <c r="S31" s="2311" t="s">
        <v>422</v>
      </c>
      <c r="T31" s="2311"/>
      <c r="U31" s="1531"/>
      <c r="V31" s="2313" t="str">
        <f>IF(TITLE_NUMBER_PR_CHANGE="",IF(TITLE_NUMBER_PR="","",TITLE_NUMBER_PR),TITLE_NUMBER_PR_CHANGE)</f>
        <v>877</v>
      </c>
      <c r="W31" s="2313"/>
      <c r="X31" s="2313"/>
      <c r="Y31" s="2313"/>
      <c r="Z31" s="2313"/>
      <c r="AA31" s="2313"/>
      <c r="AB31" s="2313"/>
      <c r="AC31" s="480"/>
      <c r="AD31" s="2313" t="str">
        <f>IF(TITLE_NUMBER_PR_CHANGE="",IF(TITLE_NUMBER_PR="","",TITLE_NUMBER_PR),TITLE_NUMBER_PR_CHANGE)</f>
        <v>877</v>
      </c>
      <c r="AE31" s="2313"/>
      <c r="AF31" s="2313"/>
      <c r="AG31" s="2313"/>
      <c r="AH31" s="2313"/>
      <c r="AI31" s="2313"/>
      <c r="AJ31" s="2313"/>
      <c r="AK31" s="480"/>
      <c r="AL31" s="480"/>
      <c r="AM31" s="434"/>
      <c r="AN31" s="522"/>
      <c r="AO31" s="522"/>
      <c r="AP31" s="522"/>
      <c r="AQ31" s="522"/>
      <c r="AR31" s="522"/>
    </row>
    <row s="8735" customFormat="1" customHeight="1" ht="18.75">
      <c r="A32" s="1527"/>
      <c r="B32" s="1527"/>
      <c r="C32" s="1527"/>
      <c r="D32" s="1527"/>
      <c r="E32" s="1527"/>
      <c r="F32" s="1527"/>
      <c r="G32" s="1527"/>
      <c r="H32" s="1527"/>
      <c r="I32" s="1527"/>
      <c r="J32" s="1527"/>
      <c r="K32" s="1527"/>
      <c r="L32" s="1528"/>
      <c r="M32" s="1527"/>
      <c r="N32" s="1527"/>
      <c r="O32" s="1527"/>
      <c r="S32" s="2311" t="s">
        <v>40</v>
      </c>
      <c r="T32" s="2311"/>
      <c r="U32" s="1531"/>
      <c r="V32" s="2313" t="str">
        <f>IF(TITLE_IST_PUB_CHANGE="",IF(TITLE_IST_PUB="","",TITLE_IST_PUB),TITLE_IST_PUB_CHANGE)</f>
        <v>Официальный портал правовой информации Ростовской области</v>
      </c>
      <c r="W32" s="2313"/>
      <c r="X32" s="2313"/>
      <c r="Y32" s="2313"/>
      <c r="Z32" s="2313"/>
      <c r="AA32" s="2313"/>
      <c r="AB32" s="2313"/>
      <c r="AC32" s="480"/>
      <c r="AD32" s="2313" t="str">
        <f>IF(TITLE_IST_PUB_CHANGE="",IF(TITLE_IST_PUB="","",TITLE_IST_PUB),TITLE_IST_PUB_CHANGE)</f>
        <v>Официальный портал правовой информации Ростовской области</v>
      </c>
      <c r="AE32" s="2313"/>
      <c r="AF32" s="2313"/>
      <c r="AG32" s="2313"/>
      <c r="AH32" s="2313"/>
      <c r="AI32" s="2313"/>
      <c r="AJ32" s="2313"/>
      <c r="AK32" s="480"/>
      <c r="AL32" s="480"/>
      <c r="AM32" s="434"/>
      <c r="AN32" s="522"/>
      <c r="AO32" s="522"/>
      <c r="AP32" s="522"/>
      <c r="AQ32" s="522"/>
      <c r="AR32" s="522"/>
    </row>
    <row customHeight="1" ht="14.25" hidden="1">
      <c r="Q33" s="530"/>
      <c r="R33" s="530"/>
      <c r="S33" s="1434"/>
      <c r="T33" s="517"/>
      <c r="U33" s="517"/>
      <c r="V33" s="476"/>
      <c r="W33" s="476"/>
      <c r="X33" s="476"/>
      <c r="Y33" s="476"/>
      <c r="Z33" s="476"/>
      <c r="AA33" s="476"/>
      <c r="AB33" s="476"/>
      <c r="AC33" s="476"/>
      <c r="AD33" s="476"/>
      <c r="AE33" s="476"/>
      <c r="AF33" s="476"/>
      <c r="AG33" s="476"/>
      <c r="AH33" s="476"/>
      <c r="AI33" s="476"/>
      <c r="AJ33" s="476"/>
      <c r="AK33" s="476"/>
      <c r="AL33" s="663"/>
    </row>
    <row s="8735" customFormat="1" customHeight="1" ht="18.75" hidden="1">
      <c r="A34" s="1527"/>
      <c r="B34" s="1527"/>
      <c r="C34" s="1527"/>
      <c r="D34" s="1527"/>
      <c r="E34" s="1527"/>
      <c r="F34" s="1527"/>
      <c r="G34" s="1527"/>
      <c r="H34" s="1527"/>
      <c r="I34" s="1527"/>
      <c r="J34" s="1527"/>
      <c r="K34" s="1527"/>
      <c r="L34" s="1528"/>
      <c r="M34" s="1527"/>
      <c r="N34" s="1527"/>
      <c r="O34" s="1527"/>
      <c r="S34" s="2311" t="s">
        <v>423</v>
      </c>
      <c r="T34" s="2311"/>
      <c r="U34" s="1531"/>
      <c r="V34" s="2312" t="str">
        <f>IF(TITLE_DATE_PR_CHANGE="",IF(TITLE_DATE_PR="","",TITLE_DATE_PR),TITLE_DATE_PR_CHANGE)</f>
        <v>45279</v>
      </c>
      <c r="W34" s="2312"/>
      <c r="X34" s="2312"/>
      <c r="Y34" s="2312"/>
      <c r="Z34" s="2312"/>
      <c r="AA34" s="2312"/>
      <c r="AB34" s="2312"/>
      <c r="AC34" s="480"/>
      <c r="AD34" s="2312" t="str">
        <f>IF(TITLE_DATE_PR_CHANGE="",IF(TITLE_DATE_PR="","",TITLE_DATE_PR),TITLE_DATE_PR_CHANGE)</f>
        <v>45279</v>
      </c>
      <c r="AE34" s="2312"/>
      <c r="AF34" s="2312"/>
      <c r="AG34" s="2312"/>
      <c r="AH34" s="2312"/>
      <c r="AI34" s="2312"/>
      <c r="AJ34" s="2312"/>
      <c r="AK34" s="480"/>
      <c r="AL34" s="480"/>
      <c r="AM34" s="434"/>
      <c r="AN34" s="522"/>
      <c r="AO34" s="522"/>
      <c r="AP34" s="522"/>
      <c r="AQ34" s="522"/>
      <c r="AR34" s="522"/>
    </row>
    <row s="8735" customFormat="1" customHeight="1" ht="18.75" hidden="1">
      <c r="A35" s="1527"/>
      <c r="B35" s="1527"/>
      <c r="C35" s="1527"/>
      <c r="D35" s="1527"/>
      <c r="E35" s="1527"/>
      <c r="F35" s="1527"/>
      <c r="G35" s="1527"/>
      <c r="H35" s="1527"/>
      <c r="I35" s="1527"/>
      <c r="J35" s="1527"/>
      <c r="K35" s="1527"/>
      <c r="L35" s="1528"/>
      <c r="M35" s="1527"/>
      <c r="N35" s="1527"/>
      <c r="O35" s="1527"/>
      <c r="S35" s="2311" t="s">
        <v>424</v>
      </c>
      <c r="T35" s="2311"/>
      <c r="U35" s="1531"/>
      <c r="V35" s="2313" t="str">
        <f>IF(TITLE_NUMBER_PR_CHANGE="",IF(TITLE_NUMBER_PR="","",TITLE_NUMBER_PR),TITLE_NUMBER_PR_CHANGE)</f>
        <v>877</v>
      </c>
      <c r="W35" s="2313"/>
      <c r="X35" s="2313"/>
      <c r="Y35" s="2313"/>
      <c r="Z35" s="2313"/>
      <c r="AA35" s="2313"/>
      <c r="AB35" s="2313"/>
      <c r="AC35" s="480"/>
      <c r="AD35" s="2313" t="str">
        <f>IF(TITLE_NUMBER_PR_CHANGE="",IF(TITLE_NUMBER_PR="","",TITLE_NUMBER_PR),TITLE_NUMBER_PR_CHANGE)</f>
        <v>877</v>
      </c>
      <c r="AE35" s="2313"/>
      <c r="AF35" s="2313"/>
      <c r="AG35" s="2313"/>
      <c r="AH35" s="2313"/>
      <c r="AI35" s="2313"/>
      <c r="AJ35" s="2313"/>
      <c r="AK35" s="480"/>
      <c r="AL35" s="480"/>
      <c r="AM35" s="434"/>
      <c r="AN35" s="522"/>
      <c r="AO35" s="522"/>
      <c r="AP35" s="522"/>
      <c r="AQ35" s="522"/>
      <c r="AR35" s="522"/>
    </row>
    <row s="8735" customFormat="1" customHeight="1" ht="0">
      <c r="A36" s="1527"/>
      <c r="B36" s="1527"/>
      <c r="C36" s="1527"/>
      <c r="D36" s="1527"/>
      <c r="E36" s="1527"/>
      <c r="F36" s="1527"/>
      <c r="G36" s="1527"/>
      <c r="H36" s="1527"/>
      <c r="I36" s="1527"/>
      <c r="J36" s="1527"/>
      <c r="K36" s="1527"/>
      <c r="L36" s="1528"/>
      <c r="M36" s="1527"/>
      <c r="N36" s="1527"/>
      <c r="O36" s="1527"/>
      <c r="S36" s="477"/>
      <c r="T36" s="477"/>
      <c r="U36" s="1499"/>
      <c r="V36" s="480"/>
      <c r="W36" s="480"/>
      <c r="X36" s="480"/>
      <c r="Y36" s="480"/>
      <c r="Z36" s="480"/>
      <c r="AA36" s="480"/>
      <c r="AB36" s="480"/>
      <c r="AC36" s="432" t="s">
        <v>425</v>
      </c>
      <c r="AD36" s="480"/>
      <c r="AE36" s="480"/>
      <c r="AF36" s="480"/>
      <c r="AG36" s="480"/>
      <c r="AH36" s="480"/>
      <c r="AI36" s="480"/>
      <c r="AJ36" s="480"/>
      <c r="AK36" s="432" t="s">
        <v>425</v>
      </c>
      <c r="AN36" s="522"/>
      <c r="AO36" s="522"/>
      <c r="AP36" s="522"/>
      <c r="AQ36" s="522"/>
      <c r="AR36" s="522"/>
    </row>
    <row customHeight="1" ht="14.25">
      <c r="Q37" s="530"/>
      <c r="R37" s="530"/>
      <c r="S37" s="1434"/>
      <c r="T37" s="517"/>
      <c r="U37" s="1402"/>
      <c r="V37" s="2337"/>
      <c r="W37" s="2337"/>
      <c r="X37" s="2337"/>
      <c r="Y37" s="2337"/>
      <c r="Z37" s="2337"/>
      <c r="AA37" s="2337"/>
      <c r="AB37" s="2337"/>
      <c r="AC37" s="2337"/>
      <c r="AD37" s="2337"/>
      <c r="AE37" s="2337"/>
      <c r="AF37" s="2337"/>
      <c r="AG37" s="2337"/>
      <c r="AH37" s="2337"/>
      <c r="AI37" s="2337"/>
      <c r="AJ37" s="2337"/>
      <c r="AK37" s="2337"/>
    </row>
    <row customHeight="1" ht="14.25">
      <c r="Q38" s="530"/>
      <c r="R38" s="530"/>
      <c r="S38" s="2185" t="s">
        <v>300</v>
      </c>
      <c r="T38" s="2185"/>
      <c r="U38" s="2185"/>
      <c r="V38" s="2185"/>
      <c r="W38" s="2185"/>
      <c r="X38" s="2185"/>
      <c r="Y38" s="2185"/>
      <c r="Z38" s="2185"/>
      <c r="AA38" s="2185"/>
      <c r="AB38" s="2185"/>
      <c r="AC38" s="2185"/>
      <c r="AD38" s="2185"/>
      <c r="AE38" s="2185"/>
      <c r="AF38" s="2185"/>
      <c r="AG38" s="2185"/>
      <c r="AH38" s="2185"/>
      <c r="AI38" s="2185"/>
      <c r="AJ38" s="2185"/>
      <c r="AK38" s="2185"/>
      <c r="AL38" s="2185"/>
      <c r="AM38" s="2185" t="s">
        <v>301</v>
      </c>
    </row>
    <row customHeight="1" ht="14.25">
      <c r="Q39" s="530"/>
      <c r="R39" s="530"/>
      <c r="S39" s="2338" t="s">
        <v>85</v>
      </c>
      <c r="T39" s="2275" t="s">
        <v>426</v>
      </c>
      <c r="U39" s="455"/>
      <c r="V39" s="2339" t="s">
        <v>427</v>
      </c>
      <c r="W39" s="2340"/>
      <c r="X39" s="2361"/>
      <c r="Y39" s="2361"/>
      <c r="Z39" s="2340"/>
      <c r="AA39" s="2340"/>
      <c r="AB39" s="2341"/>
      <c r="AC39" s="2342" t="s">
        <v>428</v>
      </c>
      <c r="AD39" s="2339" t="s">
        <v>427</v>
      </c>
      <c r="AE39" s="2340"/>
      <c r="AF39" s="2361"/>
      <c r="AG39" s="2361"/>
      <c r="AH39" s="2340"/>
      <c r="AI39" s="2340"/>
      <c r="AJ39" s="2341"/>
      <c r="AK39" s="2342" t="s">
        <v>429</v>
      </c>
      <c r="AL39" s="2345" t="s">
        <v>430</v>
      </c>
      <c r="AM39" s="2185"/>
    </row>
    <row customHeight="1" ht="23.25">
      <c r="Q40" s="530"/>
      <c r="R40" s="530"/>
      <c r="S40" s="2338"/>
      <c r="T40" s="2275"/>
      <c r="U40" s="1186"/>
      <c r="V40" s="2357" t="s">
        <v>431</v>
      </c>
      <c r="W40" s="2359" t="s">
        <v>432</v>
      </c>
      <c r="X40" s="1535" t="s">
        <v>433</v>
      </c>
      <c r="Y40" s="1535"/>
      <c r="Z40" s="2332" t="s">
        <v>434</v>
      </c>
      <c r="AA40" s="2332"/>
      <c r="AB40" s="2333"/>
      <c r="AC40" s="2343"/>
      <c r="AD40" s="2357" t="s">
        <v>431</v>
      </c>
      <c r="AE40" s="2359" t="s">
        <v>432</v>
      </c>
      <c r="AF40" s="1535" t="s">
        <v>433</v>
      </c>
      <c r="AG40" s="1535"/>
      <c r="AH40" s="2332" t="s">
        <v>434</v>
      </c>
      <c r="AI40" s="2332"/>
      <c r="AJ40" s="2333"/>
      <c r="AK40" s="2343"/>
      <c r="AL40" s="2346"/>
      <c r="AM40" s="2185"/>
    </row>
    <row s="8859" customFormat="1" customHeight="1" ht="23.25">
      <c r="A41" s="1529"/>
      <c r="B41" s="1529" t="s">
        <v>132</v>
      </c>
      <c r="C41" s="1529" t="s">
        <v>133</v>
      </c>
      <c r="D41" s="1529" t="s">
        <v>134</v>
      </c>
      <c r="E41" s="1523" t="s">
        <v>435</v>
      </c>
      <c r="F41" s="1523" t="s">
        <v>436</v>
      </c>
      <c r="G41" s="1523" t="s">
        <v>437</v>
      </c>
      <c r="H41" s="1523" t="s">
        <v>438</v>
      </c>
      <c r="I41" s="1523" t="s">
        <v>439</v>
      </c>
      <c r="J41" s="1523" t="s">
        <v>440</v>
      </c>
      <c r="K41" s="1523" t="s">
        <v>441</v>
      </c>
      <c r="L41" s="1523" t="s">
        <v>416</v>
      </c>
      <c r="M41" s="1521"/>
      <c r="N41" s="1521"/>
      <c r="O41" s="1521"/>
      <c r="P41" s="1487"/>
      <c r="Q41" s="530"/>
      <c r="R41" s="530"/>
      <c r="S41" s="2338"/>
      <c r="T41" s="2275"/>
      <c r="U41" s="456"/>
      <c r="V41" s="2358"/>
      <c r="W41" s="2360"/>
      <c r="X41" s="1532" t="s">
        <v>442</v>
      </c>
      <c r="Y41" s="1532" t="s">
        <v>443</v>
      </c>
      <c r="Z41" s="1493" t="s">
        <v>444</v>
      </c>
      <c r="AA41" s="2334" t="s">
        <v>445</v>
      </c>
      <c r="AB41" s="2335"/>
      <c r="AC41" s="2344"/>
      <c r="AD41" s="2358"/>
      <c r="AE41" s="2360"/>
      <c r="AF41" s="1532" t="s">
        <v>442</v>
      </c>
      <c r="AG41" s="1532" t="s">
        <v>443</v>
      </c>
      <c r="AH41" s="1493" t="s">
        <v>444</v>
      </c>
      <c r="AI41" s="2334" t="s">
        <v>445</v>
      </c>
      <c r="AJ41" s="2335"/>
      <c r="AK41" s="2344"/>
      <c r="AL41" s="2347"/>
      <c r="AM41" s="2185"/>
      <c r="AN41" s="665"/>
      <c r="AO41" s="654"/>
      <c r="AP41" s="654"/>
      <c r="AQ41" s="654"/>
      <c r="AR41" s="654"/>
    </row>
    <row s="8552" customFormat="1" customHeight="1" ht="11.25" hidden="1">
      <c r="A42" s="1529"/>
      <c r="B42" s="1529"/>
      <c r="C42" s="1529"/>
      <c r="D42" s="1529"/>
      <c r="E42" s="1529"/>
      <c r="F42" s="1529"/>
      <c r="G42" s="1529"/>
      <c r="H42" s="1529"/>
      <c r="I42" s="1529"/>
      <c r="J42" s="1529"/>
      <c r="K42" s="1529"/>
      <c r="L42" s="1523"/>
      <c r="M42" s="1521"/>
      <c r="N42" s="1521"/>
      <c r="O42" s="1521"/>
      <c r="P42" s="1404"/>
      <c r="Q42" s="1405"/>
      <c r="R42" s="1412">
        <v>1</v>
      </c>
      <c r="S42" s="1436" t="s">
        <v>106</v>
      </c>
      <c r="T42" s="1413" t="s">
        <v>107</v>
      </c>
      <c r="U42" s="1403" t="str">
        <f>OFFSET(U42,0,-1)</f>
        <v>2</v>
      </c>
      <c r="V42" s="1494">
        <f>OFFSET(V42,0,-1)+1</f>
        <v>3</v>
      </c>
      <c r="W42" s="1494"/>
      <c r="X42" s="1500">
        <f>OFFSET(X42,0,-1)+1</f>
        <v>1</v>
      </c>
      <c r="Y42" s="1500">
        <f>OFFSET(Y42,0,-1)+1</f>
        <v>2</v>
      </c>
      <c r="Z42" s="1494">
        <f>OFFSET(Z42,0,-1)+1</f>
        <v>3</v>
      </c>
      <c r="AA42" s="2336">
        <f>OFFSET(AA42,0,-1)+1</f>
        <v>4</v>
      </c>
      <c r="AB42" s="2336"/>
      <c r="AC42" s="1494">
        <f>OFFSET(AC42,0,-2)+1</f>
        <v>5</v>
      </c>
      <c r="AD42" s="1494">
        <f>OFFSET(AD42,0,-1)+1</f>
        <v>6</v>
      </c>
      <c r="AE42" s="1494"/>
      <c r="AF42" s="1500">
        <f>OFFSET(AF42,0,-1)+1</f>
        <v>1</v>
      </c>
      <c r="AG42" s="1500">
        <f>OFFSET(AG42,0,-1)+1</f>
        <v>2</v>
      </c>
      <c r="AH42" s="1494">
        <f>OFFSET(AH42,0,-1)+1</f>
        <v>3</v>
      </c>
      <c r="AI42" s="2336">
        <f>OFFSET(AI42,0,-1)+1</f>
        <v>4</v>
      </c>
      <c r="AJ42" s="2336"/>
      <c r="AK42" s="1494">
        <f>OFFSET(AK42,0,-2)+1</f>
        <v>5</v>
      </c>
      <c r="AL42" s="1403">
        <f>OFFSET(AL42,0,-1)</f>
        <v>5</v>
      </c>
      <c r="AM42" s="1494">
        <f>OFFSET(AM42,0,-1)+1</f>
        <v>6</v>
      </c>
      <c r="AN42" s="665"/>
      <c r="AO42" s="665"/>
      <c r="AP42" s="665"/>
      <c r="AQ42" s="665"/>
      <c r="AR42" s="665"/>
    </row>
    <row customHeight="1" ht="21">
      <c r="A43" s="1522" t="s">
        <v>189</v>
      </c>
      <c r="B43" s="1522"/>
      <c r="C43" s="1522"/>
      <c r="D43" s="1522"/>
      <c r="E43" s="2320">
        <v>1</v>
      </c>
      <c r="F43" s="1522"/>
      <c r="G43" s="1522"/>
      <c r="H43" s="1522"/>
      <c r="I43" s="1522"/>
      <c r="J43" s="1522"/>
      <c r="K43" s="1522"/>
      <c r="L43" s="1523"/>
      <c r="M43" s="1524"/>
      <c r="N43" s="1524"/>
      <c r="O43" s="1524"/>
      <c r="P43" s="515"/>
      <c r="Q43" s="514"/>
      <c r="R43" s="509"/>
      <c r="S43" s="1495">
        <f>INDEX(PT_DIFFERENTIATION_NUM_NTAR,MATCH(A43,PT_DIFFERENTIATION_NTAR_ID,0))</f>
        <v>0</v>
      </c>
      <c r="T43" s="452" t="s">
        <v>120</v>
      </c>
      <c r="U43" s="454"/>
      <c r="V43" s="2314"/>
      <c r="W43" s="2315"/>
      <c r="X43" s="2315"/>
      <c r="Y43" s="2315"/>
      <c r="Z43" s="2315"/>
      <c r="AA43" s="2315"/>
      <c r="AB43" s="2315"/>
      <c r="AC43" s="2316"/>
      <c r="AD43" s="2314" t="str">
        <f>INDEX(PT_DIFFERENTIATION_NTAR,MATCH(A43,PT_DIFFERENTIATION_NTAR_ID,0))</f>
        <v/>
      </c>
      <c r="AE43" s="2315"/>
      <c r="AF43" s="2315"/>
      <c r="AG43" s="2315"/>
      <c r="AH43" s="2315"/>
      <c r="AI43" s="2315"/>
      <c r="AJ43" s="2315"/>
      <c r="AK43" s="2315"/>
      <c r="AL43" s="2316"/>
      <c r="AM43" s="1416"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O43" s="654"/>
      <c r="AP43" s="654" t="str">
        <f>IF(T43="","",T43)</f>
        <v>Наименование тарифа</v>
      </c>
      <c r="AQ43" s="654"/>
      <c r="AR43" s="654"/>
    </row>
    <row customHeight="1" ht="21">
      <c r="A44" s="1522" t="s">
        <v>189</v>
      </c>
      <c r="B44" s="1522" t="s">
        <v>190</v>
      </c>
      <c r="C44" s="1522"/>
      <c r="D44" s="1522"/>
      <c r="E44" s="2321"/>
      <c r="F44" s="2320">
        <v>1</v>
      </c>
      <c r="G44" s="1522"/>
      <c r="H44" s="1522"/>
      <c r="I44" s="1522"/>
      <c r="J44" s="1522"/>
      <c r="K44" s="1522"/>
      <c r="L44" s="1523"/>
      <c r="M44" s="1524"/>
      <c r="N44" s="1524"/>
      <c r="O44" s="1524"/>
      <c r="P44" s="1491"/>
      <c r="Q44" s="506"/>
      <c r="R44" s="507"/>
      <c r="S44" s="1495" t="str">
        <f>INDEX(PT_DIFFERENTIATION_NUM_TER,MATCH(B44,PT_DIFFERENTIATION_TER_ID,0))</f>
        <v>.</v>
      </c>
      <c r="T44" s="462" t="s">
        <v>397</v>
      </c>
      <c r="U44" s="454"/>
      <c r="V44" s="2314"/>
      <c r="W44" s="2315"/>
      <c r="X44" s="2315"/>
      <c r="Y44" s="2315"/>
      <c r="Z44" s="2315"/>
      <c r="AA44" s="2315"/>
      <c r="AB44" s="2315"/>
      <c r="AC44" s="2316"/>
      <c r="AD44" s="2314" t="str">
        <f>INDEX(PT_DIFFERENTIATION_TER,MATCH(B44,PT_DIFFERENTIATION_TER_ID,0))</f>
        <v/>
      </c>
      <c r="AE44" s="2315"/>
      <c r="AF44" s="2315"/>
      <c r="AG44" s="2315"/>
      <c r="AH44" s="2315"/>
      <c r="AI44" s="2315"/>
      <c r="AJ44" s="2315"/>
      <c r="AK44" s="2315"/>
      <c r="AL44" s="2316"/>
      <c r="AM44" s="1416" t="s">
        <v>398</v>
      </c>
      <c r="AO44" s="654"/>
      <c r="AP44" s="654" t="str">
        <f>IF(T44="","",T44)</f>
        <v>Территория действия тарифа</v>
      </c>
      <c r="AQ44" s="654"/>
      <c r="AR44" s="654"/>
    </row>
    <row customHeight="1" ht="23.25">
      <c r="A45" s="1522" t="s">
        <v>189</v>
      </c>
      <c r="B45" s="1522" t="s">
        <v>190</v>
      </c>
      <c r="C45" s="1522" t="s">
        <v>191</v>
      </c>
      <c r="D45" s="1522"/>
      <c r="E45" s="2321"/>
      <c r="F45" s="2321"/>
      <c r="G45" s="2320">
        <v>1</v>
      </c>
      <c r="H45" s="1522"/>
      <c r="I45" s="1522"/>
      <c r="J45" s="1522"/>
      <c r="K45" s="1522"/>
      <c r="L45" s="1523"/>
      <c r="M45" s="1524"/>
      <c r="N45" s="1524"/>
      <c r="O45" s="1524"/>
      <c r="P45" s="508"/>
      <c r="Q45" s="506"/>
      <c r="R45" s="507"/>
      <c r="S45" s="1495" t="str">
        <f>INDEX(PT_DIFFERENTIATION_NUM_CS,MATCH(C45,PT_DIFFERENTIATION_CS_ID,0))</f>
        <v>..</v>
      </c>
      <c r="T45" s="463" t="s">
        <v>399</v>
      </c>
      <c r="U45" s="454"/>
      <c r="V45" s="2314"/>
      <c r="W45" s="2315"/>
      <c r="X45" s="2315"/>
      <c r="Y45" s="2315"/>
      <c r="Z45" s="2315"/>
      <c r="AA45" s="2315"/>
      <c r="AB45" s="2315"/>
      <c r="AC45" s="2316"/>
      <c r="AD45" s="2314" t="str">
        <f>INDEX(PT_DIFFERENTIATION_CS,MATCH(C45,PT_DIFFERENTIATION_CS_ID,0))</f>
        <v/>
      </c>
      <c r="AE45" s="2315"/>
      <c r="AF45" s="2315"/>
      <c r="AG45" s="2315"/>
      <c r="AH45" s="2315"/>
      <c r="AI45" s="2315"/>
      <c r="AJ45" s="2315"/>
      <c r="AK45" s="2315"/>
      <c r="AL45" s="2316"/>
      <c r="AM45" s="1416" t="s">
        <v>400</v>
      </c>
      <c r="AO45" s="654"/>
      <c r="AP45" s="654" t="str">
        <f>IF(T45="","",T45)</f>
        <v>Наименование системы теплоснабжения </v>
      </c>
      <c r="AQ45" s="654"/>
      <c r="AR45" s="654"/>
    </row>
    <row customHeight="1" ht="21">
      <c r="A46" s="1522" t="s">
        <v>189</v>
      </c>
      <c r="B46" s="1522" t="s">
        <v>190</v>
      </c>
      <c r="C46" s="1522" t="s">
        <v>191</v>
      </c>
      <c r="D46" s="1522" t="s">
        <v>192</v>
      </c>
      <c r="E46" s="2321"/>
      <c r="F46" s="2321"/>
      <c r="G46" s="2321"/>
      <c r="H46" s="2320">
        <v>1</v>
      </c>
      <c r="I46" s="1522"/>
      <c r="J46" s="1522"/>
      <c r="K46" s="1522"/>
      <c r="L46" s="1523"/>
      <c r="M46" s="1524"/>
      <c r="N46" s="1524"/>
      <c r="O46" s="1524"/>
      <c r="P46" s="508"/>
      <c r="Q46" s="506"/>
      <c r="R46" s="507"/>
      <c r="S46" s="1495" t="str">
        <f>INDEX(PT_DIFFERENTIATION_NUM_IST_TE,MATCH(D46,PT_DIFFERENTIATION_IST_TE_ID,0))</f>
        <v>...</v>
      </c>
      <c r="T46" s="464" t="s">
        <v>401</v>
      </c>
      <c r="U46" s="454"/>
      <c r="V46" s="2314"/>
      <c r="W46" s="2315"/>
      <c r="X46" s="2315"/>
      <c r="Y46" s="2315"/>
      <c r="Z46" s="2315"/>
      <c r="AA46" s="2315"/>
      <c r="AB46" s="2315"/>
      <c r="AC46" s="2316"/>
      <c r="AD46" s="2314" t="str">
        <f>INDEX(PT_DIFFERENTIATION_IST_TE,MATCH(D46,PT_DIFFERENTIATION_IST_TE_ID,0))</f>
        <v/>
      </c>
      <c r="AE46" s="2315"/>
      <c r="AF46" s="2315"/>
      <c r="AG46" s="2315"/>
      <c r="AH46" s="2315"/>
      <c r="AI46" s="2315"/>
      <c r="AJ46" s="2315"/>
      <c r="AK46" s="2315"/>
      <c r="AL46" s="2316"/>
      <c r="AM46" s="1416" t="s">
        <v>402</v>
      </c>
      <c r="AO46" s="654"/>
      <c r="AP46" s="654" t="str">
        <f>IF(T46="","",T46)</f>
        <v>Источник тепловой энергии  </v>
      </c>
      <c r="AQ46" s="654"/>
      <c r="AR46" s="654"/>
    </row>
    <row customHeight="1" ht="47.25">
      <c r="A47" s="1522" t="s">
        <v>189</v>
      </c>
      <c r="B47" s="1522" t="s">
        <v>190</v>
      </c>
      <c r="C47" s="1522" t="s">
        <v>191</v>
      </c>
      <c r="D47" s="1522" t="s">
        <v>192</v>
      </c>
      <c r="E47" s="2321"/>
      <c r="F47" s="2321"/>
      <c r="G47" s="2321"/>
      <c r="H47" s="2321"/>
      <c r="I47" s="2322" t="str">
        <f>S46&amp;".1"</f>
        <v>....1</v>
      </c>
      <c r="J47" s="1522"/>
      <c r="K47" s="1522"/>
      <c r="L47" s="1523" t="s">
        <v>403</v>
      </c>
      <c r="P47" s="2324">
        <v>1</v>
      </c>
      <c r="Q47" s="1490"/>
      <c r="R47" s="510"/>
      <c r="S47" s="1495" t="str">
        <f>$I47</f>
        <v>....1</v>
      </c>
      <c r="T47" s="439" t="s">
        <v>404</v>
      </c>
      <c r="U47" s="454"/>
      <c r="V47" s="2308"/>
      <c r="W47" s="2309"/>
      <c r="X47" s="2309"/>
      <c r="Y47" s="2309"/>
      <c r="Z47" s="2309"/>
      <c r="AA47" s="2309"/>
      <c r="AB47" s="2309"/>
      <c r="AC47" s="2310"/>
      <c r="AD47" s="2308"/>
      <c r="AE47" s="2309"/>
      <c r="AF47" s="2309"/>
      <c r="AG47" s="2309"/>
      <c r="AH47" s="2309"/>
      <c r="AI47" s="2309"/>
      <c r="AJ47" s="2309"/>
      <c r="AK47" s="2309"/>
      <c r="AL47" s="2310"/>
      <c r="AM47" s="1416" t="s">
        <v>405</v>
      </c>
      <c r="AO47" s="654"/>
      <c r="AP47" s="654" t="str">
        <f>IF(T47="","",T47)</f>
        <v>Схема подключения теплопотребляющей установки к коллектору источника тепловой энергии</v>
      </c>
      <c r="AQ47" s="654"/>
      <c r="AR47" s="654"/>
    </row>
    <row customHeight="1" ht="21">
      <c r="A48" s="1522" t="s">
        <v>189</v>
      </c>
      <c r="B48" s="1522" t="s">
        <v>190</v>
      </c>
      <c r="C48" s="1522" t="s">
        <v>191</v>
      </c>
      <c r="D48" s="1522" t="s">
        <v>192</v>
      </c>
      <c r="E48" s="2321"/>
      <c r="F48" s="2321"/>
      <c r="G48" s="2321"/>
      <c r="H48" s="2321"/>
      <c r="I48" s="2323"/>
      <c r="J48" s="2322" t="str">
        <f>I47&amp;".1"</f>
        <v>....1.1</v>
      </c>
      <c r="K48" s="1522"/>
      <c r="L48" s="1523" t="s">
        <v>406</v>
      </c>
      <c r="P48" s="2324"/>
      <c r="Q48" s="2324">
        <v>1</v>
      </c>
      <c r="R48" s="511"/>
      <c r="S48" s="1495" t="str">
        <f>$J48</f>
        <v>....1.1</v>
      </c>
      <c r="T48" s="440" t="s">
        <v>407</v>
      </c>
      <c r="U48" s="454"/>
      <c r="V48" s="2308"/>
      <c r="W48" s="2309"/>
      <c r="X48" s="2309"/>
      <c r="Y48" s="2309"/>
      <c r="Z48" s="2309"/>
      <c r="AA48" s="2309"/>
      <c r="AB48" s="2309"/>
      <c r="AC48" s="2310"/>
      <c r="AD48" s="2308"/>
      <c r="AE48" s="2309"/>
      <c r="AF48" s="2309"/>
      <c r="AG48" s="2309"/>
      <c r="AH48" s="2309"/>
      <c r="AI48" s="2309"/>
      <c r="AJ48" s="2309"/>
      <c r="AK48" s="2309"/>
      <c r="AL48" s="2310"/>
      <c r="AM48" s="1416" t="s">
        <v>408</v>
      </c>
      <c r="AO48" s="654"/>
      <c r="AP48" s="654" t="str">
        <f>IF(T48="","",T48)</f>
        <v>Группа потребителей</v>
      </c>
      <c r="AQ48" s="654"/>
      <c r="AR48" s="654"/>
    </row>
    <row customHeight="1" ht="21">
      <c r="A49" s="1522" t="s">
        <v>189</v>
      </c>
      <c r="B49" s="1522" t="s">
        <v>190</v>
      </c>
      <c r="C49" s="1522" t="s">
        <v>191</v>
      </c>
      <c r="D49" s="1522" t="s">
        <v>192</v>
      </c>
      <c r="E49" s="2321"/>
      <c r="F49" s="2321"/>
      <c r="G49" s="2321"/>
      <c r="H49" s="2321"/>
      <c r="I49" s="2323"/>
      <c r="J49" s="2323"/>
      <c r="K49" s="2322" t="str">
        <f>J48&amp;".1"</f>
        <v>....1.1.1</v>
      </c>
      <c r="L49" s="1523" t="s">
        <v>409</v>
      </c>
      <c r="P49" s="2324"/>
      <c r="Q49" s="2324"/>
      <c r="R49" s="511">
        <v>1</v>
      </c>
      <c r="S49" s="1495" t="str">
        <f>$K49</f>
        <v>....1.1.1</v>
      </c>
      <c r="T49" s="1506"/>
      <c r="U49" s="454"/>
      <c r="V49" s="479"/>
      <c r="W49" s="905"/>
      <c r="X49" s="479"/>
      <c r="Y49" s="538"/>
      <c r="Z49" s="2325"/>
      <c r="AA49" s="2195" t="s">
        <v>64</v>
      </c>
      <c r="AB49" s="2325"/>
      <c r="AC49" s="2195" t="s">
        <v>64</v>
      </c>
      <c r="AD49" s="479"/>
      <c r="AE49" s="905"/>
      <c r="AF49" s="479"/>
      <c r="AG49" s="538"/>
      <c r="AH49" s="2325"/>
      <c r="AI49" s="2195" t="s">
        <v>64</v>
      </c>
      <c r="AJ49" s="2327"/>
      <c r="AK49" s="2195" t="s">
        <v>64</v>
      </c>
      <c r="AL49" s="1507"/>
      <c r="AM49" s="2350" t="s">
        <v>410</v>
      </c>
      <c r="AN49" s="665">
        <f>STRCHECKDATE(V50:AL50)</f>
      </c>
      <c r="AO49" s="654"/>
      <c r="AP49" s="654" t="str">
        <f>IF(T49="","",T49)</f>
        <v/>
      </c>
      <c r="AQ49" s="654"/>
      <c r="AR49" s="654"/>
    </row>
    <row customHeight="1" ht="0.75">
      <c r="A50" s="1522" t="s">
        <v>189</v>
      </c>
      <c r="B50" s="1522" t="s">
        <v>190</v>
      </c>
      <c r="C50" s="1522" t="s">
        <v>191</v>
      </c>
      <c r="D50" s="1522" t="s">
        <v>192</v>
      </c>
      <c r="E50" s="2321"/>
      <c r="F50" s="2321"/>
      <c r="G50" s="2321"/>
      <c r="H50" s="2321"/>
      <c r="I50" s="2323"/>
      <c r="J50" s="2323"/>
      <c r="K50" s="2322"/>
      <c r="L50" s="1523"/>
      <c r="P50" s="2324"/>
      <c r="Q50" s="2324"/>
      <c r="R50" s="511"/>
      <c r="S50" s="1501"/>
      <c r="T50" s="454"/>
      <c r="U50" s="454"/>
      <c r="V50" s="479"/>
      <c r="W50" s="479"/>
      <c r="X50" s="479"/>
      <c r="Y50" s="482" t="str">
        <f>Z49&amp;"-"&amp;AB49</f>
        <v>-</v>
      </c>
      <c r="Z50" s="2326"/>
      <c r="AA50" s="2195"/>
      <c r="AB50" s="2326"/>
      <c r="AC50" s="2195"/>
      <c r="AD50" s="479"/>
      <c r="AE50" s="479"/>
      <c r="AF50" s="479"/>
      <c r="AG50" s="482" t="str">
        <f>AH49&amp;"-"&amp;AJ49</f>
        <v>-</v>
      </c>
      <c r="AH50" s="2326"/>
      <c r="AI50" s="2195"/>
      <c r="AJ50" s="2328"/>
      <c r="AK50" s="2195"/>
      <c r="AL50" s="1508"/>
      <c r="AM50" s="2351"/>
      <c r="AO50" s="654"/>
      <c r="AP50" s="654" t="str">
        <f>IF(T50="","",T50)</f>
        <v/>
      </c>
      <c r="AQ50" s="654"/>
      <c r="AR50" s="654"/>
    </row>
    <row customHeight="1" ht="11.25">
      <c r="A51" s="1522" t="s">
        <v>189</v>
      </c>
      <c r="B51" s="1522" t="s">
        <v>190</v>
      </c>
      <c r="C51" s="1522" t="s">
        <v>191</v>
      </c>
      <c r="D51" s="1522" t="s">
        <v>192</v>
      </c>
      <c r="E51" s="2321"/>
      <c r="F51" s="2321"/>
      <c r="G51" s="2321"/>
      <c r="H51" s="2321"/>
      <c r="I51" s="2323"/>
      <c r="J51" s="2322"/>
      <c r="K51" s="1522"/>
      <c r="L51" s="1523"/>
      <c r="P51" s="2324"/>
      <c r="Q51" s="2324"/>
      <c r="R51" s="510"/>
      <c r="S51" s="1437"/>
      <c r="T51" s="442" t="s">
        <v>411</v>
      </c>
      <c r="U51" s="521"/>
      <c r="V51" s="521"/>
      <c r="W51" s="521"/>
      <c r="X51" s="521"/>
      <c r="Y51" s="521"/>
      <c r="Z51" s="521"/>
      <c r="AA51" s="521"/>
      <c r="AB51" s="521"/>
      <c r="AC51" s="521"/>
      <c r="AD51" s="521"/>
      <c r="AE51" s="521"/>
      <c r="AF51" s="521"/>
      <c r="AG51" s="521"/>
      <c r="AH51" s="521"/>
      <c r="AI51" s="521"/>
      <c r="AJ51" s="521"/>
      <c r="AK51" s="521"/>
      <c r="AL51" s="478"/>
      <c r="AM51" s="2352"/>
      <c r="AO51" s="654"/>
      <c r="AP51" s="654" t="str">
        <f>IF(T51="","",T51)</f>
        <v>Добавить вид теплоносителя (параметры теплоносителя)</v>
      </c>
      <c r="AQ51" s="654"/>
      <c r="AR51" s="654"/>
    </row>
    <row customHeight="1" ht="11.25">
      <c r="A52" s="1522" t="s">
        <v>189</v>
      </c>
      <c r="B52" s="1522" t="s">
        <v>190</v>
      </c>
      <c r="C52" s="1522" t="s">
        <v>191</v>
      </c>
      <c r="D52" s="1522" t="s">
        <v>192</v>
      </c>
      <c r="E52" s="2321"/>
      <c r="F52" s="2321"/>
      <c r="G52" s="2321"/>
      <c r="H52" s="2321"/>
      <c r="I52" s="2322"/>
      <c r="J52" s="1522"/>
      <c r="K52" s="1522"/>
      <c r="L52" s="1523"/>
      <c r="P52" s="2324"/>
      <c r="Q52" s="1490"/>
      <c r="R52" s="510"/>
      <c r="S52" s="1437"/>
      <c r="T52" s="441" t="s">
        <v>412</v>
      </c>
      <c r="U52" s="521"/>
      <c r="V52" s="521"/>
      <c r="W52" s="521"/>
      <c r="X52" s="521"/>
      <c r="Y52" s="521"/>
      <c r="Z52" s="521"/>
      <c r="AA52" s="521"/>
      <c r="AB52" s="521"/>
      <c r="AC52" s="520"/>
      <c r="AD52" s="521"/>
      <c r="AE52" s="521"/>
      <c r="AF52" s="521"/>
      <c r="AG52" s="521"/>
      <c r="AH52" s="521"/>
      <c r="AI52" s="521"/>
      <c r="AJ52" s="521"/>
      <c r="AK52" s="520"/>
      <c r="AL52" s="521"/>
      <c r="AM52" s="457"/>
      <c r="AO52" s="654"/>
      <c r="AP52" s="654" t="str">
        <f>IF(T52="","",T52)</f>
        <v>Добавить группу потребителей</v>
      </c>
      <c r="AQ52" s="654"/>
      <c r="AR52" s="654"/>
    </row>
    <row customHeight="1" ht="14.25">
      <c r="A53" s="1522" t="s">
        <v>189</v>
      </c>
      <c r="B53" s="1522" t="s">
        <v>190</v>
      </c>
      <c r="C53" s="1522" t="s">
        <v>191</v>
      </c>
      <c r="D53" s="1522" t="s">
        <v>192</v>
      </c>
      <c r="E53" s="2321"/>
      <c r="F53" s="2321"/>
      <c r="G53" s="2321"/>
      <c r="H53" s="2320"/>
      <c r="I53" s="1522"/>
      <c r="J53" s="1522"/>
      <c r="K53" s="1522"/>
      <c r="L53" s="1523"/>
      <c r="M53" s="1524"/>
      <c r="N53" s="1524"/>
      <c r="O53" s="691"/>
      <c r="P53" s="514"/>
      <c r="Q53" s="529"/>
      <c r="R53" s="509"/>
      <c r="S53" s="1437"/>
      <c r="T53" s="519" t="s">
        <v>413</v>
      </c>
      <c r="U53" s="521"/>
      <c r="V53" s="521"/>
      <c r="W53" s="521"/>
      <c r="X53" s="521"/>
      <c r="Y53" s="521"/>
      <c r="Z53" s="521"/>
      <c r="AA53" s="521"/>
      <c r="AB53" s="521"/>
      <c r="AC53" s="520"/>
      <c r="AD53" s="521"/>
      <c r="AE53" s="521"/>
      <c r="AF53" s="521"/>
      <c r="AG53" s="521"/>
      <c r="AH53" s="521"/>
      <c r="AI53" s="521"/>
      <c r="AJ53" s="521"/>
      <c r="AK53" s="520"/>
      <c r="AL53" s="521"/>
      <c r="AM53" s="457"/>
      <c r="AO53" s="654"/>
      <c r="AP53" s="654" t="str">
        <f>IF(T53="","",T53)</f>
        <v>Добавить схему подключения</v>
      </c>
      <c r="AQ53" s="654"/>
      <c r="AR53" s="654"/>
    </row>
    <row s="8702" customFormat="1" customHeight="1" ht="0.75">
      <c r="A54" s="1502" t="s">
        <v>189</v>
      </c>
      <c r="B54" s="1502" t="s">
        <v>190</v>
      </c>
      <c r="C54" s="1502" t="s">
        <v>191</v>
      </c>
      <c r="D54" s="1473"/>
      <c r="E54" s="2321"/>
      <c r="F54" s="2321"/>
      <c r="G54" s="2320"/>
      <c r="H54" s="1473"/>
      <c r="I54" s="1473"/>
      <c r="J54" s="1473"/>
      <c r="K54" s="1473"/>
      <c r="L54" s="1498"/>
      <c r="M54" s="1474"/>
      <c r="N54" s="1474"/>
      <c r="P54" s="1475"/>
      <c r="Q54" s="1476"/>
      <c r="R54" s="1475"/>
      <c r="S54" s="1481"/>
      <c r="T54" s="1484" t="s">
        <v>414</v>
      </c>
      <c r="U54" s="1483"/>
      <c r="V54" s="1483"/>
      <c r="W54" s="1483"/>
      <c r="X54" s="1483"/>
      <c r="Y54" s="1483"/>
      <c r="Z54" s="1483"/>
      <c r="AA54" s="1483"/>
      <c r="AB54" s="1483"/>
      <c r="AC54" s="1483"/>
      <c r="AD54" s="1483"/>
      <c r="AE54" s="1483"/>
      <c r="AF54" s="1483"/>
      <c r="AG54" s="1483"/>
      <c r="AH54" s="1483"/>
      <c r="AI54" s="1483"/>
      <c r="AJ54" s="1483"/>
      <c r="AK54" s="1483"/>
      <c r="AL54" s="1483"/>
      <c r="AM54" s="1483"/>
      <c r="AO54" s="943"/>
      <c r="AP54" s="943" t="str">
        <f>IF(T54="","",T54)</f>
        <v>Добавить источник для дифференциации</v>
      </c>
      <c r="AQ54" s="943"/>
      <c r="AR54" s="943"/>
    </row>
    <row s="8702" customFormat="1" customHeight="1" ht="0.75">
      <c r="A55" s="1502" t="s">
        <v>189</v>
      </c>
      <c r="B55" s="1502" t="s">
        <v>190</v>
      </c>
      <c r="C55" s="1473"/>
      <c r="D55" s="1473"/>
      <c r="E55" s="2321"/>
      <c r="F55" s="2320"/>
      <c r="G55" s="1473"/>
      <c r="H55" s="1473"/>
      <c r="I55" s="1473"/>
      <c r="J55" s="1473"/>
      <c r="K55" s="1473"/>
      <c r="L55" s="1498"/>
      <c r="M55" s="1480"/>
      <c r="N55" s="1480"/>
      <c r="P55" s="1475"/>
      <c r="Q55" s="1476"/>
      <c r="R55" s="1475"/>
      <c r="S55" s="1481"/>
      <c r="T55" s="1484" t="s">
        <v>251</v>
      </c>
      <c r="U55" s="1483"/>
      <c r="V55" s="1483"/>
      <c r="W55" s="1483"/>
      <c r="X55" s="1483"/>
      <c r="Y55" s="1483"/>
      <c r="Z55" s="1483"/>
      <c r="AA55" s="1483"/>
      <c r="AB55" s="1483"/>
      <c r="AC55" s="1483"/>
      <c r="AD55" s="1483"/>
      <c r="AE55" s="1483"/>
      <c r="AF55" s="1483"/>
      <c r="AG55" s="1483"/>
      <c r="AH55" s="1483"/>
      <c r="AI55" s="1483"/>
      <c r="AJ55" s="1483"/>
      <c r="AK55" s="1483"/>
      <c r="AL55" s="1483"/>
      <c r="AM55" s="1483"/>
      <c r="AO55" s="943"/>
      <c r="AP55" s="943" t="str">
        <f>IF(T55="","",T55)</f>
        <v>Добавить централизованную систему для дифференциации</v>
      </c>
      <c r="AQ55" s="943"/>
      <c r="AR55" s="943"/>
    </row>
    <row s="8794" customFormat="1" customHeight="1" ht="0.75">
      <c r="A56" s="1502" t="s">
        <v>189</v>
      </c>
      <c r="B56" s="1502"/>
      <c r="C56" s="1502"/>
      <c r="D56" s="1502"/>
      <c r="E56" s="2320"/>
      <c r="F56" s="1502"/>
      <c r="G56" s="1502"/>
      <c r="H56" s="1502"/>
      <c r="I56" s="1502"/>
      <c r="J56" s="1502"/>
      <c r="K56" s="1502"/>
      <c r="L56" s="1505"/>
      <c r="M56" s="1480"/>
      <c r="N56" s="1480"/>
      <c r="O56" s="672"/>
      <c r="P56" s="534"/>
      <c r="Q56" s="1503"/>
      <c r="R56" s="534"/>
      <c r="S56" s="1481"/>
      <c r="T56" s="1484" t="s">
        <v>252</v>
      </c>
      <c r="U56" s="1483"/>
      <c r="V56" s="1483"/>
      <c r="W56" s="1483"/>
      <c r="X56" s="1483"/>
      <c r="Y56" s="1483"/>
      <c r="Z56" s="1483"/>
      <c r="AA56" s="1483"/>
      <c r="AB56" s="1483"/>
      <c r="AC56" s="1483"/>
      <c r="AD56" s="1483"/>
      <c r="AE56" s="1483"/>
      <c r="AF56" s="1483"/>
      <c r="AG56" s="1483"/>
      <c r="AH56" s="1483"/>
      <c r="AI56" s="1483"/>
      <c r="AJ56" s="1483"/>
      <c r="AK56" s="1483"/>
      <c r="AL56" s="1483"/>
      <c r="AM56" s="1483"/>
      <c r="AO56" s="654"/>
      <c r="AP56" s="654" t="str">
        <f>IF(T56="","",T56)</f>
        <v>Добавить территорию для дифференциации</v>
      </c>
      <c r="AQ56" s="654"/>
      <c r="AR56" s="654"/>
    </row>
    <row s="8702" customFormat="1" customHeight="1" ht="0.75">
      <c r="A57" s="1473"/>
      <c r="B57" s="1473"/>
      <c r="C57" s="1473"/>
      <c r="D57" s="1473"/>
      <c r="E57" s="1502"/>
      <c r="F57" s="1473"/>
      <c r="G57" s="1473"/>
      <c r="H57" s="1473"/>
      <c r="I57" s="1473"/>
      <c r="J57" s="1473"/>
      <c r="K57" s="1473"/>
      <c r="L57" s="1498"/>
      <c r="M57" s="1480"/>
      <c r="N57" s="1480"/>
      <c r="P57" s="1475"/>
      <c r="Q57" s="1476"/>
      <c r="R57" s="1475"/>
      <c r="S57" s="1481"/>
      <c r="T57" s="1484" t="s">
        <v>253</v>
      </c>
      <c r="U57" s="1483"/>
      <c r="V57" s="1483"/>
      <c r="W57" s="1483"/>
      <c r="X57" s="1483"/>
      <c r="Y57" s="1483"/>
      <c r="Z57" s="1483"/>
      <c r="AA57" s="1483"/>
      <c r="AB57" s="1483"/>
      <c r="AC57" s="1483"/>
      <c r="AD57" s="1483"/>
      <c r="AE57" s="1483"/>
      <c r="AF57" s="1483"/>
      <c r="AG57" s="1483"/>
      <c r="AH57" s="1483"/>
      <c r="AI57" s="1483"/>
      <c r="AJ57" s="1483"/>
      <c r="AK57" s="1483"/>
      <c r="AL57" s="1483"/>
      <c r="AM57" s="1483"/>
      <c r="AO57" s="943"/>
      <c r="AP57" s="943" t="str">
        <f>IF(T57="","",T57)</f>
        <v>Добавить наименование тарифа</v>
      </c>
      <c r="AQ57" s="943"/>
      <c r="AR57" s="943"/>
    </row>
    <row customHeight="1" ht="11.25">
      <c r="M58" s="1316"/>
      <c r="N58" s="1316"/>
      <c r="O58" s="691"/>
      <c r="P58" s="1311"/>
      <c r="Q58" s="1311"/>
      <c r="R58" s="1311"/>
      <c r="S58" s="1311"/>
      <c r="AN58" s="1311"/>
      <c r="AO58" s="1311"/>
      <c r="AP58" s="1311"/>
      <c r="AQ58" s="1311"/>
      <c r="AR58" s="1311"/>
    </row>
    <row customHeight="1" ht="27">
      <c r="O59" s="691"/>
      <c r="S59" s="1411"/>
      <c r="T59" s="2319"/>
      <c r="U59" s="2319"/>
      <c r="V59" s="2319"/>
      <c r="W59" s="2319"/>
      <c r="X59" s="2319"/>
      <c r="Y59" s="2319"/>
      <c r="Z59" s="2319"/>
      <c r="AA59" s="2319"/>
      <c r="AB59" s="2319"/>
      <c r="AC59" s="2319"/>
      <c r="AD59" s="2319"/>
      <c r="AE59" s="2319"/>
      <c r="AF59" s="2319"/>
      <c r="AG59" s="2319"/>
      <c r="AH59" s="2319"/>
      <c r="AI59" s="2319"/>
      <c r="AJ59" s="2319"/>
      <c r="AK59" s="2319"/>
      <c r="AL59" s="2319"/>
      <c r="AM59" s="2319"/>
    </row>
    <row customHeight="1" ht="75">
      <c r="O60" s="691"/>
      <c r="T60" s="2319"/>
      <c r="U60" s="2319"/>
      <c r="V60" s="2319"/>
      <c r="W60" s="2319"/>
      <c r="X60" s="2319"/>
      <c r="Y60" s="2319"/>
      <c r="Z60" s="2319"/>
      <c r="AA60" s="2319"/>
      <c r="AB60" s="2319"/>
      <c r="AC60" s="2319"/>
      <c r="AD60" s="2319"/>
      <c r="AE60" s="2319"/>
      <c r="AF60" s="2319"/>
      <c r="AG60" s="2319"/>
      <c r="AH60" s="2319"/>
      <c r="AI60" s="2319"/>
      <c r="AJ60" s="2319"/>
      <c r="AK60" s="2319"/>
      <c r="AL60" s="2319"/>
      <c r="AM60" s="2319"/>
    </row>
    <row customHeight="1" ht="14.25">
      <c r="O61" s="691"/>
    </row>
    <row customHeight="1" ht="18">
      <c r="O62" s="691"/>
      <c r="S62" s="1411"/>
      <c r="T62" s="2319"/>
      <c r="U62" s="2319"/>
      <c r="V62" s="2319"/>
      <c r="W62" s="2319"/>
      <c r="X62" s="2319"/>
      <c r="Y62" s="2319"/>
      <c r="Z62" s="2319"/>
      <c r="AA62" s="2319"/>
      <c r="AB62" s="2319"/>
      <c r="AC62" s="2319"/>
      <c r="AD62" s="2319"/>
      <c r="AE62" s="2319"/>
      <c r="AF62" s="2319"/>
      <c r="AG62" s="2319"/>
      <c r="AH62" s="2319"/>
      <c r="AI62" s="2319"/>
      <c r="AJ62" s="2319"/>
      <c r="AK62" s="2319"/>
      <c r="AL62" s="2319"/>
      <c r="AM62" s="2319"/>
    </row>
    <row customHeight="1" ht="18">
      <c r="O63" s="691"/>
      <c r="T63" s="2319"/>
      <c r="U63" s="2319"/>
      <c r="V63" s="2319"/>
      <c r="W63" s="2319"/>
      <c r="X63" s="2319"/>
      <c r="Y63" s="2319"/>
      <c r="Z63" s="2319"/>
      <c r="AA63" s="2319"/>
      <c r="AB63" s="2319"/>
      <c r="AC63" s="2319"/>
      <c r="AD63" s="2319"/>
      <c r="AE63" s="2319"/>
      <c r="AF63" s="2319"/>
      <c r="AG63" s="2319"/>
      <c r="AH63" s="2319"/>
      <c r="AI63" s="2319"/>
      <c r="AJ63" s="2319"/>
      <c r="AK63" s="2319"/>
      <c r="AL63" s="2319"/>
      <c r="AM63" s="2319"/>
    </row>
    <row customHeight="1" ht="38.25">
      <c r="O64" s="691"/>
      <c r="S64" s="1411"/>
      <c r="T64" s="2319"/>
      <c r="U64" s="2319"/>
      <c r="V64" s="2319"/>
      <c r="W64" s="2319"/>
      <c r="X64" s="2319"/>
      <c r="Y64" s="2319"/>
      <c r="Z64" s="2319"/>
      <c r="AA64" s="2319"/>
      <c r="AB64" s="2319"/>
      <c r="AC64" s="2319"/>
      <c r="AD64" s="2319"/>
      <c r="AE64" s="2319"/>
      <c r="AF64" s="2319"/>
      <c r="AG64" s="2319"/>
      <c r="AH64" s="2319"/>
      <c r="AI64" s="2319"/>
      <c r="AJ64" s="2319"/>
      <c r="AK64" s="2319"/>
      <c r="AL64" s="2319"/>
      <c r="AM64" s="2319"/>
    </row>
  </sheetData>
  <sheetProtection formatColumns="0" formatRows="0" autoFilter="0" sort="0" insertRows="0" insertColumns="1" deleteRows="0" deleteColumns="0"/>
  <mergeCells count="110">
    <mergeCell ref="E2:E15"/>
    <mergeCell ref="F3:F14"/>
    <mergeCell ref="G4:G13"/>
    <mergeCell ref="H5:H12"/>
    <mergeCell ref="I6:I11"/>
    <mergeCell ref="P6:P11"/>
    <mergeCell ref="J7:J10"/>
    <mergeCell ref="Q7:Q10"/>
    <mergeCell ref="K8:K9"/>
    <mergeCell ref="AD31:AJ31"/>
    <mergeCell ref="AJ8:AJ9"/>
    <mergeCell ref="AK8:AK9"/>
    <mergeCell ref="Z8:Z9"/>
    <mergeCell ref="S26:AJ26"/>
    <mergeCell ref="S27:AJ27"/>
    <mergeCell ref="S29:T29"/>
    <mergeCell ref="V29:AB29"/>
    <mergeCell ref="AM8:AM10"/>
    <mergeCell ref="AH17:AH18"/>
    <mergeCell ref="AI17:AI18"/>
    <mergeCell ref="AJ17:AJ18"/>
    <mergeCell ref="AK17:AK18"/>
    <mergeCell ref="AA8:AA9"/>
    <mergeCell ref="AB8:AB9"/>
    <mergeCell ref="AC8:AC9"/>
    <mergeCell ref="AH8:AH9"/>
    <mergeCell ref="AI8:AI9"/>
    <mergeCell ref="AM38:AM41"/>
    <mergeCell ref="S39:S41"/>
    <mergeCell ref="T39:T41"/>
    <mergeCell ref="V39:AB39"/>
    <mergeCell ref="AC39:AC41"/>
    <mergeCell ref="AD39:AJ39"/>
    <mergeCell ref="AK39:AK41"/>
    <mergeCell ref="AL39:AL41"/>
    <mergeCell ref="V40:V41"/>
    <mergeCell ref="W40:W41"/>
    <mergeCell ref="Z40:AB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V5:AC5"/>
    <mergeCell ref="AD5:AL5"/>
    <mergeCell ref="V6:AC6"/>
    <mergeCell ref="AD6:AL6"/>
    <mergeCell ref="V7:AC7"/>
    <mergeCell ref="AD7:AL7"/>
    <mergeCell ref="AH40:AJ40"/>
    <mergeCell ref="AA41:AB41"/>
    <mergeCell ref="AI41:AJ41"/>
    <mergeCell ref="AD32:AJ32"/>
    <mergeCell ref="V37:AC37"/>
    <mergeCell ref="AD37:AK37"/>
    <mergeCell ref="S38:AL38"/>
    <mergeCell ref="S32:T32"/>
    <mergeCell ref="V32:AB32"/>
    <mergeCell ref="AD29:AJ29"/>
    <mergeCell ref="S30:T30"/>
    <mergeCell ref="V30:AB30"/>
    <mergeCell ref="AD30:AJ30"/>
    <mergeCell ref="S31:T31"/>
    <mergeCell ref="V31:AB31"/>
    <mergeCell ref="V2:AC2"/>
    <mergeCell ref="AD2:AL2"/>
    <mergeCell ref="V3:AC3"/>
    <mergeCell ref="AD3:AL3"/>
    <mergeCell ref="V4:AC4"/>
    <mergeCell ref="AD4:AL4"/>
    <mergeCell ref="T62:AM62"/>
    <mergeCell ref="T63:AM63"/>
    <mergeCell ref="T64:AM64"/>
    <mergeCell ref="S34:T34"/>
    <mergeCell ref="V34:AB34"/>
    <mergeCell ref="AD34:AJ34"/>
    <mergeCell ref="S35:T35"/>
    <mergeCell ref="V35:AB35"/>
    <mergeCell ref="AD35:AJ35"/>
    <mergeCell ref="AM49:AM51"/>
    <mergeCell ref="T59:AM59"/>
    <mergeCell ref="T60:AM60"/>
    <mergeCell ref="V47:AC47"/>
    <mergeCell ref="AD47:AL47"/>
    <mergeCell ref="AA42:AB42"/>
    <mergeCell ref="AI42:AJ42"/>
    <mergeCell ref="AD40:AD41"/>
    <mergeCell ref="AE40:AE41"/>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524337 AK8 AK589873 AK655409 AK17 AK720945 AK786481 AK852017 AK917553 AK983089 AK65585 AK131121 AK458801 AK196657 AK262193 AI49 AI8 AC8 AA8 AI17 AK327729 AK393265 AA49 AC49 AK4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9CE4626-FD95-D249-2E8E-5224D024382C}" mc:Ignorable="x14ac xr xr2 xr3">
  <sheetPr>
    <tabColor theme="6" tint="0.4"/>
  </sheetPr>
  <dimension ref="A1:AR65"/>
  <sheetViews>
    <sheetView topLeftCell="A1" showGridLines="0" zoomScale="90" workbookViewId="0">
      <selection activeCell="A1" sqref="A1"/>
    </sheetView>
  </sheetViews>
  <sheetFormatPr defaultColWidth="10.57421875" customHeight="1" defaultRowHeight="14.25"/>
  <cols>
    <col min="1" max="1" style="8721" width="10.57421875" hidden="1"/>
    <col min="2" max="2" style="8721" width="11.00390625" hidden="1" customWidth="1"/>
    <col min="3" max="3" style="8721" width="10.57421875" hidden="1"/>
    <col min="4" max="4" style="8721" width="11.8515625" hidden="1" customWidth="1"/>
    <col min="5" max="5" style="8721" width="10.00390625" hidden="1" customWidth="1"/>
    <col min="6" max="6" style="8721" width="8.7109375" hidden="1" customWidth="1"/>
    <col min="7" max="7" style="8721" width="7.57421875" hidden="1" customWidth="1"/>
    <col min="8" max="8" style="8721" width="11.421875" hidden="1" customWidth="1"/>
    <col min="9" max="9" style="8721" width="12.00390625" hidden="1" customWidth="1"/>
    <col min="10" max="10" style="8721" width="9.8515625" hidden="1" customWidth="1"/>
    <col min="11" max="11" style="8721" width="11.421875" hidden="1" customWidth="1"/>
    <col min="12" max="12" style="8802" width="19.140625" hidden="1" customWidth="1"/>
    <col min="13" max="14" style="8803" width="12.28125" hidden="1" customWidth="1"/>
    <col min="15" max="15" style="8803" width="23.421875" hidden="1" customWidth="1"/>
    <col min="16" max="16" style="8815" width="3.7109375" hidden="1" customWidth="1"/>
    <col min="17" max="18" style="8805" width="3.7109375" customWidth="1"/>
    <col min="19" max="19" style="8806" width="12.7109375" customWidth="1"/>
    <col min="20" max="20" style="8807" width="32.00390625" customWidth="1"/>
    <col min="21" max="21" style="8807" width="0.140625" customWidth="1"/>
    <col min="22" max="22" style="8807" width="24.7109375" hidden="1" customWidth="1"/>
    <col min="23" max="23" style="8807" width="0.140625" hidden="1" customWidth="1"/>
    <col min="24" max="25" style="8807" width="24.7109375" hidden="1" customWidth="1"/>
    <col min="26" max="26" style="8807" width="11.7109375" hidden="1" customWidth="1"/>
    <col min="27" max="27" style="8807" width="3.7109375" hidden="1" customWidth="1"/>
    <col min="28" max="28" style="8807" width="11.7109375" hidden="1" customWidth="1"/>
    <col min="29" max="29" style="8807" width="8.57421875" hidden="1" customWidth="1"/>
    <col min="30" max="30" style="8807" width="24.7109375" customWidth="1"/>
    <col min="31" max="31" style="8807" width="0.140625" customWidth="1"/>
    <col min="32" max="33" style="8807" width="24.7109375" customWidth="1"/>
    <col min="34" max="34" style="8807" width="11.7109375" customWidth="1"/>
    <col min="35" max="35" style="8807" width="3.7109375" customWidth="1"/>
    <col min="36" max="36" style="8807" width="11.7109375" customWidth="1"/>
    <col min="37" max="37" style="8807" width="8.57421875" hidden="1" customWidth="1"/>
    <col min="38" max="38" style="8807" width="4.7109375" customWidth="1"/>
    <col min="39" max="39" style="8807" width="115.7109375" customWidth="1"/>
    <col min="40" max="41" style="8794" width="10.57421875"/>
    <col min="42" max="42" style="8794" width="11.140625" customWidth="1"/>
    <col min="43" max="44" style="8794" width="10.57421875"/>
  </cols>
  <sheetData>
    <row customHeight="1" ht="14.25" hidden="1">
      <c r="Y1" s="481"/>
      <c r="Z1" s="481"/>
      <c r="AG1" s="481"/>
      <c r="AH1" s="481"/>
    </row>
    <row customHeight="1" ht="21" hidden="1">
      <c r="A2" s="1522"/>
      <c r="B2" s="1522"/>
      <c r="C2" s="1522"/>
      <c r="D2" s="1522"/>
      <c r="E2" s="2320">
        <v>1</v>
      </c>
      <c r="F2" s="1522"/>
      <c r="G2" s="1522"/>
      <c r="H2" s="1522"/>
      <c r="I2" s="1522"/>
      <c r="J2" s="1522"/>
      <c r="K2" s="1522"/>
      <c r="L2" s="1523"/>
      <c r="M2" s="1524"/>
      <c r="N2" s="1524"/>
      <c r="O2" s="1524"/>
      <c r="P2" s="515"/>
      <c r="Q2" s="514"/>
      <c r="R2" s="509"/>
      <c r="S2" s="1495">
        <f>INDEX(PT_DIFFERENTIATION_NUM_NTAR,MATCH(A2,PT_DIFFERENTIATION_NTAR_ID,0))</f>
      </c>
      <c r="T2" s="452" t="s">
        <v>120</v>
      </c>
      <c r="U2" s="454"/>
      <c r="V2" s="2314"/>
      <c r="W2" s="2315"/>
      <c r="X2" s="2315"/>
      <c r="Y2" s="2315"/>
      <c r="Z2" s="2315"/>
      <c r="AA2" s="2315"/>
      <c r="AB2" s="2315"/>
      <c r="AC2" s="2316"/>
      <c r="AD2" s="2314">
        <f>INDEX(PT_DIFFERENTIATION_NTAR,MATCH(A2,PT_DIFFERENTIATION_NTAR_ID,0))</f>
      </c>
      <c r="AE2" s="2315"/>
      <c r="AF2" s="2315"/>
      <c r="AG2" s="2315"/>
      <c r="AH2" s="2315"/>
      <c r="AI2" s="2315"/>
      <c r="AJ2" s="2315"/>
      <c r="AK2" s="2315"/>
      <c r="AL2" s="2316"/>
      <c r="AM2" s="1416" t="s">
        <v>396</v>
      </c>
      <c r="AO2" s="654"/>
      <c r="AP2" s="654" t="str">
        <f>IF(T2="","",T2)</f>
        <v>Наименование тарифа</v>
      </c>
      <c r="AQ2" s="654"/>
      <c r="AR2" s="654"/>
    </row>
    <row customHeight="1" ht="21" hidden="1">
      <c r="A3" s="1522"/>
      <c r="B3" s="1522"/>
      <c r="C3" s="1522"/>
      <c r="D3" s="1522"/>
      <c r="E3" s="2321"/>
      <c r="F3" s="2320">
        <v>1</v>
      </c>
      <c r="G3" s="1522"/>
      <c r="H3" s="1522"/>
      <c r="I3" s="1522"/>
      <c r="J3" s="1522"/>
      <c r="K3" s="1522"/>
      <c r="L3" s="1523"/>
      <c r="M3" s="1524"/>
      <c r="N3" s="1524"/>
      <c r="O3" s="1524"/>
      <c r="P3" s="1491"/>
      <c r="Q3" s="506"/>
      <c r="R3" s="507"/>
      <c r="S3" s="1495">
        <f>INDEX(PT_DIFFERENTIATION_NUM_TER,MATCH(B3,PT_DIFFERENTIATION_TER_ID,0))</f>
      </c>
      <c r="T3" s="462" t="s">
        <v>397</v>
      </c>
      <c r="U3" s="454"/>
      <c r="V3" s="2314"/>
      <c r="W3" s="2315"/>
      <c r="X3" s="2315"/>
      <c r="Y3" s="2315"/>
      <c r="Z3" s="2315"/>
      <c r="AA3" s="2315"/>
      <c r="AB3" s="2315"/>
      <c r="AC3" s="2316"/>
      <c r="AD3" s="2314">
        <f>INDEX(PT_DIFFERENTIATION_TER,MATCH(B3,PT_DIFFERENTIATION_TER_ID,0))</f>
      </c>
      <c r="AE3" s="2315"/>
      <c r="AF3" s="2315"/>
      <c r="AG3" s="2315"/>
      <c r="AH3" s="2315"/>
      <c r="AI3" s="2315"/>
      <c r="AJ3" s="2315"/>
      <c r="AK3" s="2315"/>
      <c r="AL3" s="2316"/>
      <c r="AM3" s="1416" t="s">
        <v>398</v>
      </c>
      <c r="AO3" s="654"/>
      <c r="AP3" s="654" t="str">
        <f>IF(T3="","",T3)</f>
        <v>Территория действия тарифа</v>
      </c>
      <c r="AQ3" s="654"/>
      <c r="AR3" s="654"/>
    </row>
    <row customHeight="1" ht="23.25" hidden="1">
      <c r="A4" s="1522"/>
      <c r="B4" s="1522"/>
      <c r="C4" s="1522"/>
      <c r="D4" s="1522"/>
      <c r="E4" s="2321"/>
      <c r="F4" s="2321"/>
      <c r="G4" s="2320">
        <v>1</v>
      </c>
      <c r="H4" s="1522"/>
      <c r="I4" s="1522"/>
      <c r="J4" s="1522"/>
      <c r="K4" s="1522"/>
      <c r="L4" s="1523"/>
      <c r="M4" s="1524"/>
      <c r="N4" s="1524"/>
      <c r="O4" s="1524"/>
      <c r="P4" s="508"/>
      <c r="Q4" s="506"/>
      <c r="R4" s="507"/>
      <c r="S4" s="1495">
        <f>INDEX(PT_DIFFERENTIATION_NUM_CS,MATCH(C4,PT_DIFFERENTIATION_CS_ID,0))</f>
      </c>
      <c r="T4" s="463" t="s">
        <v>399</v>
      </c>
      <c r="U4" s="454"/>
      <c r="V4" s="2314"/>
      <c r="W4" s="2315"/>
      <c r="X4" s="2315"/>
      <c r="Y4" s="2315"/>
      <c r="Z4" s="2315"/>
      <c r="AA4" s="2315"/>
      <c r="AB4" s="2315"/>
      <c r="AC4" s="2316"/>
      <c r="AD4" s="2314">
        <f>INDEX(PT_DIFFERENTIATION_CS,MATCH(C4,PT_DIFFERENTIATION_CS_ID,0))</f>
      </c>
      <c r="AE4" s="2315"/>
      <c r="AF4" s="2315"/>
      <c r="AG4" s="2315"/>
      <c r="AH4" s="2315"/>
      <c r="AI4" s="2315"/>
      <c r="AJ4" s="2315"/>
      <c r="AK4" s="2315"/>
      <c r="AL4" s="2316"/>
      <c r="AM4" s="1416" t="s">
        <v>400</v>
      </c>
      <c r="AO4" s="654"/>
      <c r="AP4" s="654" t="str">
        <f>IF(T4="","",T4)</f>
        <v>Наименование системы теплоснабжения </v>
      </c>
      <c r="AQ4" s="654"/>
      <c r="AR4" s="654"/>
    </row>
    <row customHeight="1" ht="21" hidden="1">
      <c r="A5" s="1522"/>
      <c r="B5" s="1522"/>
      <c r="C5" s="1522"/>
      <c r="D5" s="1522"/>
      <c r="E5" s="2321"/>
      <c r="F5" s="2321"/>
      <c r="G5" s="2321"/>
      <c r="H5" s="2320">
        <v>1</v>
      </c>
      <c r="I5" s="1522"/>
      <c r="J5" s="1522"/>
      <c r="K5" s="1522"/>
      <c r="L5" s="1523"/>
      <c r="M5" s="1524"/>
      <c r="N5" s="1524"/>
      <c r="O5" s="1524"/>
      <c r="P5" s="508"/>
      <c r="Q5" s="506"/>
      <c r="R5" s="507"/>
      <c r="S5" s="1495">
        <f>INDEX(PT_DIFFERENTIATION_NUM_IST_TE,MATCH(D5,PT_DIFFERENTIATION_IST_TE_ID,0))</f>
      </c>
      <c r="T5" s="464" t="s">
        <v>401</v>
      </c>
      <c r="U5" s="454"/>
      <c r="V5" s="2314"/>
      <c r="W5" s="2315"/>
      <c r="X5" s="2315"/>
      <c r="Y5" s="2315"/>
      <c r="Z5" s="2315"/>
      <c r="AA5" s="2315"/>
      <c r="AB5" s="2315"/>
      <c r="AC5" s="2316"/>
      <c r="AD5" s="2314">
        <f>INDEX(PT_DIFFERENTIATION_IST_TE,MATCH(D5,PT_DIFFERENTIATION_IST_TE_ID,0))</f>
      </c>
      <c r="AE5" s="2315"/>
      <c r="AF5" s="2315"/>
      <c r="AG5" s="2315"/>
      <c r="AH5" s="2315"/>
      <c r="AI5" s="2315"/>
      <c r="AJ5" s="2315"/>
      <c r="AK5" s="2315"/>
      <c r="AL5" s="2316"/>
      <c r="AM5" s="1416" t="s">
        <v>402</v>
      </c>
      <c r="AO5" s="654"/>
      <c r="AP5" s="654" t="str">
        <f>IF(T5="","",T5)</f>
        <v>Источник тепловой энергии  </v>
      </c>
      <c r="AQ5" s="654"/>
      <c r="AR5" s="654"/>
    </row>
    <row customHeight="1" ht="14.25" hidden="1">
      <c r="A6" s="1522"/>
      <c r="B6" s="1522"/>
      <c r="C6" s="1522"/>
      <c r="D6" s="1522"/>
      <c r="E6" s="2321"/>
      <c r="F6" s="2321"/>
      <c r="G6" s="2321"/>
      <c r="H6" s="2321"/>
      <c r="I6" s="2322">
        <f>S5&amp;".1"</f>
      </c>
      <c r="J6" s="1522"/>
      <c r="K6" s="1522"/>
      <c r="L6" s="1523" t="s">
        <v>403</v>
      </c>
      <c r="M6" s="691"/>
      <c r="P6" s="2324">
        <v>1</v>
      </c>
      <c r="Q6" s="1490"/>
      <c r="R6" s="510"/>
      <c r="S6" s="1197"/>
      <c r="T6" s="1542"/>
      <c r="U6" s="1543"/>
      <c r="V6" s="2362"/>
      <c r="W6" s="2363"/>
      <c r="X6" s="2363"/>
      <c r="Y6" s="2363"/>
      <c r="Z6" s="2363"/>
      <c r="AA6" s="2363"/>
      <c r="AB6" s="2363"/>
      <c r="AC6" s="2364"/>
      <c r="AD6" s="2362"/>
      <c r="AE6" s="2363"/>
      <c r="AF6" s="2363"/>
      <c r="AG6" s="2363"/>
      <c r="AH6" s="2363"/>
      <c r="AI6" s="2363"/>
      <c r="AJ6" s="2363"/>
      <c r="AK6" s="2363"/>
      <c r="AL6" s="2364"/>
      <c r="AM6" s="1544"/>
      <c r="AO6" s="654"/>
      <c r="AP6" s="654" t="str">
        <f>IF(T6="","",T6)</f>
        <v/>
      </c>
      <c r="AQ6" s="654"/>
      <c r="AR6" s="654"/>
    </row>
    <row customHeight="1" ht="21" hidden="1">
      <c r="A7" s="1522"/>
      <c r="B7" s="1522"/>
      <c r="C7" s="1522"/>
      <c r="D7" s="1522"/>
      <c r="E7" s="2321"/>
      <c r="F7" s="2321"/>
      <c r="G7" s="2321"/>
      <c r="H7" s="2321"/>
      <c r="I7" s="2323"/>
      <c r="J7" s="2322">
        <f>I6&amp;".1"</f>
      </c>
      <c r="K7" s="1522"/>
      <c r="L7" s="1523" t="s">
        <v>406</v>
      </c>
      <c r="M7" s="691"/>
      <c r="N7" s="1525"/>
      <c r="P7" s="2324"/>
      <c r="Q7" s="2324">
        <v>1</v>
      </c>
      <c r="R7" s="511"/>
      <c r="S7" s="1495">
        <f>$J7</f>
      </c>
      <c r="T7" s="440" t="s">
        <v>407</v>
      </c>
      <c r="U7" s="454"/>
      <c r="V7" s="2308"/>
      <c r="W7" s="2309"/>
      <c r="X7" s="2309"/>
      <c r="Y7" s="2309"/>
      <c r="Z7" s="2309"/>
      <c r="AA7" s="2309"/>
      <c r="AB7" s="2309"/>
      <c r="AC7" s="2310"/>
      <c r="AD7" s="2308"/>
      <c r="AE7" s="2309"/>
      <c r="AF7" s="2309"/>
      <c r="AG7" s="2309"/>
      <c r="AH7" s="2309"/>
      <c r="AI7" s="2309"/>
      <c r="AJ7" s="2309"/>
      <c r="AK7" s="2309"/>
      <c r="AL7" s="2310"/>
      <c r="AM7" s="1416" t="s">
        <v>408</v>
      </c>
      <c r="AO7" s="654"/>
      <c r="AP7" s="654" t="str">
        <f>IF(T7="","",T7)</f>
        <v>Группа потребителей</v>
      </c>
      <c r="AQ7" s="654"/>
      <c r="AR7" s="654"/>
    </row>
    <row customHeight="1" ht="21" hidden="1">
      <c r="A8" s="1522"/>
      <c r="B8" s="1522"/>
      <c r="C8" s="1522"/>
      <c r="D8" s="1522"/>
      <c r="E8" s="2321"/>
      <c r="F8" s="2321"/>
      <c r="G8" s="2321"/>
      <c r="H8" s="2321"/>
      <c r="I8" s="2323"/>
      <c r="J8" s="2323"/>
      <c r="K8" s="2322">
        <f>J7&amp;".1"</f>
      </c>
      <c r="L8" s="1523" t="s">
        <v>409</v>
      </c>
      <c r="M8" s="691"/>
      <c r="N8" s="1525"/>
      <c r="O8" s="1525"/>
      <c r="P8" s="2324"/>
      <c r="Q8" s="2324"/>
      <c r="R8" s="511">
        <v>1</v>
      </c>
      <c r="S8" s="1495">
        <f>$K8</f>
      </c>
      <c r="T8" s="1506"/>
      <c r="U8" s="454"/>
      <c r="V8" s="905"/>
      <c r="W8" s="479"/>
      <c r="X8" s="905"/>
      <c r="Y8" s="1415"/>
      <c r="Z8" s="2325"/>
      <c r="AA8" s="2195" t="s">
        <v>64</v>
      </c>
      <c r="AB8" s="2325"/>
      <c r="AC8" s="2195" t="s">
        <v>64</v>
      </c>
      <c r="AD8" s="905"/>
      <c r="AE8" s="479"/>
      <c r="AF8" s="905"/>
      <c r="AG8" s="1415"/>
      <c r="AH8" s="2325"/>
      <c r="AI8" s="2195" t="s">
        <v>64</v>
      </c>
      <c r="AJ8" s="2325"/>
      <c r="AK8" s="2195" t="s">
        <v>64</v>
      </c>
      <c r="AL8" s="479"/>
      <c r="AM8" s="2350" t="s">
        <v>410</v>
      </c>
      <c r="AN8" s="665">
        <f>STRCHECKDATE(V9:AL9)</f>
      </c>
      <c r="AO8" s="654"/>
      <c r="AP8" s="654" t="str">
        <f>IF(T8="","",T8)</f>
        <v/>
      </c>
      <c r="AQ8" s="654"/>
      <c r="AR8" s="654"/>
    </row>
    <row customHeight="1" ht="0.75" hidden="1">
      <c r="A9" s="1522"/>
      <c r="B9" s="1522"/>
      <c r="C9" s="1522"/>
      <c r="D9" s="1522"/>
      <c r="E9" s="2321"/>
      <c r="F9" s="2321"/>
      <c r="G9" s="2321"/>
      <c r="H9" s="2321"/>
      <c r="I9" s="2323"/>
      <c r="J9" s="2323"/>
      <c r="K9" s="2322"/>
      <c r="L9" s="1523"/>
      <c r="M9" s="691"/>
      <c r="N9" s="1525"/>
      <c r="O9" s="1525"/>
      <c r="P9" s="2324"/>
      <c r="Q9" s="2324"/>
      <c r="R9" s="511"/>
      <c r="S9" s="1501"/>
      <c r="T9" s="454"/>
      <c r="U9" s="454"/>
      <c r="V9" s="479"/>
      <c r="W9" s="479"/>
      <c r="X9" s="479"/>
      <c r="Y9" s="482" t="str">
        <f>Z8&amp;"-"&amp;AB8</f>
        <v>-</v>
      </c>
      <c r="Z9" s="2326"/>
      <c r="AA9" s="2195"/>
      <c r="AB9" s="2326"/>
      <c r="AC9" s="2195"/>
      <c r="AD9" s="479"/>
      <c r="AE9" s="479"/>
      <c r="AF9" s="479"/>
      <c r="AG9" s="482" t="str">
        <f>AH8&amp;"-"&amp;AJ8</f>
        <v>-</v>
      </c>
      <c r="AH9" s="2326"/>
      <c r="AI9" s="2195"/>
      <c r="AJ9" s="2326"/>
      <c r="AK9" s="2195"/>
      <c r="AL9" s="479"/>
      <c r="AM9" s="2351"/>
      <c r="AO9" s="654"/>
      <c r="AP9" s="654" t="str">
        <f>IF(T9="","",T9)</f>
        <v/>
      </c>
      <c r="AQ9" s="654"/>
      <c r="AR9" s="654"/>
    </row>
    <row customHeight="1" ht="15" hidden="1">
      <c r="A10" s="1522"/>
      <c r="B10" s="1522"/>
      <c r="C10" s="1522"/>
      <c r="D10" s="1522"/>
      <c r="E10" s="2321"/>
      <c r="F10" s="2321"/>
      <c r="G10" s="2321"/>
      <c r="H10" s="2321"/>
      <c r="I10" s="2323"/>
      <c r="J10" s="2322"/>
      <c r="K10" s="1522"/>
      <c r="L10" s="1523"/>
      <c r="M10" s="691"/>
      <c r="N10" s="1525"/>
      <c r="P10" s="2324"/>
      <c r="Q10" s="2324"/>
      <c r="R10" s="510"/>
      <c r="S10" s="1437"/>
      <c r="T10" s="441" t="s">
        <v>411</v>
      </c>
      <c r="U10" s="521"/>
      <c r="V10" s="521"/>
      <c r="W10" s="521"/>
      <c r="X10" s="521"/>
      <c r="Y10" s="521"/>
      <c r="Z10" s="521"/>
      <c r="AA10" s="521"/>
      <c r="AB10" s="521"/>
      <c r="AC10" s="521"/>
      <c r="AD10" s="521"/>
      <c r="AE10" s="521"/>
      <c r="AF10" s="521"/>
      <c r="AG10" s="521"/>
      <c r="AH10" s="521"/>
      <c r="AI10" s="521"/>
      <c r="AJ10" s="521"/>
      <c r="AK10" s="521"/>
      <c r="AL10" s="478"/>
      <c r="AM10" s="2352"/>
      <c r="AO10" s="654"/>
      <c r="AP10" s="654" t="str">
        <f>IF(T10="","",T10)</f>
        <v>Добавить вид теплоносителя (параметры теплоносителя)</v>
      </c>
      <c r="AQ10" s="654"/>
      <c r="AR10" s="654"/>
    </row>
    <row customHeight="1" ht="15" hidden="1">
      <c r="A11" s="1522"/>
      <c r="B11" s="1522"/>
      <c r="C11" s="1522"/>
      <c r="D11" s="1522"/>
      <c r="E11" s="2321"/>
      <c r="F11" s="2321"/>
      <c r="G11" s="2321"/>
      <c r="H11" s="2321"/>
      <c r="I11" s="2322"/>
      <c r="J11" s="1522"/>
      <c r="K11" s="1522"/>
      <c r="L11" s="1523"/>
      <c r="M11" s="691"/>
      <c r="P11" s="2324"/>
      <c r="Q11" s="1490"/>
      <c r="R11" s="510"/>
      <c r="S11" s="1437"/>
      <c r="T11" s="519" t="s">
        <v>412</v>
      </c>
      <c r="U11" s="521"/>
      <c r="V11" s="521"/>
      <c r="W11" s="521"/>
      <c r="X11" s="521"/>
      <c r="Y11" s="521"/>
      <c r="Z11" s="521"/>
      <c r="AA11" s="521"/>
      <c r="AB11" s="521"/>
      <c r="AC11" s="520"/>
      <c r="AD11" s="521"/>
      <c r="AE11" s="521"/>
      <c r="AF11" s="521"/>
      <c r="AG11" s="521"/>
      <c r="AH11" s="521"/>
      <c r="AI11" s="521"/>
      <c r="AJ11" s="521"/>
      <c r="AK11" s="520"/>
      <c r="AL11" s="521"/>
      <c r="AM11" s="457"/>
      <c r="AO11" s="654"/>
      <c r="AP11" s="654" t="str">
        <f>IF(T11="","",T11)</f>
        <v>Добавить группу потребителей</v>
      </c>
      <c r="AQ11" s="654"/>
      <c r="AR11" s="654"/>
    </row>
    <row customHeight="1" ht="14.25" hidden="1">
      <c r="A12" s="1522"/>
      <c r="B12" s="1522"/>
      <c r="C12" s="1522"/>
      <c r="D12" s="1522"/>
      <c r="E12" s="2321"/>
      <c r="F12" s="2321"/>
      <c r="G12" s="2321"/>
      <c r="H12" s="2320"/>
      <c r="I12" s="1522"/>
      <c r="J12" s="1522"/>
      <c r="K12" s="1522"/>
      <c r="L12" s="1523"/>
      <c r="M12" s="1524"/>
      <c r="N12" s="1524"/>
      <c r="O12" s="691"/>
      <c r="P12" s="514"/>
      <c r="Q12" s="529"/>
      <c r="R12" s="509"/>
      <c r="S12" s="1545"/>
      <c r="T12" s="1546"/>
      <c r="U12" s="1547"/>
      <c r="V12" s="1547"/>
      <c r="W12" s="1547"/>
      <c r="X12" s="1547"/>
      <c r="Y12" s="1547"/>
      <c r="Z12" s="1547"/>
      <c r="AA12" s="1547"/>
      <c r="AB12" s="1547"/>
      <c r="AC12" s="1547"/>
      <c r="AD12" s="1547"/>
      <c r="AE12" s="1547"/>
      <c r="AF12" s="1547"/>
      <c r="AG12" s="1547"/>
      <c r="AH12" s="1547"/>
      <c r="AI12" s="1547"/>
      <c r="AJ12" s="1547"/>
      <c r="AK12" s="1547"/>
      <c r="AL12" s="1547"/>
      <c r="AM12" s="1548"/>
      <c r="AO12" s="654"/>
      <c r="AP12" s="654" t="str">
        <f>IF(T12="","",T12)</f>
        <v/>
      </c>
      <c r="AQ12" s="654"/>
      <c r="AR12" s="654"/>
    </row>
    <row s="8702" customFormat="1" customHeight="1" ht="0.75" hidden="1">
      <c r="A13" s="1473"/>
      <c r="B13" s="1473"/>
      <c r="C13" s="1473"/>
      <c r="D13" s="1473"/>
      <c r="E13" s="2321"/>
      <c r="F13" s="2321"/>
      <c r="G13" s="2320"/>
      <c r="H13" s="1473"/>
      <c r="I13" s="1473"/>
      <c r="J13" s="1473"/>
      <c r="K13" s="1473"/>
      <c r="L13" s="1498"/>
      <c r="M13" s="1474"/>
      <c r="N13" s="1474"/>
      <c r="P13" s="1475"/>
      <c r="Q13" s="1476"/>
      <c r="R13" s="1475"/>
      <c r="S13" s="1477"/>
      <c r="T13" s="1478" t="s">
        <v>414</v>
      </c>
      <c r="U13" s="1479"/>
      <c r="V13" s="1479"/>
      <c r="W13" s="1479"/>
      <c r="X13" s="1479"/>
      <c r="Y13" s="1479"/>
      <c r="Z13" s="1479"/>
      <c r="AA13" s="1479"/>
      <c r="AB13" s="1479"/>
      <c r="AC13" s="1479"/>
      <c r="AD13" s="1479"/>
      <c r="AE13" s="1479"/>
      <c r="AF13" s="1479"/>
      <c r="AG13" s="1479"/>
      <c r="AH13" s="1479"/>
      <c r="AI13" s="1479"/>
      <c r="AJ13" s="1479"/>
      <c r="AK13" s="1479"/>
      <c r="AL13" s="1479"/>
      <c r="AM13" s="1479"/>
      <c r="AO13" s="943"/>
      <c r="AP13" s="943" t="str">
        <f>IF(T13="","",T13)</f>
        <v>Добавить источник для дифференциации</v>
      </c>
      <c r="AQ13" s="943"/>
      <c r="AR13" s="943"/>
    </row>
    <row s="8702" customFormat="1" customHeight="1" ht="0.75" hidden="1">
      <c r="A14" s="1473"/>
      <c r="B14" s="1473"/>
      <c r="C14" s="1473"/>
      <c r="D14" s="1473"/>
      <c r="E14" s="2321"/>
      <c r="F14" s="2320"/>
      <c r="G14" s="1473"/>
      <c r="H14" s="1473"/>
      <c r="I14" s="1473"/>
      <c r="J14" s="1473"/>
      <c r="K14" s="1473"/>
      <c r="L14" s="1498"/>
      <c r="M14" s="1480"/>
      <c r="N14" s="1480"/>
      <c r="P14" s="1475"/>
      <c r="Q14" s="1476"/>
      <c r="R14" s="1475"/>
      <c r="S14" s="1481"/>
      <c r="T14" s="1482" t="s">
        <v>251</v>
      </c>
      <c r="U14" s="1483"/>
      <c r="V14" s="1483"/>
      <c r="W14" s="1483"/>
      <c r="X14" s="1483"/>
      <c r="Y14" s="1483"/>
      <c r="Z14" s="1483"/>
      <c r="AA14" s="1483"/>
      <c r="AB14" s="1483"/>
      <c r="AC14" s="1483"/>
      <c r="AD14" s="1483"/>
      <c r="AE14" s="1483"/>
      <c r="AF14" s="1483"/>
      <c r="AG14" s="1483"/>
      <c r="AH14" s="1483"/>
      <c r="AI14" s="1483"/>
      <c r="AJ14" s="1483"/>
      <c r="AK14" s="1483"/>
      <c r="AL14" s="1483"/>
      <c r="AM14" s="1483"/>
      <c r="AO14" s="943"/>
      <c r="AP14" s="943" t="str">
        <f>IF(T14="","",T14)</f>
        <v>Добавить централизованную систему для дифференциации</v>
      </c>
      <c r="AQ14" s="943"/>
      <c r="AR14" s="943"/>
    </row>
    <row s="8702" customFormat="1" customHeight="1" ht="0.75" hidden="1">
      <c r="A15" s="1473"/>
      <c r="B15" s="1473"/>
      <c r="C15" s="1473"/>
      <c r="D15" s="1473"/>
      <c r="E15" s="2320"/>
      <c r="F15" s="1473"/>
      <c r="G15" s="1473"/>
      <c r="H15" s="1473"/>
      <c r="I15" s="1473"/>
      <c r="J15" s="1473"/>
      <c r="K15" s="1473"/>
      <c r="L15" s="1498"/>
      <c r="M15" s="1480"/>
      <c r="N15" s="1480"/>
      <c r="P15" s="1475"/>
      <c r="Q15" s="1476"/>
      <c r="R15" s="1475"/>
      <c r="S15" s="1481"/>
      <c r="T15" s="1484" t="s">
        <v>252</v>
      </c>
      <c r="U15" s="1483"/>
      <c r="V15" s="1483"/>
      <c r="W15" s="1483"/>
      <c r="X15" s="1483"/>
      <c r="Y15" s="1483"/>
      <c r="Z15" s="1483"/>
      <c r="AA15" s="1483"/>
      <c r="AB15" s="1483"/>
      <c r="AC15" s="1483"/>
      <c r="AD15" s="1483"/>
      <c r="AE15" s="1483"/>
      <c r="AF15" s="1483"/>
      <c r="AG15" s="1483"/>
      <c r="AH15" s="1483"/>
      <c r="AI15" s="1483"/>
      <c r="AJ15" s="1483"/>
      <c r="AK15" s="1483"/>
      <c r="AL15" s="1483"/>
      <c r="AM15" s="1483"/>
      <c r="AO15" s="943"/>
      <c r="AP15" s="943" t="str">
        <f>IF(T15="","",T15)</f>
        <v>Добавить территорию для дифференциации</v>
      </c>
      <c r="AQ15" s="943"/>
      <c r="AR15" s="943"/>
    </row>
    <row customHeight="1" ht="14.25" hidden="1">
      <c r="AC16" s="481"/>
      <c r="AK16" s="481"/>
    </row>
    <row customHeight="1" ht="14.25" hidden="1">
      <c r="AD17" s="1519"/>
      <c r="AE17" s="1519"/>
      <c r="AF17" s="1519"/>
      <c r="AG17" s="1520"/>
      <c r="AH17" s="2318"/>
      <c r="AI17" s="2317" t="s">
        <v>64</v>
      </c>
      <c r="AJ17" s="2318"/>
      <c r="AK17" s="2317" t="s">
        <v>64</v>
      </c>
    </row>
    <row customHeight="1" ht="14.25" hidden="1">
      <c r="AD18" s="1519"/>
      <c r="AE18" s="1519"/>
      <c r="AF18" s="1519"/>
      <c r="AG18" s="482" t="str">
        <f>AH17&amp;"-"&amp;AJ17</f>
        <v>-</v>
      </c>
      <c r="AH18" s="2317"/>
      <c r="AI18" s="2317"/>
      <c r="AJ18" s="2317"/>
      <c r="AK18" s="2317"/>
    </row>
    <row customHeight="1" ht="14.25" hidden="1">
      <c r="AK19" s="481"/>
    </row>
    <row s="8721" customFormat="1" customHeight="1" ht="22.5" hidden="1">
      <c r="L20" s="1488"/>
      <c r="M20" s="1521"/>
      <c r="N20" s="1521"/>
      <c r="O20" s="1526" t="s">
        <v>415</v>
      </c>
      <c r="P20" s="1521"/>
      <c r="Q20" s="1530"/>
      <c r="R20" s="1530"/>
      <c r="S20" s="883"/>
      <c r="Z20" s="1526"/>
      <c r="AB20" s="1526"/>
      <c r="AC20" s="1525"/>
      <c r="AH20" s="1526"/>
      <c r="AJ20" s="1526"/>
      <c r="AK20" s="1525"/>
      <c r="AN20" s="665"/>
      <c r="AO20" s="665"/>
      <c r="AP20" s="665"/>
      <c r="AQ20" s="665"/>
      <c r="AR20" s="665"/>
    </row>
    <row s="8721" customFormat="1" customHeight="1" ht="14.25" hidden="1">
      <c r="L21" s="1488"/>
      <c r="M21" s="1521"/>
      <c r="N21" s="1521"/>
      <c r="O21" s="1521"/>
      <c r="P21" s="1521"/>
      <c r="Q21" s="1530"/>
      <c r="R21" s="1530"/>
      <c r="S21" s="883"/>
      <c r="AC21" s="1525"/>
      <c r="AK21" s="1525"/>
      <c r="AN21" s="665"/>
      <c r="AO21" s="665"/>
      <c r="AP21" s="665"/>
      <c r="AQ21" s="665"/>
      <c r="AR21" s="665"/>
    </row>
    <row s="8721" customFormat="1" customHeight="1" ht="14.25" hidden="1">
      <c r="L22" s="1488"/>
      <c r="M22" s="1521"/>
      <c r="N22" s="1521"/>
      <c r="O22" s="1523" t="s">
        <v>416</v>
      </c>
      <c r="P22" s="1521"/>
      <c r="Q22" s="1530"/>
      <c r="R22" s="1530"/>
      <c r="S22" s="883"/>
      <c r="T22" s="1316" t="s">
        <v>417</v>
      </c>
      <c r="AA22" s="340" t="s">
        <v>418</v>
      </c>
      <c r="AC22" s="340" t="s">
        <v>419</v>
      </c>
      <c r="AD22" s="1316" t="s">
        <v>417</v>
      </c>
      <c r="AI22" s="340" t="s">
        <v>420</v>
      </c>
      <c r="AK22" s="340" t="s">
        <v>419</v>
      </c>
      <c r="AN22" s="665"/>
      <c r="AO22" s="665"/>
      <c r="AP22" s="665"/>
      <c r="AQ22" s="665"/>
      <c r="AR22" s="665"/>
    </row>
    <row customHeight="1" ht="14.25" hidden="1">
      <c r="O23" s="1523"/>
    </row>
    <row customHeight="1" ht="14.25" hidden="1">
      <c r="O24" s="1523"/>
    </row>
    <row customHeight="1" ht="14.25">
      <c r="Q25" s="530"/>
      <c r="R25" s="530"/>
      <c r="S25" s="1434"/>
      <c r="T25" s="517"/>
      <c r="U25" s="517"/>
      <c r="V25" s="663"/>
      <c r="W25" s="663"/>
      <c r="X25" s="663"/>
      <c r="Y25" s="663"/>
      <c r="Z25" s="663"/>
      <c r="AA25" s="663"/>
      <c r="AB25" s="663"/>
      <c r="AC25" s="663"/>
      <c r="AD25" s="663"/>
      <c r="AE25" s="663"/>
      <c r="AF25" s="663"/>
      <c r="AG25" s="663"/>
      <c r="AH25" s="663"/>
      <c r="AI25" s="663"/>
      <c r="AJ25" s="663"/>
      <c r="AK25" s="663"/>
    </row>
    <row customHeight="1" ht="51">
      <c r="Q26" s="530"/>
      <c r="R26" s="530"/>
      <c r="S26" s="2353" t="str">
        <f>IF(TEMPLATE_GROUP="P",PT_P_FORM_HEAT_5_NAME_FORM,PT_R_FORM_HEAT_22_NAME_FORM)</f>
        <v>Форма 4.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353"/>
      <c r="U26" s="2353"/>
      <c r="V26" s="2353"/>
      <c r="W26" s="2353"/>
      <c r="X26" s="2353"/>
      <c r="Y26" s="2353"/>
      <c r="Z26" s="2353"/>
      <c r="AA26" s="2353"/>
      <c r="AB26" s="2353"/>
      <c r="AC26" s="2353"/>
      <c r="AD26" s="2353"/>
      <c r="AE26" s="2353"/>
      <c r="AF26" s="2353"/>
      <c r="AG26" s="2353"/>
      <c r="AH26" s="2353"/>
      <c r="AI26" s="2353"/>
      <c r="AJ26" s="2353"/>
      <c r="AK26" s="1401"/>
    </row>
    <row customHeight="1" ht="14.25">
      <c r="Q27" s="530"/>
      <c r="R27" s="530"/>
      <c r="S27" s="2354" t="str">
        <f>IF(org=0,"Не определено",org)</f>
        <v>АО "Теплокоммунэнерго"</v>
      </c>
      <c r="T27" s="2354"/>
      <c r="U27" s="2354"/>
      <c r="V27" s="2354"/>
      <c r="W27" s="2354"/>
      <c r="X27" s="2354"/>
      <c r="Y27" s="2354"/>
      <c r="Z27" s="2354"/>
      <c r="AA27" s="2354"/>
      <c r="AB27" s="2354"/>
      <c r="AC27" s="2354"/>
      <c r="AD27" s="2354"/>
      <c r="AE27" s="2354"/>
      <c r="AF27" s="2354"/>
      <c r="AG27" s="2354"/>
      <c r="AH27" s="2354"/>
      <c r="AI27" s="2354"/>
      <c r="AJ27" s="2354"/>
      <c r="AK27" s="1401"/>
    </row>
    <row customHeight="1" ht="14.25">
      <c r="Q28" s="530"/>
      <c r="R28" s="530"/>
      <c r="S28" s="1434"/>
      <c r="T28" s="517"/>
      <c r="U28" s="517"/>
      <c r="V28" s="476"/>
      <c r="W28" s="476"/>
      <c r="X28" s="476"/>
      <c r="Y28" s="476"/>
      <c r="Z28" s="476"/>
      <c r="AA28" s="476"/>
      <c r="AB28" s="476"/>
      <c r="AC28" s="476"/>
      <c r="AD28" s="476"/>
      <c r="AE28" s="476"/>
      <c r="AF28" s="476"/>
      <c r="AG28" s="476"/>
      <c r="AH28" s="476"/>
      <c r="AI28" s="476"/>
      <c r="AJ28" s="476"/>
      <c r="AK28" s="476"/>
      <c r="AL28" s="663"/>
    </row>
    <row s="8735" customFormat="1" customHeight="1" ht="25.5">
      <c r="A29" s="1527"/>
      <c r="B29" s="1527"/>
      <c r="C29" s="1527"/>
      <c r="D29" s="1527"/>
      <c r="E29" s="1527"/>
      <c r="F29" s="1527"/>
      <c r="G29" s="1527"/>
      <c r="H29" s="1527"/>
      <c r="I29" s="1527"/>
      <c r="J29" s="1527"/>
      <c r="K29" s="1527"/>
      <c r="L29" s="1528"/>
      <c r="M29" s="1527"/>
      <c r="N29" s="1527"/>
      <c r="O29" s="1527"/>
      <c r="S29" s="2311" t="s">
        <v>38</v>
      </c>
      <c r="T29" s="2311"/>
      <c r="U29" s="1531"/>
      <c r="V29" s="2313" t="str">
        <f>IF(TITLE_NAME_OR_PR_CHANGE="",IF(TITLE_NAME_OR_PR="","",TITLE_NAME_OR_PR),TITLE_NAME_OR_PR_CHANGE)</f>
        <v>Региональная служба по тарифам Ростовской области</v>
      </c>
      <c r="W29" s="2313"/>
      <c r="X29" s="2313"/>
      <c r="Y29" s="2313"/>
      <c r="Z29" s="2313"/>
      <c r="AA29" s="2313"/>
      <c r="AB29" s="2313"/>
      <c r="AC29" s="480"/>
      <c r="AD29" s="2313" t="str">
        <f>IF(TITLE_NAME_OR_PR_CHANGE="",IF(TITLE_NAME_OR_PR="","",TITLE_NAME_OR_PR),TITLE_NAME_OR_PR_CHANGE)</f>
        <v>Региональная служба по тарифам Ростовской области</v>
      </c>
      <c r="AE29" s="2313"/>
      <c r="AF29" s="2313"/>
      <c r="AG29" s="2313"/>
      <c r="AH29" s="2313"/>
      <c r="AI29" s="2313"/>
      <c r="AJ29" s="2313"/>
      <c r="AK29" s="480"/>
      <c r="AL29" s="480"/>
      <c r="AM29" s="434"/>
      <c r="AN29" s="522"/>
      <c r="AO29" s="522"/>
      <c r="AP29" s="522"/>
      <c r="AQ29" s="522"/>
      <c r="AR29" s="522"/>
    </row>
    <row s="8735" customFormat="1" customHeight="1" ht="18.75">
      <c r="A30" s="1527"/>
      <c r="B30" s="1527"/>
      <c r="C30" s="1527"/>
      <c r="D30" s="1527"/>
      <c r="E30" s="1527"/>
      <c r="F30" s="1527"/>
      <c r="G30" s="1527"/>
      <c r="H30" s="1527"/>
      <c r="I30" s="1527"/>
      <c r="J30" s="1527"/>
      <c r="K30" s="1527"/>
      <c r="L30" s="1528"/>
      <c r="M30" s="1527"/>
      <c r="N30" s="1527"/>
      <c r="O30" s="1527"/>
      <c r="S30" s="2311" t="s">
        <v>421</v>
      </c>
      <c r="T30" s="2311"/>
      <c r="U30" s="1531"/>
      <c r="V30" s="2312" t="str">
        <f>IF(TITLE_DATE_PR_CHANGE="",IF(TITLE_DATE_PR="","",TITLE_DATE_PR),TITLE_DATE_PR_CHANGE)</f>
        <v>45279</v>
      </c>
      <c r="W30" s="2312"/>
      <c r="X30" s="2312"/>
      <c r="Y30" s="2312"/>
      <c r="Z30" s="2312"/>
      <c r="AA30" s="2312"/>
      <c r="AB30" s="2312"/>
      <c r="AC30" s="480"/>
      <c r="AD30" s="2312" t="str">
        <f>IF(TITLE_DATE_PR_CHANGE="",IF(TITLE_DATE_PR="","",TITLE_DATE_PR),TITLE_DATE_PR_CHANGE)</f>
        <v>45279</v>
      </c>
      <c r="AE30" s="2312"/>
      <c r="AF30" s="2312"/>
      <c r="AG30" s="2312"/>
      <c r="AH30" s="2312"/>
      <c r="AI30" s="2312"/>
      <c r="AJ30" s="2312"/>
      <c r="AK30" s="480"/>
      <c r="AL30" s="480"/>
      <c r="AM30" s="434"/>
      <c r="AN30" s="522"/>
      <c r="AO30" s="522"/>
      <c r="AP30" s="522"/>
      <c r="AQ30" s="522"/>
      <c r="AR30" s="522"/>
    </row>
    <row s="8735" customFormat="1" customHeight="1" ht="18.75">
      <c r="A31" s="1527"/>
      <c r="B31" s="1527"/>
      <c r="C31" s="1527"/>
      <c r="D31" s="1527"/>
      <c r="E31" s="1527"/>
      <c r="F31" s="1527"/>
      <c r="G31" s="1527"/>
      <c r="H31" s="1527"/>
      <c r="I31" s="1527"/>
      <c r="J31" s="1527"/>
      <c r="K31" s="1527"/>
      <c r="L31" s="1528"/>
      <c r="M31" s="1527"/>
      <c r="N31" s="1527"/>
      <c r="O31" s="1527"/>
      <c r="S31" s="2311" t="s">
        <v>422</v>
      </c>
      <c r="T31" s="2311"/>
      <c r="U31" s="1531"/>
      <c r="V31" s="2313" t="str">
        <f>IF(TITLE_NUMBER_PR_CHANGE="",IF(TITLE_NUMBER_PR="","",TITLE_NUMBER_PR),TITLE_NUMBER_PR_CHANGE)</f>
        <v>877</v>
      </c>
      <c r="W31" s="2313"/>
      <c r="X31" s="2313"/>
      <c r="Y31" s="2313"/>
      <c r="Z31" s="2313"/>
      <c r="AA31" s="2313"/>
      <c r="AB31" s="2313"/>
      <c r="AC31" s="480"/>
      <c r="AD31" s="2313" t="str">
        <f>IF(TITLE_NUMBER_PR_CHANGE="",IF(TITLE_NUMBER_PR="","",TITLE_NUMBER_PR),TITLE_NUMBER_PR_CHANGE)</f>
        <v>877</v>
      </c>
      <c r="AE31" s="2313"/>
      <c r="AF31" s="2313"/>
      <c r="AG31" s="2313"/>
      <c r="AH31" s="2313"/>
      <c r="AI31" s="2313"/>
      <c r="AJ31" s="2313"/>
      <c r="AK31" s="480"/>
      <c r="AL31" s="480"/>
      <c r="AM31" s="434"/>
      <c r="AN31" s="522"/>
      <c r="AO31" s="522"/>
      <c r="AP31" s="522"/>
      <c r="AQ31" s="522"/>
      <c r="AR31" s="522"/>
    </row>
    <row s="8735" customFormat="1" customHeight="1" ht="18.75">
      <c r="A32" s="1527"/>
      <c r="B32" s="1527"/>
      <c r="C32" s="1527"/>
      <c r="D32" s="1527"/>
      <c r="E32" s="1527"/>
      <c r="F32" s="1527"/>
      <c r="G32" s="1527"/>
      <c r="H32" s="1527"/>
      <c r="I32" s="1527"/>
      <c r="J32" s="1527"/>
      <c r="K32" s="1527"/>
      <c r="L32" s="1528"/>
      <c r="M32" s="1527"/>
      <c r="N32" s="1527"/>
      <c r="O32" s="1527"/>
      <c r="S32" s="2311" t="s">
        <v>40</v>
      </c>
      <c r="T32" s="2311"/>
      <c r="U32" s="1531"/>
      <c r="V32" s="2313" t="str">
        <f>IF(TITLE_IST_PUB_CHANGE="",IF(TITLE_IST_PUB="","",TITLE_IST_PUB),TITLE_IST_PUB_CHANGE)</f>
        <v>Официальный портал правовой информации Ростовской области</v>
      </c>
      <c r="W32" s="2313"/>
      <c r="X32" s="2313"/>
      <c r="Y32" s="2313"/>
      <c r="Z32" s="2313"/>
      <c r="AA32" s="2313"/>
      <c r="AB32" s="2313"/>
      <c r="AC32" s="480"/>
      <c r="AD32" s="2313" t="str">
        <f>IF(TITLE_IST_PUB_CHANGE="",IF(TITLE_IST_PUB="","",TITLE_IST_PUB),TITLE_IST_PUB_CHANGE)</f>
        <v>Официальный портал правовой информации Ростовской области</v>
      </c>
      <c r="AE32" s="2313"/>
      <c r="AF32" s="2313"/>
      <c r="AG32" s="2313"/>
      <c r="AH32" s="2313"/>
      <c r="AI32" s="2313"/>
      <c r="AJ32" s="2313"/>
      <c r="AK32" s="480"/>
      <c r="AL32" s="480"/>
      <c r="AM32" s="434"/>
      <c r="AN32" s="522"/>
      <c r="AO32" s="522"/>
      <c r="AP32" s="522"/>
      <c r="AQ32" s="522"/>
      <c r="AR32" s="522"/>
    </row>
    <row customHeight="1" ht="14.25" hidden="1">
      <c r="Q33" s="530"/>
      <c r="R33" s="530"/>
      <c r="S33" s="1434"/>
      <c r="T33" s="517"/>
      <c r="U33" s="517"/>
      <c r="V33" s="476"/>
      <c r="W33" s="476"/>
      <c r="X33" s="476"/>
      <c r="Y33" s="476"/>
      <c r="Z33" s="476"/>
      <c r="AA33" s="476"/>
      <c r="AB33" s="476"/>
      <c r="AC33" s="476"/>
      <c r="AD33" s="476"/>
      <c r="AE33" s="476"/>
      <c r="AF33" s="476"/>
      <c r="AG33" s="476"/>
      <c r="AH33" s="476"/>
      <c r="AI33" s="476"/>
      <c r="AJ33" s="476"/>
      <c r="AK33" s="476"/>
      <c r="AL33" s="663"/>
    </row>
    <row s="8735" customFormat="1" customHeight="1" ht="18.75" hidden="1">
      <c r="A34" s="1527"/>
      <c r="B34" s="1527"/>
      <c r="C34" s="1527"/>
      <c r="D34" s="1527"/>
      <c r="E34" s="1527"/>
      <c r="F34" s="1527"/>
      <c r="G34" s="1527"/>
      <c r="H34" s="1527"/>
      <c r="I34" s="1527"/>
      <c r="J34" s="1527"/>
      <c r="K34" s="1527"/>
      <c r="L34" s="1528"/>
      <c r="M34" s="1527"/>
      <c r="N34" s="1527"/>
      <c r="O34" s="1527"/>
      <c r="S34" s="2311" t="s">
        <v>423</v>
      </c>
      <c r="T34" s="2311"/>
      <c r="U34" s="1531"/>
      <c r="V34" s="2312" t="str">
        <f>IF(TITLE_DATE_PR_CHANGE="",IF(TITLE_DATE_PR="","",TITLE_DATE_PR),TITLE_DATE_PR_CHANGE)</f>
        <v>45279</v>
      </c>
      <c r="W34" s="2312"/>
      <c r="X34" s="2312"/>
      <c r="Y34" s="2312"/>
      <c r="Z34" s="2312"/>
      <c r="AA34" s="2312"/>
      <c r="AB34" s="2312"/>
      <c r="AC34" s="480"/>
      <c r="AD34" s="2312" t="str">
        <f>IF(TITLE_DATE_PR_CHANGE="",IF(TITLE_DATE_PR="","",TITLE_DATE_PR),TITLE_DATE_PR_CHANGE)</f>
        <v>45279</v>
      </c>
      <c r="AE34" s="2312"/>
      <c r="AF34" s="2312"/>
      <c r="AG34" s="2312"/>
      <c r="AH34" s="2312"/>
      <c r="AI34" s="2312"/>
      <c r="AJ34" s="2312"/>
      <c r="AK34" s="480"/>
      <c r="AL34" s="480"/>
      <c r="AM34" s="434"/>
      <c r="AN34" s="522"/>
      <c r="AO34" s="522"/>
      <c r="AP34" s="522"/>
      <c r="AQ34" s="522"/>
      <c r="AR34" s="522"/>
    </row>
    <row s="8735" customFormat="1" customHeight="1" ht="18.75" hidden="1">
      <c r="A35" s="1527"/>
      <c r="B35" s="1527"/>
      <c r="C35" s="1527"/>
      <c r="D35" s="1527"/>
      <c r="E35" s="1527"/>
      <c r="F35" s="1527"/>
      <c r="G35" s="1527"/>
      <c r="H35" s="1527"/>
      <c r="I35" s="1527"/>
      <c r="J35" s="1527"/>
      <c r="K35" s="1527"/>
      <c r="L35" s="1528"/>
      <c r="M35" s="1527"/>
      <c r="N35" s="1527"/>
      <c r="O35" s="1527"/>
      <c r="S35" s="2311" t="s">
        <v>424</v>
      </c>
      <c r="T35" s="2311"/>
      <c r="U35" s="1531"/>
      <c r="V35" s="2313" t="str">
        <f>IF(TITLE_NUMBER_PR_CHANGE="",IF(TITLE_NUMBER_PR="","",TITLE_NUMBER_PR),TITLE_NUMBER_PR_CHANGE)</f>
        <v>877</v>
      </c>
      <c r="W35" s="2313"/>
      <c r="X35" s="2313"/>
      <c r="Y35" s="2313"/>
      <c r="Z35" s="2313"/>
      <c r="AA35" s="2313"/>
      <c r="AB35" s="2313"/>
      <c r="AC35" s="480"/>
      <c r="AD35" s="2313" t="str">
        <f>IF(TITLE_NUMBER_PR_CHANGE="",IF(TITLE_NUMBER_PR="","",TITLE_NUMBER_PR),TITLE_NUMBER_PR_CHANGE)</f>
        <v>877</v>
      </c>
      <c r="AE35" s="2313"/>
      <c r="AF35" s="2313"/>
      <c r="AG35" s="2313"/>
      <c r="AH35" s="2313"/>
      <c r="AI35" s="2313"/>
      <c r="AJ35" s="2313"/>
      <c r="AK35" s="480"/>
      <c r="AL35" s="480"/>
      <c r="AM35" s="434"/>
      <c r="AN35" s="522"/>
      <c r="AO35" s="522"/>
      <c r="AP35" s="522"/>
      <c r="AQ35" s="522"/>
      <c r="AR35" s="522"/>
    </row>
    <row s="8735" customFormat="1" customHeight="1" ht="0">
      <c r="A36" s="1527"/>
      <c r="B36" s="1527"/>
      <c r="C36" s="1527"/>
      <c r="D36" s="1527"/>
      <c r="E36" s="1527"/>
      <c r="F36" s="1527"/>
      <c r="G36" s="1527"/>
      <c r="H36" s="1527"/>
      <c r="I36" s="1527"/>
      <c r="J36" s="1527"/>
      <c r="K36" s="1527"/>
      <c r="L36" s="1528"/>
      <c r="M36" s="1527"/>
      <c r="N36" s="1527"/>
      <c r="O36" s="1527"/>
      <c r="S36" s="477"/>
      <c r="T36" s="477"/>
      <c r="U36" s="1499"/>
      <c r="V36" s="480"/>
      <c r="W36" s="480"/>
      <c r="X36" s="480"/>
      <c r="Y36" s="480"/>
      <c r="Z36" s="480"/>
      <c r="AA36" s="480"/>
      <c r="AB36" s="480"/>
      <c r="AC36" s="432" t="s">
        <v>425</v>
      </c>
      <c r="AD36" s="480"/>
      <c r="AE36" s="480"/>
      <c r="AF36" s="480"/>
      <c r="AG36" s="480"/>
      <c r="AH36" s="480"/>
      <c r="AI36" s="480"/>
      <c r="AJ36" s="480"/>
      <c r="AK36" s="432" t="s">
        <v>425</v>
      </c>
      <c r="AN36" s="522"/>
      <c r="AO36" s="522"/>
      <c r="AP36" s="522"/>
      <c r="AQ36" s="522"/>
      <c r="AR36" s="522"/>
    </row>
    <row customHeight="1" ht="14.25">
      <c r="Q37" s="530"/>
      <c r="R37" s="530"/>
      <c r="S37" s="1434"/>
      <c r="T37" s="517"/>
      <c r="U37" s="1402"/>
      <c r="V37" s="2337"/>
      <c r="W37" s="2337"/>
      <c r="X37" s="2337"/>
      <c r="Y37" s="2337"/>
      <c r="Z37" s="2337"/>
      <c r="AA37" s="2337"/>
      <c r="AB37" s="2337"/>
      <c r="AC37" s="2337"/>
      <c r="AD37" s="2337"/>
      <c r="AE37" s="2337"/>
      <c r="AF37" s="2337"/>
      <c r="AG37" s="2337"/>
      <c r="AH37" s="2337"/>
      <c r="AI37" s="2337"/>
      <c r="AJ37" s="2337"/>
      <c r="AK37" s="2337"/>
    </row>
    <row customHeight="1" ht="14.25">
      <c r="Q38" s="530"/>
      <c r="R38" s="530"/>
      <c r="S38" s="2185" t="s">
        <v>300</v>
      </c>
      <c r="T38" s="2185"/>
      <c r="U38" s="2185"/>
      <c r="V38" s="2185"/>
      <c r="W38" s="2185"/>
      <c r="X38" s="2185"/>
      <c r="Y38" s="2185"/>
      <c r="Z38" s="2185"/>
      <c r="AA38" s="2185"/>
      <c r="AB38" s="2185"/>
      <c r="AC38" s="2185"/>
      <c r="AD38" s="2185"/>
      <c r="AE38" s="2185"/>
      <c r="AF38" s="2185"/>
      <c r="AG38" s="2185"/>
      <c r="AH38" s="2185"/>
      <c r="AI38" s="2185"/>
      <c r="AJ38" s="2185"/>
      <c r="AK38" s="2185"/>
      <c r="AL38" s="2185"/>
      <c r="AM38" s="2185" t="s">
        <v>301</v>
      </c>
    </row>
    <row customHeight="1" ht="14.25">
      <c r="Q39" s="530"/>
      <c r="R39" s="530"/>
      <c r="S39" s="2338" t="s">
        <v>85</v>
      </c>
      <c r="T39" s="2275" t="s">
        <v>426</v>
      </c>
      <c r="U39" s="455"/>
      <c r="V39" s="2339" t="s">
        <v>427</v>
      </c>
      <c r="W39" s="2340"/>
      <c r="X39" s="2340"/>
      <c r="Y39" s="2340"/>
      <c r="Z39" s="2340"/>
      <c r="AA39" s="2340"/>
      <c r="AB39" s="2341"/>
      <c r="AC39" s="2342" t="s">
        <v>428</v>
      </c>
      <c r="AD39" s="2339" t="s">
        <v>427</v>
      </c>
      <c r="AE39" s="2340"/>
      <c r="AF39" s="2340"/>
      <c r="AG39" s="2340"/>
      <c r="AH39" s="2340"/>
      <c r="AI39" s="2340"/>
      <c r="AJ39" s="2341"/>
      <c r="AK39" s="2342" t="s">
        <v>429</v>
      </c>
      <c r="AL39" s="2345" t="s">
        <v>430</v>
      </c>
      <c r="AM39" s="2185"/>
    </row>
    <row customHeight="1" ht="33.75">
      <c r="Q40" s="530"/>
      <c r="R40" s="530"/>
      <c r="S40" s="2338"/>
      <c r="T40" s="2275"/>
      <c r="U40" s="1186"/>
      <c r="V40" s="2348" t="s">
        <v>431</v>
      </c>
      <c r="W40" s="2329"/>
      <c r="X40" s="2331" t="s">
        <v>433</v>
      </c>
      <c r="Y40" s="2333"/>
      <c r="Z40" s="2331" t="s">
        <v>434</v>
      </c>
      <c r="AA40" s="2332"/>
      <c r="AB40" s="2333"/>
      <c r="AC40" s="2343"/>
      <c r="AD40" s="2348" t="s">
        <v>447</v>
      </c>
      <c r="AE40" s="2329"/>
      <c r="AF40" s="2331" t="s">
        <v>433</v>
      </c>
      <c r="AG40" s="2333"/>
      <c r="AH40" s="2331" t="s">
        <v>434</v>
      </c>
      <c r="AI40" s="2332"/>
      <c r="AJ40" s="2333"/>
      <c r="AK40" s="2343"/>
      <c r="AL40" s="2346"/>
      <c r="AM40" s="2185"/>
    </row>
    <row customHeight="1" ht="33.75">
      <c r="A41" s="1529"/>
      <c r="B41" s="1529" t="s">
        <v>132</v>
      </c>
      <c r="C41" s="1529" t="s">
        <v>133</v>
      </c>
      <c r="D41" s="1529" t="s">
        <v>134</v>
      </c>
      <c r="E41" s="1523" t="s">
        <v>435</v>
      </c>
      <c r="F41" s="1523" t="s">
        <v>436</v>
      </c>
      <c r="G41" s="1523" t="s">
        <v>437</v>
      </c>
      <c r="H41" s="1523" t="s">
        <v>438</v>
      </c>
      <c r="I41" s="1523" t="s">
        <v>439</v>
      </c>
      <c r="J41" s="1523" t="s">
        <v>440</v>
      </c>
      <c r="K41" s="1523" t="s">
        <v>441</v>
      </c>
      <c r="L41" s="1523" t="s">
        <v>416</v>
      </c>
      <c r="Q41" s="530"/>
      <c r="R41" s="530"/>
      <c r="S41" s="2338"/>
      <c r="T41" s="2275"/>
      <c r="U41" s="456"/>
      <c r="V41" s="2349"/>
      <c r="W41" s="2330"/>
      <c r="X41" s="1380" t="s">
        <v>442</v>
      </c>
      <c r="Y41" s="1380" t="s">
        <v>443</v>
      </c>
      <c r="Z41" s="1497" t="s">
        <v>444</v>
      </c>
      <c r="AA41" s="2334" t="s">
        <v>445</v>
      </c>
      <c r="AB41" s="2335"/>
      <c r="AC41" s="2344"/>
      <c r="AD41" s="2349"/>
      <c r="AE41" s="2330"/>
      <c r="AF41" s="1380" t="s">
        <v>442</v>
      </c>
      <c r="AG41" s="1380" t="s">
        <v>443</v>
      </c>
      <c r="AH41" s="1497" t="s">
        <v>444</v>
      </c>
      <c r="AI41" s="2334" t="s">
        <v>445</v>
      </c>
      <c r="AJ41" s="2335"/>
      <c r="AK41" s="2344"/>
      <c r="AL41" s="2347"/>
      <c r="AM41" s="2185"/>
    </row>
    <row s="8552" customFormat="1" customHeight="1" ht="11.25" hidden="1">
      <c r="A42" s="1529"/>
      <c r="B42" s="1529"/>
      <c r="C42" s="1529"/>
      <c r="D42" s="1529"/>
      <c r="E42" s="1529"/>
      <c r="F42" s="1529"/>
      <c r="G42" s="1529"/>
      <c r="H42" s="1529"/>
      <c r="I42" s="1529"/>
      <c r="J42" s="1529"/>
      <c r="K42" s="1529"/>
      <c r="L42" s="1523"/>
      <c r="M42" s="1521"/>
      <c r="N42" s="1521"/>
      <c r="O42" s="1521"/>
      <c r="P42" s="1404"/>
      <c r="Q42" s="1405"/>
      <c r="R42" s="1412">
        <v>1</v>
      </c>
      <c r="S42" s="1436" t="s">
        <v>106</v>
      </c>
      <c r="T42" s="1413" t="s">
        <v>107</v>
      </c>
      <c r="U42" s="1403" t="str">
        <f>OFFSET(U42,0,-1)</f>
        <v>2</v>
      </c>
      <c r="V42" s="1494">
        <f>OFFSET(V42,0,-1)+1</f>
        <v>3</v>
      </c>
      <c r="W42" s="1494"/>
      <c r="X42" s="1494">
        <f>OFFSET(X42,0,-1)+1</f>
        <v>1</v>
      </c>
      <c r="Y42" s="1494">
        <f>OFFSET(Y42,0,-1)+1</f>
        <v>2</v>
      </c>
      <c r="Z42" s="1494">
        <f>OFFSET(Z42,0,-1)+1</f>
        <v>3</v>
      </c>
      <c r="AA42" s="2336">
        <f>OFFSET(AA42,0,-1)+1</f>
        <v>4</v>
      </c>
      <c r="AB42" s="2336"/>
      <c r="AC42" s="1494">
        <f>OFFSET(AC42,0,-2)+1</f>
        <v>5</v>
      </c>
      <c r="AD42" s="1494">
        <f>OFFSET(AD42,0,-1)+1</f>
        <v>6</v>
      </c>
      <c r="AE42" s="1494"/>
      <c r="AF42" s="1494">
        <f>OFFSET(AF42,0,-1)+1</f>
        <v>1</v>
      </c>
      <c r="AG42" s="1494">
        <f>OFFSET(AG42,0,-1)+1</f>
        <v>2</v>
      </c>
      <c r="AH42" s="1494">
        <f>OFFSET(AH42,0,-1)+1</f>
        <v>3</v>
      </c>
      <c r="AI42" s="2336">
        <f>OFFSET(AI42,0,-1)+1</f>
        <v>4</v>
      </c>
      <c r="AJ42" s="2336"/>
      <c r="AK42" s="1494">
        <f>OFFSET(AK42,0,-2)+1</f>
        <v>5</v>
      </c>
      <c r="AL42" s="1403">
        <f>OFFSET(AL42,0,-1)</f>
        <v>5</v>
      </c>
      <c r="AM42" s="1494">
        <f>OFFSET(AM42,0,-1)+1</f>
        <v>6</v>
      </c>
      <c r="AN42" s="665"/>
      <c r="AO42" s="665"/>
      <c r="AP42" s="665"/>
      <c r="AQ42" s="665"/>
      <c r="AR42" s="665"/>
    </row>
    <row customHeight="1" ht="21">
      <c r="A43" s="1522" t="s">
        <v>165</v>
      </c>
      <c r="B43" s="1522"/>
      <c r="C43" s="1522"/>
      <c r="D43" s="1522"/>
      <c r="E43" s="2320">
        <v>1</v>
      </c>
      <c r="F43" s="1522"/>
      <c r="G43" s="1522"/>
      <c r="H43" s="1522"/>
      <c r="I43" s="1522"/>
      <c r="J43" s="1522"/>
      <c r="K43" s="1522"/>
      <c r="L43" s="1523"/>
      <c r="M43" s="1524"/>
      <c r="N43" s="1524"/>
      <c r="O43" s="1524"/>
      <c r="P43" s="515"/>
      <c r="Q43" s="514"/>
      <c r="R43" s="509"/>
      <c r="S43" s="1495">
        <f>INDEX(PT_DIFFERENTIATION_NUM_NTAR,MATCH(A43,PT_DIFFERENTIATION_NTAR_ID,0))</f>
        <v>0</v>
      </c>
      <c r="T43" s="452" t="s">
        <v>120</v>
      </c>
      <c r="U43" s="454"/>
      <c r="V43" s="2314"/>
      <c r="W43" s="2315"/>
      <c r="X43" s="2315"/>
      <c r="Y43" s="2315"/>
      <c r="Z43" s="2315"/>
      <c r="AA43" s="2315"/>
      <c r="AB43" s="2315"/>
      <c r="AC43" s="2316"/>
      <c r="AD43" s="2314" t="str">
        <f>INDEX(PT_DIFFERENTIATION_NTAR,MATCH(A43,PT_DIFFERENTIATION_NTAR_ID,0))</f>
        <v/>
      </c>
      <c r="AE43" s="2315"/>
      <c r="AF43" s="2315"/>
      <c r="AG43" s="2315"/>
      <c r="AH43" s="2315"/>
      <c r="AI43" s="2315"/>
      <c r="AJ43" s="2315"/>
      <c r="AK43" s="2315"/>
      <c r="AL43" s="2316"/>
      <c r="AM43" s="1416"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O43" s="654"/>
      <c r="AP43" s="654" t="str">
        <f>IF(T43="","",T43)</f>
        <v>Наименование тарифа</v>
      </c>
      <c r="AQ43" s="654"/>
      <c r="AR43" s="654"/>
    </row>
    <row customHeight="1" ht="21">
      <c r="A44" s="1522" t="s">
        <v>165</v>
      </c>
      <c r="B44" s="1522" t="s">
        <v>166</v>
      </c>
      <c r="C44" s="1522"/>
      <c r="D44" s="1522"/>
      <c r="E44" s="2321"/>
      <c r="F44" s="2320">
        <v>1</v>
      </c>
      <c r="G44" s="1522"/>
      <c r="H44" s="1522"/>
      <c r="I44" s="1522"/>
      <c r="J44" s="1522"/>
      <c r="K44" s="1522"/>
      <c r="L44" s="1523"/>
      <c r="M44" s="1524"/>
      <c r="N44" s="1524"/>
      <c r="O44" s="1524"/>
      <c r="P44" s="1491"/>
      <c r="Q44" s="506"/>
      <c r="R44" s="507"/>
      <c r="S44" s="1495" t="str">
        <f>INDEX(PT_DIFFERENTIATION_NUM_TER,MATCH(B44,PT_DIFFERENTIATION_TER_ID,0))</f>
        <v>.</v>
      </c>
      <c r="T44" s="462" t="s">
        <v>397</v>
      </c>
      <c r="U44" s="454"/>
      <c r="V44" s="2314"/>
      <c r="W44" s="2315"/>
      <c r="X44" s="2315"/>
      <c r="Y44" s="2315"/>
      <c r="Z44" s="2315"/>
      <c r="AA44" s="2315"/>
      <c r="AB44" s="2315"/>
      <c r="AC44" s="2316"/>
      <c r="AD44" s="2314" t="str">
        <f>INDEX(PT_DIFFERENTIATION_TER,MATCH(B44,PT_DIFFERENTIATION_TER_ID,0))</f>
        <v/>
      </c>
      <c r="AE44" s="2315"/>
      <c r="AF44" s="2315"/>
      <c r="AG44" s="2315"/>
      <c r="AH44" s="2315"/>
      <c r="AI44" s="2315"/>
      <c r="AJ44" s="2315"/>
      <c r="AK44" s="2315"/>
      <c r="AL44" s="2316"/>
      <c r="AM44" s="1416" t="s">
        <v>398</v>
      </c>
      <c r="AO44" s="654"/>
      <c r="AP44" s="654" t="str">
        <f>IF(T44="","",T44)</f>
        <v>Территория действия тарифа</v>
      </c>
      <c r="AQ44" s="654"/>
      <c r="AR44" s="654"/>
    </row>
    <row customHeight="1" ht="23.25">
      <c r="A45" s="1522" t="s">
        <v>165</v>
      </c>
      <c r="B45" s="1522" t="s">
        <v>166</v>
      </c>
      <c r="C45" s="1522" t="s">
        <v>167</v>
      </c>
      <c r="D45" s="1522"/>
      <c r="E45" s="2321"/>
      <c r="F45" s="2321"/>
      <c r="G45" s="2320">
        <v>1</v>
      </c>
      <c r="H45" s="1522"/>
      <c r="I45" s="1522"/>
      <c r="J45" s="1522"/>
      <c r="K45" s="1522"/>
      <c r="L45" s="1523"/>
      <c r="M45" s="1524"/>
      <c r="N45" s="1524"/>
      <c r="O45" s="1524"/>
      <c r="P45" s="508"/>
      <c r="Q45" s="506"/>
      <c r="R45" s="507"/>
      <c r="S45" s="1495" t="str">
        <f>INDEX(PT_DIFFERENTIATION_NUM_CS,MATCH(C45,PT_DIFFERENTIATION_CS_ID,0))</f>
        <v>..</v>
      </c>
      <c r="T45" s="463" t="s">
        <v>399</v>
      </c>
      <c r="U45" s="454"/>
      <c r="V45" s="2314"/>
      <c r="W45" s="2315"/>
      <c r="X45" s="2315"/>
      <c r="Y45" s="2315"/>
      <c r="Z45" s="2315"/>
      <c r="AA45" s="2315"/>
      <c r="AB45" s="2315"/>
      <c r="AC45" s="2316"/>
      <c r="AD45" s="2314" t="str">
        <f>INDEX(PT_DIFFERENTIATION_CS,MATCH(C45,PT_DIFFERENTIATION_CS_ID,0))</f>
        <v/>
      </c>
      <c r="AE45" s="2315"/>
      <c r="AF45" s="2315"/>
      <c r="AG45" s="2315"/>
      <c r="AH45" s="2315"/>
      <c r="AI45" s="2315"/>
      <c r="AJ45" s="2315"/>
      <c r="AK45" s="2315"/>
      <c r="AL45" s="2316"/>
      <c r="AM45" s="1416" t="s">
        <v>400</v>
      </c>
      <c r="AO45" s="654"/>
      <c r="AP45" s="654" t="str">
        <f>IF(T45="","",T45)</f>
        <v>Наименование системы теплоснабжения </v>
      </c>
      <c r="AQ45" s="654"/>
      <c r="AR45" s="654"/>
    </row>
    <row customHeight="1" ht="21">
      <c r="A46" s="1522" t="s">
        <v>165</v>
      </c>
      <c r="B46" s="1522" t="s">
        <v>166</v>
      </c>
      <c r="C46" s="1522" t="s">
        <v>167</v>
      </c>
      <c r="D46" s="1522" t="s">
        <v>168</v>
      </c>
      <c r="E46" s="2321"/>
      <c r="F46" s="2321"/>
      <c r="G46" s="2321"/>
      <c r="H46" s="2320">
        <v>1</v>
      </c>
      <c r="I46" s="1522"/>
      <c r="J46" s="1522"/>
      <c r="K46" s="1522"/>
      <c r="L46" s="1523"/>
      <c r="M46" s="1524"/>
      <c r="N46" s="1524"/>
      <c r="O46" s="1524"/>
      <c r="P46" s="508"/>
      <c r="Q46" s="506"/>
      <c r="R46" s="507"/>
      <c r="S46" s="1495" t="str">
        <f>INDEX(PT_DIFFERENTIATION_NUM_IST_TE,MATCH(D46,PT_DIFFERENTIATION_IST_TE_ID,0))</f>
        <v>...</v>
      </c>
      <c r="T46" s="464" t="s">
        <v>401</v>
      </c>
      <c r="U46" s="454"/>
      <c r="V46" s="2314"/>
      <c r="W46" s="2315"/>
      <c r="X46" s="2315"/>
      <c r="Y46" s="2315"/>
      <c r="Z46" s="2315"/>
      <c r="AA46" s="2315"/>
      <c r="AB46" s="2315"/>
      <c r="AC46" s="2316"/>
      <c r="AD46" s="2314" t="str">
        <f>INDEX(PT_DIFFERENTIATION_IST_TE,MATCH(D46,PT_DIFFERENTIATION_IST_TE_ID,0))</f>
        <v/>
      </c>
      <c r="AE46" s="2315"/>
      <c r="AF46" s="2315"/>
      <c r="AG46" s="2315"/>
      <c r="AH46" s="2315"/>
      <c r="AI46" s="2315"/>
      <c r="AJ46" s="2315"/>
      <c r="AK46" s="2315"/>
      <c r="AL46" s="2316"/>
      <c r="AM46" s="1416" t="s">
        <v>402</v>
      </c>
      <c r="AO46" s="654"/>
      <c r="AP46" s="654" t="str">
        <f>IF(T46="","",T46)</f>
        <v>Источник тепловой энергии  </v>
      </c>
      <c r="AQ46" s="654"/>
      <c r="AR46" s="654"/>
    </row>
    <row s="8794" customFormat="1" customHeight="1" ht="0">
      <c r="A47" s="1502" t="s">
        <v>165</v>
      </c>
      <c r="B47" s="1502" t="s">
        <v>166</v>
      </c>
      <c r="C47" s="1502" t="s">
        <v>167</v>
      </c>
      <c r="D47" s="1502" t="s">
        <v>168</v>
      </c>
      <c r="E47" s="2321"/>
      <c r="F47" s="2321"/>
      <c r="G47" s="2321"/>
      <c r="H47" s="2321"/>
      <c r="I47" s="2322" t="str">
        <f>S46&amp;".1"</f>
        <v>....1</v>
      </c>
      <c r="J47" s="1502"/>
      <c r="K47" s="1502"/>
      <c r="L47" s="1505" t="s">
        <v>403</v>
      </c>
      <c r="M47" s="664"/>
      <c r="N47" s="664"/>
      <c r="O47" s="664"/>
      <c r="P47" s="2324">
        <v>1</v>
      </c>
      <c r="Q47" s="1490"/>
      <c r="R47" s="510"/>
      <c r="S47" s="1197"/>
      <c r="T47" s="1542"/>
      <c r="U47" s="1543"/>
      <c r="V47" s="2362"/>
      <c r="W47" s="2363"/>
      <c r="X47" s="2363"/>
      <c r="Y47" s="2363"/>
      <c r="Z47" s="2363"/>
      <c r="AA47" s="2363"/>
      <c r="AB47" s="2363"/>
      <c r="AC47" s="2364"/>
      <c r="AD47" s="2362"/>
      <c r="AE47" s="2363"/>
      <c r="AF47" s="2363"/>
      <c r="AG47" s="2363"/>
      <c r="AH47" s="2363"/>
      <c r="AI47" s="2363"/>
      <c r="AJ47" s="2363"/>
      <c r="AK47" s="2363"/>
      <c r="AL47" s="2364"/>
      <c r="AM47" s="1544"/>
      <c r="AO47" s="654"/>
      <c r="AP47" s="654" t="str">
        <f>IF(T47="","",T47)</f>
        <v/>
      </c>
      <c r="AQ47" s="654"/>
      <c r="AR47" s="654"/>
    </row>
    <row customHeight="1" ht="21">
      <c r="A48" s="1522" t="s">
        <v>165</v>
      </c>
      <c r="B48" s="1522" t="s">
        <v>166</v>
      </c>
      <c r="C48" s="1522" t="s">
        <v>167</v>
      </c>
      <c r="D48" s="1522" t="s">
        <v>168</v>
      </c>
      <c r="E48" s="2321"/>
      <c r="F48" s="2321"/>
      <c r="G48" s="2321"/>
      <c r="H48" s="2321"/>
      <c r="I48" s="2323"/>
      <c r="J48" s="2322" t="str">
        <f>S46&amp;".1"</f>
        <v>....1</v>
      </c>
      <c r="K48" s="1522"/>
      <c r="L48" s="1523" t="s">
        <v>406</v>
      </c>
      <c r="P48" s="2324"/>
      <c r="Q48" s="2324">
        <v>1</v>
      </c>
      <c r="R48" s="511"/>
      <c r="S48" s="1495" t="str">
        <f>$J48</f>
        <v>....1</v>
      </c>
      <c r="T48" s="440" t="s">
        <v>407</v>
      </c>
      <c r="U48" s="454"/>
      <c r="V48" s="2308"/>
      <c r="W48" s="2309"/>
      <c r="X48" s="2309"/>
      <c r="Y48" s="2309"/>
      <c r="Z48" s="2309"/>
      <c r="AA48" s="2309"/>
      <c r="AB48" s="2309"/>
      <c r="AC48" s="2310"/>
      <c r="AD48" s="2308"/>
      <c r="AE48" s="2309"/>
      <c r="AF48" s="2309"/>
      <c r="AG48" s="2309"/>
      <c r="AH48" s="2309"/>
      <c r="AI48" s="2309"/>
      <c r="AJ48" s="2309"/>
      <c r="AK48" s="2309"/>
      <c r="AL48" s="2310"/>
      <c r="AM48" s="1416" t="s">
        <v>408</v>
      </c>
      <c r="AO48" s="654"/>
      <c r="AP48" s="654" t="str">
        <f>IF(T48="","",T48)</f>
        <v>Группа потребителей</v>
      </c>
      <c r="AQ48" s="654"/>
      <c r="AR48" s="654"/>
    </row>
    <row customHeight="1" ht="21">
      <c r="A49" s="1522" t="s">
        <v>165</v>
      </c>
      <c r="B49" s="1522" t="s">
        <v>166</v>
      </c>
      <c r="C49" s="1522" t="s">
        <v>167</v>
      </c>
      <c r="D49" s="1522" t="s">
        <v>168</v>
      </c>
      <c r="E49" s="2321"/>
      <c r="F49" s="2321"/>
      <c r="G49" s="2321"/>
      <c r="H49" s="2321"/>
      <c r="I49" s="2323"/>
      <c r="J49" s="2323"/>
      <c r="K49" s="2322" t="str">
        <f>J48&amp;".1"</f>
        <v>....1.1</v>
      </c>
      <c r="L49" s="1523" t="s">
        <v>409</v>
      </c>
      <c r="P49" s="2324"/>
      <c r="Q49" s="2324"/>
      <c r="R49" s="511">
        <v>1</v>
      </c>
      <c r="S49" s="1495" t="str">
        <f>$K49</f>
        <v>....1.1</v>
      </c>
      <c r="T49" s="1506"/>
      <c r="U49" s="454"/>
      <c r="V49" s="905"/>
      <c r="W49" s="479"/>
      <c r="X49" s="905"/>
      <c r="Y49" s="1415"/>
      <c r="Z49" s="2325"/>
      <c r="AA49" s="2195" t="s">
        <v>64</v>
      </c>
      <c r="AB49" s="2325"/>
      <c r="AC49" s="2195" t="s">
        <v>64</v>
      </c>
      <c r="AD49" s="905"/>
      <c r="AE49" s="479"/>
      <c r="AF49" s="905"/>
      <c r="AG49" s="1415"/>
      <c r="AH49" s="2325"/>
      <c r="AI49" s="2195" t="s">
        <v>64</v>
      </c>
      <c r="AJ49" s="2327"/>
      <c r="AK49" s="2195" t="s">
        <v>64</v>
      </c>
      <c r="AL49" s="1507"/>
      <c r="AM49" s="2350" t="s">
        <v>448</v>
      </c>
      <c r="AN49" s="665">
        <f>STRCHECKDATE(V50:AL50)</f>
      </c>
      <c r="AO49" s="654"/>
      <c r="AP49" s="654" t="str">
        <f>IF(T49="","",T49)</f>
        <v/>
      </c>
      <c r="AQ49" s="654"/>
      <c r="AR49" s="654"/>
    </row>
    <row customHeight="1" ht="0.75">
      <c r="A50" s="1522" t="s">
        <v>165</v>
      </c>
      <c r="B50" s="1522" t="s">
        <v>166</v>
      </c>
      <c r="C50" s="1522" t="s">
        <v>167</v>
      </c>
      <c r="D50" s="1522" t="s">
        <v>168</v>
      </c>
      <c r="E50" s="2321"/>
      <c r="F50" s="2321"/>
      <c r="G50" s="2321"/>
      <c r="H50" s="2321"/>
      <c r="I50" s="2323"/>
      <c r="J50" s="2323"/>
      <c r="K50" s="2322"/>
      <c r="L50" s="1523"/>
      <c r="P50" s="2324"/>
      <c r="Q50" s="2324"/>
      <c r="R50" s="511"/>
      <c r="S50" s="1501"/>
      <c r="T50" s="454"/>
      <c r="U50" s="454"/>
      <c r="V50" s="479"/>
      <c r="W50" s="479"/>
      <c r="X50" s="479"/>
      <c r="Y50" s="482" t="str">
        <f>Z49&amp;"-"&amp;AB49</f>
        <v>-</v>
      </c>
      <c r="Z50" s="2326"/>
      <c r="AA50" s="2195"/>
      <c r="AB50" s="2326"/>
      <c r="AC50" s="2195"/>
      <c r="AD50" s="479"/>
      <c r="AE50" s="479"/>
      <c r="AF50" s="479"/>
      <c r="AG50" s="482" t="str">
        <f>AH49&amp;"-"&amp;AJ49</f>
        <v>-</v>
      </c>
      <c r="AH50" s="2326"/>
      <c r="AI50" s="2195"/>
      <c r="AJ50" s="2328"/>
      <c r="AK50" s="2195"/>
      <c r="AL50" s="1508"/>
      <c r="AM50" s="2351"/>
      <c r="AO50" s="654"/>
      <c r="AP50" s="654" t="str">
        <f>IF(T50="","",T50)</f>
        <v/>
      </c>
      <c r="AQ50" s="654"/>
      <c r="AR50" s="654"/>
    </row>
    <row customHeight="1" ht="11.25">
      <c r="A51" s="1522" t="s">
        <v>165</v>
      </c>
      <c r="B51" s="1522" t="s">
        <v>166</v>
      </c>
      <c r="C51" s="1522" t="s">
        <v>167</v>
      </c>
      <c r="D51" s="1522" t="s">
        <v>168</v>
      </c>
      <c r="E51" s="2321"/>
      <c r="F51" s="2321"/>
      <c r="G51" s="2321"/>
      <c r="H51" s="2321"/>
      <c r="I51" s="2323"/>
      <c r="J51" s="2322"/>
      <c r="K51" s="1522"/>
      <c r="L51" s="1523"/>
      <c r="P51" s="2324"/>
      <c r="Q51" s="2324"/>
      <c r="R51" s="510"/>
      <c r="S51" s="1437"/>
      <c r="T51" s="441" t="s">
        <v>411</v>
      </c>
      <c r="U51" s="521"/>
      <c r="V51" s="521"/>
      <c r="W51" s="521"/>
      <c r="X51" s="521"/>
      <c r="Y51" s="521"/>
      <c r="Z51" s="521"/>
      <c r="AA51" s="521"/>
      <c r="AB51" s="521"/>
      <c r="AC51" s="521"/>
      <c r="AD51" s="521"/>
      <c r="AE51" s="521"/>
      <c r="AF51" s="521"/>
      <c r="AG51" s="521"/>
      <c r="AH51" s="521"/>
      <c r="AI51" s="521"/>
      <c r="AJ51" s="521"/>
      <c r="AK51" s="521"/>
      <c r="AL51" s="478"/>
      <c r="AM51" s="2352"/>
      <c r="AO51" s="654"/>
      <c r="AP51" s="654" t="str">
        <f>IF(T51="","",T51)</f>
        <v>Добавить вид теплоносителя (параметры теплоносителя)</v>
      </c>
      <c r="AQ51" s="654"/>
      <c r="AR51" s="654"/>
    </row>
    <row customHeight="1" ht="11.25">
      <c r="A52" s="1522" t="s">
        <v>165</v>
      </c>
      <c r="B52" s="1522" t="s">
        <v>166</v>
      </c>
      <c r="C52" s="1522" t="s">
        <v>167</v>
      </c>
      <c r="D52" s="1522" t="s">
        <v>168</v>
      </c>
      <c r="E52" s="2321"/>
      <c r="F52" s="2321"/>
      <c r="G52" s="2321"/>
      <c r="H52" s="2321"/>
      <c r="I52" s="2322"/>
      <c r="J52" s="1522"/>
      <c r="K52" s="1522"/>
      <c r="L52" s="1523"/>
      <c r="P52" s="2324"/>
      <c r="Q52" s="1490"/>
      <c r="R52" s="510"/>
      <c r="S52" s="1437"/>
      <c r="T52" s="519" t="s">
        <v>412</v>
      </c>
      <c r="U52" s="521"/>
      <c r="V52" s="521"/>
      <c r="W52" s="521"/>
      <c r="X52" s="521"/>
      <c r="Y52" s="521"/>
      <c r="Z52" s="521"/>
      <c r="AA52" s="521"/>
      <c r="AB52" s="521"/>
      <c r="AC52" s="520"/>
      <c r="AD52" s="521"/>
      <c r="AE52" s="521"/>
      <c r="AF52" s="521"/>
      <c r="AG52" s="521"/>
      <c r="AH52" s="521"/>
      <c r="AI52" s="521"/>
      <c r="AJ52" s="521"/>
      <c r="AK52" s="520"/>
      <c r="AL52" s="521"/>
      <c r="AM52" s="457"/>
      <c r="AO52" s="654"/>
      <c r="AP52" s="654" t="str">
        <f>IF(T52="","",T52)</f>
        <v>Добавить группу потребителей</v>
      </c>
      <c r="AQ52" s="654"/>
      <c r="AR52" s="654"/>
    </row>
    <row customHeight="1" ht="0">
      <c r="A53" s="1522" t="s">
        <v>165</v>
      </c>
      <c r="B53" s="1522" t="s">
        <v>166</v>
      </c>
      <c r="C53" s="1522" t="s">
        <v>167</v>
      </c>
      <c r="D53" s="1522" t="s">
        <v>168</v>
      </c>
      <c r="E53" s="2321"/>
      <c r="F53" s="2321"/>
      <c r="G53" s="2321"/>
      <c r="H53" s="2320"/>
      <c r="I53" s="1522"/>
      <c r="J53" s="1522"/>
      <c r="K53" s="1522"/>
      <c r="L53" s="1523"/>
      <c r="M53" s="1524"/>
      <c r="N53" s="1524"/>
      <c r="O53" s="691"/>
      <c r="P53" s="514"/>
      <c r="Q53" s="529"/>
      <c r="R53" s="509"/>
      <c r="S53" s="1545"/>
      <c r="T53" s="1546"/>
      <c r="U53" s="1547"/>
      <c r="V53" s="1547"/>
      <c r="W53" s="1547"/>
      <c r="X53" s="1547"/>
      <c r="Y53" s="1547"/>
      <c r="Z53" s="1547"/>
      <c r="AA53" s="1547"/>
      <c r="AB53" s="1547"/>
      <c r="AC53" s="1547"/>
      <c r="AD53" s="1547"/>
      <c r="AE53" s="1547"/>
      <c r="AF53" s="1547"/>
      <c r="AG53" s="1547"/>
      <c r="AH53" s="1547"/>
      <c r="AI53" s="1547"/>
      <c r="AJ53" s="1547"/>
      <c r="AK53" s="1547"/>
      <c r="AL53" s="1547"/>
      <c r="AM53" s="1548"/>
      <c r="AO53" s="654"/>
      <c r="AP53" s="654" t="str">
        <f>IF(T53="","",T53)</f>
        <v/>
      </c>
      <c r="AQ53" s="654"/>
      <c r="AR53" s="654"/>
    </row>
    <row s="8702" customFormat="1" customHeight="1" ht="0.75">
      <c r="A54" s="1502" t="s">
        <v>165</v>
      </c>
      <c r="B54" s="1502" t="s">
        <v>166</v>
      </c>
      <c r="C54" s="1502" t="s">
        <v>167</v>
      </c>
      <c r="D54" s="1473"/>
      <c r="E54" s="2321"/>
      <c r="F54" s="2321"/>
      <c r="G54" s="2320"/>
      <c r="H54" s="1473"/>
      <c r="I54" s="1473"/>
      <c r="J54" s="1473"/>
      <c r="K54" s="1473"/>
      <c r="L54" s="1498"/>
      <c r="M54" s="1474"/>
      <c r="N54" s="1474"/>
      <c r="P54" s="1475"/>
      <c r="Q54" s="1476"/>
      <c r="R54" s="1475"/>
      <c r="S54" s="1481"/>
      <c r="T54" s="1484" t="s">
        <v>414</v>
      </c>
      <c r="U54" s="1483"/>
      <c r="V54" s="1483"/>
      <c r="W54" s="1483"/>
      <c r="X54" s="1483"/>
      <c r="Y54" s="1483"/>
      <c r="Z54" s="1483"/>
      <c r="AA54" s="1483"/>
      <c r="AB54" s="1483"/>
      <c r="AC54" s="1483"/>
      <c r="AD54" s="1483"/>
      <c r="AE54" s="1483"/>
      <c r="AF54" s="1483"/>
      <c r="AG54" s="1483"/>
      <c r="AH54" s="1483"/>
      <c r="AI54" s="1483"/>
      <c r="AJ54" s="1483"/>
      <c r="AK54" s="1483"/>
      <c r="AL54" s="1483"/>
      <c r="AM54" s="1483"/>
      <c r="AO54" s="943"/>
      <c r="AP54" s="943" t="str">
        <f>IF(T54="","",T54)</f>
        <v>Добавить источник для дифференциации</v>
      </c>
      <c r="AQ54" s="943"/>
      <c r="AR54" s="943"/>
    </row>
    <row s="8702" customFormat="1" customHeight="1" ht="0.75">
      <c r="A55" s="1502" t="s">
        <v>165</v>
      </c>
      <c r="B55" s="1502" t="s">
        <v>166</v>
      </c>
      <c r="C55" s="1473"/>
      <c r="D55" s="1473"/>
      <c r="E55" s="2321"/>
      <c r="F55" s="2320"/>
      <c r="G55" s="1473"/>
      <c r="H55" s="1473"/>
      <c r="I55" s="1473"/>
      <c r="J55" s="1473"/>
      <c r="K55" s="1473"/>
      <c r="L55" s="1498"/>
      <c r="M55" s="1480"/>
      <c r="N55" s="1480"/>
      <c r="P55" s="1475"/>
      <c r="Q55" s="1476"/>
      <c r="R55" s="1475"/>
      <c r="S55" s="1481"/>
      <c r="T55" s="1484" t="s">
        <v>251</v>
      </c>
      <c r="U55" s="1483"/>
      <c r="V55" s="1483"/>
      <c r="W55" s="1483"/>
      <c r="X55" s="1483"/>
      <c r="Y55" s="1483"/>
      <c r="Z55" s="1483"/>
      <c r="AA55" s="1483"/>
      <c r="AB55" s="1483"/>
      <c r="AC55" s="1483"/>
      <c r="AD55" s="1483"/>
      <c r="AE55" s="1483"/>
      <c r="AF55" s="1483"/>
      <c r="AG55" s="1483"/>
      <c r="AH55" s="1483"/>
      <c r="AI55" s="1483"/>
      <c r="AJ55" s="1483"/>
      <c r="AK55" s="1483"/>
      <c r="AL55" s="1483"/>
      <c r="AM55" s="1483"/>
      <c r="AO55" s="943"/>
      <c r="AP55" s="943" t="str">
        <f>IF(T55="","",T55)</f>
        <v>Добавить централизованную систему для дифференциации</v>
      </c>
      <c r="AQ55" s="943"/>
      <c r="AR55" s="943"/>
    </row>
    <row s="8794" customFormat="1" customHeight="1" ht="0.75">
      <c r="A56" s="1502" t="s">
        <v>165</v>
      </c>
      <c r="B56" s="1502"/>
      <c r="C56" s="1502"/>
      <c r="D56" s="1502"/>
      <c r="E56" s="2320"/>
      <c r="F56" s="1502"/>
      <c r="G56" s="1502"/>
      <c r="H56" s="1502"/>
      <c r="I56" s="1502"/>
      <c r="J56" s="1502"/>
      <c r="K56" s="1502"/>
      <c r="L56" s="1505"/>
      <c r="M56" s="1480"/>
      <c r="N56" s="1480"/>
      <c r="O56" s="672"/>
      <c r="P56" s="534"/>
      <c r="Q56" s="1503"/>
      <c r="R56" s="534"/>
      <c r="S56" s="1481"/>
      <c r="T56" s="1484" t="s">
        <v>252</v>
      </c>
      <c r="U56" s="1483"/>
      <c r="V56" s="1483"/>
      <c r="W56" s="1483"/>
      <c r="X56" s="1483"/>
      <c r="Y56" s="1483"/>
      <c r="Z56" s="1483"/>
      <c r="AA56" s="1483"/>
      <c r="AB56" s="1483"/>
      <c r="AC56" s="1483"/>
      <c r="AD56" s="1483"/>
      <c r="AE56" s="1483"/>
      <c r="AF56" s="1483"/>
      <c r="AG56" s="1483"/>
      <c r="AH56" s="1483"/>
      <c r="AI56" s="1483"/>
      <c r="AJ56" s="1483"/>
      <c r="AK56" s="1483"/>
      <c r="AL56" s="1483"/>
      <c r="AM56" s="1483"/>
      <c r="AO56" s="654"/>
      <c r="AP56" s="654" t="str">
        <f>IF(T56="","",T56)</f>
        <v>Добавить территорию для дифференциации</v>
      </c>
      <c r="AQ56" s="654"/>
      <c r="AR56" s="654"/>
    </row>
    <row s="8702" customFormat="1" customHeight="1" ht="0.75">
      <c r="A57" s="1473"/>
      <c r="B57" s="1473"/>
      <c r="C57" s="1473"/>
      <c r="D57" s="1473"/>
      <c r="E57" s="1502"/>
      <c r="F57" s="1473"/>
      <c r="G57" s="1473"/>
      <c r="H57" s="1473"/>
      <c r="I57" s="1473"/>
      <c r="J57" s="1473"/>
      <c r="K57" s="1473"/>
      <c r="L57" s="1498"/>
      <c r="M57" s="1480"/>
      <c r="N57" s="1480"/>
      <c r="P57" s="1475"/>
      <c r="Q57" s="1476"/>
      <c r="R57" s="1475"/>
      <c r="S57" s="1481"/>
      <c r="T57" s="1484" t="s">
        <v>253</v>
      </c>
      <c r="U57" s="1483"/>
      <c r="V57" s="1483"/>
      <c r="W57" s="1483"/>
      <c r="X57" s="1483"/>
      <c r="Y57" s="1483"/>
      <c r="Z57" s="1483"/>
      <c r="AA57" s="1483"/>
      <c r="AB57" s="1483"/>
      <c r="AC57" s="1483"/>
      <c r="AD57" s="1483"/>
      <c r="AE57" s="1483"/>
      <c r="AF57" s="1483"/>
      <c r="AG57" s="1483"/>
      <c r="AH57" s="1483"/>
      <c r="AI57" s="1483"/>
      <c r="AJ57" s="1483"/>
      <c r="AK57" s="1483"/>
      <c r="AL57" s="1483"/>
      <c r="AM57" s="1483"/>
      <c r="AO57" s="943"/>
      <c r="AP57" s="943" t="str">
        <f>IF(T57="","",T57)</f>
        <v>Добавить наименование тарифа</v>
      </c>
      <c r="AQ57" s="943"/>
      <c r="AR57" s="943"/>
    </row>
    <row customHeight="1" ht="11.25">
      <c r="M58" s="1316"/>
      <c r="N58" s="1316"/>
      <c r="O58" s="691"/>
      <c r="P58" s="1311"/>
      <c r="Q58" s="1311"/>
      <c r="R58" s="1311"/>
      <c r="S58" s="1311"/>
      <c r="AN58" s="1311"/>
      <c r="AO58" s="1311"/>
      <c r="AP58" s="1311"/>
      <c r="AQ58" s="1311"/>
      <c r="AR58" s="1311"/>
    </row>
    <row customHeight="1" ht="18.75">
      <c r="O59" s="691"/>
      <c r="S59" s="1411"/>
      <c r="T59" s="2319"/>
      <c r="U59" s="2319"/>
      <c r="V59" s="2319"/>
      <c r="W59" s="2319"/>
      <c r="X59" s="2319"/>
      <c r="Y59" s="2319"/>
      <c r="Z59" s="2319"/>
      <c r="AA59" s="2319"/>
      <c r="AB59" s="2319"/>
      <c r="AC59" s="2319"/>
      <c r="AD59" s="2319"/>
      <c r="AE59" s="2319"/>
      <c r="AF59" s="2319"/>
      <c r="AG59" s="2319"/>
      <c r="AH59" s="2319"/>
      <c r="AI59" s="2319"/>
      <c r="AJ59" s="2319"/>
      <c r="AK59" s="2319"/>
      <c r="AL59" s="2319"/>
      <c r="AM59" s="2319"/>
    </row>
    <row customHeight="1" ht="27.75">
      <c r="O60" s="691"/>
      <c r="T60" s="2319"/>
      <c r="U60" s="2319"/>
      <c r="V60" s="2319"/>
      <c r="W60" s="2319"/>
      <c r="X60" s="2319"/>
      <c r="Y60" s="2319"/>
      <c r="Z60" s="2319"/>
      <c r="AA60" s="2319"/>
      <c r="AB60" s="2319"/>
      <c r="AC60" s="2319"/>
      <c r="AD60" s="2319"/>
      <c r="AE60" s="2319"/>
      <c r="AF60" s="2319"/>
      <c r="AG60" s="2319"/>
      <c r="AH60" s="2319"/>
      <c r="AI60" s="2319"/>
      <c r="AJ60" s="2319"/>
      <c r="AK60" s="2319"/>
      <c r="AL60" s="2319"/>
      <c r="AM60" s="2319"/>
    </row>
    <row customHeight="1" ht="39.75">
      <c r="O61" s="691"/>
      <c r="T61" s="2319"/>
      <c r="U61" s="2319"/>
      <c r="V61" s="2319"/>
      <c r="W61" s="2319"/>
      <c r="X61" s="2319"/>
      <c r="Y61" s="2319"/>
      <c r="Z61" s="2319"/>
      <c r="AA61" s="2319"/>
      <c r="AB61" s="2319"/>
      <c r="AC61" s="2319"/>
      <c r="AD61" s="2319"/>
      <c r="AE61" s="2319"/>
      <c r="AF61" s="2319"/>
      <c r="AG61" s="2319"/>
      <c r="AH61" s="2319"/>
      <c r="AI61" s="2319"/>
      <c r="AJ61" s="2319"/>
      <c r="AK61" s="2319"/>
      <c r="AL61" s="2319"/>
      <c r="AM61" s="2319"/>
    </row>
    <row customHeight="1" ht="14.25">
      <c r="O62" s="691"/>
    </row>
    <row customHeight="1" ht="19.5">
      <c r="O63" s="691"/>
      <c r="S63" s="1411"/>
      <c r="T63" s="2365"/>
      <c r="U63" s="2319"/>
      <c r="V63" s="2319"/>
      <c r="W63" s="2319"/>
      <c r="X63" s="2319"/>
      <c r="Y63" s="2319"/>
      <c r="Z63" s="2319"/>
      <c r="AA63" s="2319"/>
      <c r="AB63" s="2319"/>
      <c r="AC63" s="2319"/>
      <c r="AD63" s="2319"/>
      <c r="AE63" s="2319"/>
      <c r="AF63" s="2319"/>
      <c r="AG63" s="2319"/>
      <c r="AH63" s="2319"/>
      <c r="AI63" s="2319"/>
      <c r="AJ63" s="2319"/>
      <c r="AK63" s="2319"/>
      <c r="AL63" s="2319"/>
      <c r="AM63" s="2319"/>
    </row>
    <row customHeight="1" ht="27.75">
      <c r="O64" s="691"/>
      <c r="T64" s="2319"/>
      <c r="U64" s="2319"/>
      <c r="V64" s="2319"/>
      <c r="W64" s="2319"/>
      <c r="X64" s="2319"/>
      <c r="Y64" s="2319"/>
      <c r="Z64" s="2319"/>
      <c r="AA64" s="2319"/>
      <c r="AB64" s="2319"/>
      <c r="AC64" s="2319"/>
      <c r="AD64" s="2319"/>
      <c r="AE64" s="2319"/>
      <c r="AF64" s="2319"/>
      <c r="AG64" s="2319"/>
      <c r="AH64" s="2319"/>
      <c r="AI64" s="2319"/>
      <c r="AJ64" s="2319"/>
      <c r="AK64" s="2319"/>
      <c r="AL64" s="2319"/>
      <c r="AM64" s="2319"/>
    </row>
    <row customHeight="1" ht="33.75">
      <c r="T65" s="2319"/>
      <c r="U65" s="2319"/>
      <c r="V65" s="2319"/>
      <c r="W65" s="2319"/>
      <c r="X65" s="2319"/>
      <c r="Y65" s="2319"/>
      <c r="Z65" s="2319"/>
      <c r="AA65" s="2319"/>
      <c r="AB65" s="2319"/>
      <c r="AC65" s="2319"/>
      <c r="AD65" s="2319"/>
      <c r="AE65" s="2319"/>
      <c r="AF65" s="2319"/>
      <c r="AG65" s="2319"/>
      <c r="AH65" s="2319"/>
      <c r="AI65" s="2319"/>
      <c r="AJ65" s="2319"/>
      <c r="AK65" s="2319"/>
      <c r="AL65" s="2319"/>
      <c r="AM65" s="2319"/>
    </row>
  </sheetData>
  <sheetProtection formatColumns="0" formatRows="0" autoFilter="0" sort="0" insertRows="0" insertColumns="1" deleteRows="0" deleteColumns="0"/>
  <mergeCells count="113">
    <mergeCell ref="V47:AC47"/>
    <mergeCell ref="AD47:AL47"/>
    <mergeCell ref="AD31:AJ31"/>
    <mergeCell ref="AD32:AJ32"/>
    <mergeCell ref="AE40:AE41"/>
    <mergeCell ref="AF40:AG40"/>
    <mergeCell ref="AH40:AJ40"/>
    <mergeCell ref="AI41:AJ41"/>
    <mergeCell ref="AD37:AK37"/>
    <mergeCell ref="I47:I52"/>
    <mergeCell ref="V32:AB32"/>
    <mergeCell ref="E2:E15"/>
    <mergeCell ref="F3:F14"/>
    <mergeCell ref="G4:G13"/>
    <mergeCell ref="H5:H12"/>
    <mergeCell ref="I6:I11"/>
    <mergeCell ref="P6:P11"/>
    <mergeCell ref="J7:J10"/>
    <mergeCell ref="Q7:Q10"/>
    <mergeCell ref="K8:K9"/>
    <mergeCell ref="S31:T31"/>
    <mergeCell ref="V31:AB31"/>
    <mergeCell ref="S32:T32"/>
    <mergeCell ref="AA41:AB41"/>
    <mergeCell ref="V37:AC37"/>
    <mergeCell ref="S38:AL38"/>
    <mergeCell ref="S26:AJ26"/>
    <mergeCell ref="S27:AJ27"/>
    <mergeCell ref="AC49:AC50"/>
    <mergeCell ref="AA49:AA50"/>
    <mergeCell ref="AB49:AB50"/>
    <mergeCell ref="AH49:AH50"/>
    <mergeCell ref="AI49:AI50"/>
    <mergeCell ref="AM8:AM10"/>
    <mergeCell ref="AH17:AH18"/>
    <mergeCell ref="AI17:AI18"/>
    <mergeCell ref="AJ17:AJ18"/>
    <mergeCell ref="AK17:AK18"/>
    <mergeCell ref="Z8:Z9"/>
    <mergeCell ref="AA8:AA9"/>
    <mergeCell ref="S29:T29"/>
    <mergeCell ref="S30:T30"/>
    <mergeCell ref="V29:AB29"/>
    <mergeCell ref="AD29:AJ29"/>
    <mergeCell ref="V30:AB30"/>
    <mergeCell ref="AD30:AJ30"/>
    <mergeCell ref="AH8:AH9"/>
    <mergeCell ref="AI8:AI9"/>
    <mergeCell ref="AJ8:AJ9"/>
    <mergeCell ref="AK8:AK9"/>
    <mergeCell ref="AB8:AB9"/>
    <mergeCell ref="AC8:AC9"/>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M49:AM51"/>
    <mergeCell ref="T59:AM59"/>
    <mergeCell ref="T60:AM60"/>
    <mergeCell ref="AA42:AB42"/>
    <mergeCell ref="AI42:AJ42"/>
    <mergeCell ref="E43:E56"/>
    <mergeCell ref="V43:AC43"/>
    <mergeCell ref="AD43:AL43"/>
    <mergeCell ref="F44:F55"/>
    <mergeCell ref="V44:AC44"/>
    <mergeCell ref="AD44:AL44"/>
    <mergeCell ref="G45:G54"/>
    <mergeCell ref="V45:AC45"/>
    <mergeCell ref="AD45:AL45"/>
    <mergeCell ref="H46:H53"/>
    <mergeCell ref="V46:AC46"/>
    <mergeCell ref="AD46:AL46"/>
    <mergeCell ref="P47:P52"/>
    <mergeCell ref="J48:J51"/>
    <mergeCell ref="Q48:Q51"/>
    <mergeCell ref="V48:AC48"/>
    <mergeCell ref="AD48:AL48"/>
    <mergeCell ref="K49:K50"/>
    <mergeCell ref="Z49:Z50"/>
    <mergeCell ref="T64:AM64"/>
    <mergeCell ref="T65:AM65"/>
    <mergeCell ref="S35:T35"/>
    <mergeCell ref="V35:AB35"/>
    <mergeCell ref="AD35:AJ35"/>
    <mergeCell ref="S34:T34"/>
    <mergeCell ref="V34:AB34"/>
    <mergeCell ref="AD34:AJ34"/>
    <mergeCell ref="V2:AC2"/>
    <mergeCell ref="AD2:AL2"/>
    <mergeCell ref="V3:AC3"/>
    <mergeCell ref="AD3:AL3"/>
    <mergeCell ref="V4:AC4"/>
    <mergeCell ref="AD4:AL4"/>
    <mergeCell ref="V5:AC5"/>
    <mergeCell ref="AD5:AL5"/>
    <mergeCell ref="V6:AC6"/>
    <mergeCell ref="AD6:AL6"/>
    <mergeCell ref="V7:AC7"/>
    <mergeCell ref="AD7:AL7"/>
    <mergeCell ref="T63:AM63"/>
    <mergeCell ref="T61:AM61"/>
    <mergeCell ref="AJ49:AJ50"/>
    <mergeCell ref="AK49:AK50"/>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4A8F68D-E628-671A-BA98-E7F9BE86AEDD}" mc:Ignorable="x14ac xr xr2 xr3">
  <sheetPr>
    <tabColor theme="6" tint="0.4"/>
  </sheetPr>
  <dimension ref="A1:AR65"/>
  <sheetViews>
    <sheetView topLeftCell="A1" showGridLines="0" zoomScale="90" workbookViewId="0">
      <selection activeCell="A1" sqref="A1"/>
    </sheetView>
  </sheetViews>
  <sheetFormatPr defaultColWidth="10.57421875" customHeight="1" defaultRowHeight="14.25"/>
  <cols>
    <col min="1" max="1" style="8721" width="10.57421875" hidden="1"/>
    <col min="2" max="2" style="8721" width="11.00390625" hidden="1" customWidth="1"/>
    <col min="3" max="3" style="8721" width="10.57421875" hidden="1"/>
    <col min="4" max="4" style="8721" width="11.8515625" hidden="1" customWidth="1"/>
    <col min="5" max="5" style="8721" width="10.00390625" hidden="1" customWidth="1"/>
    <col min="6" max="6" style="8721" width="8.7109375" hidden="1" customWidth="1"/>
    <col min="7" max="7" style="8721" width="7.57421875" hidden="1" customWidth="1"/>
    <col min="8" max="8" style="8721" width="11.421875" hidden="1" customWidth="1"/>
    <col min="9" max="9" style="8721" width="12.00390625" hidden="1" customWidth="1"/>
    <col min="10" max="10" style="8721" width="9.8515625" hidden="1" customWidth="1"/>
    <col min="11" max="11" style="8721" width="11.421875" hidden="1" customWidth="1"/>
    <col min="12" max="12" style="8802" width="19.140625" hidden="1" customWidth="1"/>
    <col min="13" max="14" style="8803" width="12.28125" hidden="1" customWidth="1"/>
    <col min="15" max="15" style="8803" width="23.421875" hidden="1" customWidth="1"/>
    <col min="16" max="16" style="8815" width="3.7109375" hidden="1" customWidth="1"/>
    <col min="17" max="18" style="8805" width="3.7109375" customWidth="1"/>
    <col min="19" max="19" style="8806" width="12.7109375" customWidth="1"/>
    <col min="20" max="20" style="8807" width="32.00390625" customWidth="1"/>
    <col min="21" max="21" style="8807" width="0.140625" customWidth="1"/>
    <col min="22" max="22" style="8807" width="24.7109375" hidden="1" customWidth="1"/>
    <col min="23" max="23" style="8807" width="0.140625" hidden="1" customWidth="1"/>
    <col min="24" max="25" style="8807" width="24.7109375" hidden="1" customWidth="1"/>
    <col min="26" max="26" style="8807" width="11.7109375" hidden="1" customWidth="1"/>
    <col min="27" max="27" style="8807" width="3.7109375" hidden="1" customWidth="1"/>
    <col min="28" max="28" style="8807" width="11.7109375" hidden="1" customWidth="1"/>
    <col min="29" max="29" style="8807" width="8.57421875" hidden="1" customWidth="1"/>
    <col min="30" max="30" style="8807" width="24.7109375" customWidth="1"/>
    <col min="31" max="31" style="8807" width="0.140625" customWidth="1"/>
    <col min="32" max="33" style="8807" width="24.7109375" customWidth="1"/>
    <col min="34" max="34" style="8807" width="11.7109375" customWidth="1"/>
    <col min="35" max="35" style="8807" width="3.7109375" customWidth="1"/>
    <col min="36" max="36" style="8807" width="11.7109375" customWidth="1"/>
    <col min="37" max="37" style="8807" width="8.57421875" hidden="1" customWidth="1"/>
    <col min="38" max="38" style="8807" width="4.7109375" customWidth="1"/>
    <col min="39" max="39" style="8807" width="115.7109375" customWidth="1"/>
    <col min="40" max="41" style="8794" width="10.57421875"/>
    <col min="42" max="42" style="8794" width="11.140625" customWidth="1"/>
    <col min="43" max="44" style="8794" width="10.57421875"/>
  </cols>
  <sheetData>
    <row customHeight="1" ht="14.25" hidden="1">
      <c r="A1" s="2031"/>
      <c r="Y1" s="481"/>
      <c r="Z1" s="481"/>
      <c r="AG1" s="481"/>
      <c r="AH1" s="481"/>
    </row>
    <row customHeight="1" ht="21" hidden="1">
      <c r="A2" s="1522"/>
      <c r="B2" s="1522"/>
      <c r="C2" s="1522"/>
      <c r="D2" s="1522"/>
      <c r="E2" s="2320">
        <v>1</v>
      </c>
      <c r="F2" s="1522"/>
      <c r="G2" s="1522"/>
      <c r="H2" s="1522"/>
      <c r="I2" s="1522"/>
      <c r="J2" s="1522"/>
      <c r="K2" s="1522"/>
      <c r="L2" s="1523"/>
      <c r="M2" s="1524"/>
      <c r="N2" s="1524"/>
      <c r="O2" s="1524"/>
      <c r="P2" s="515"/>
      <c r="Q2" s="514"/>
      <c r="R2" s="509"/>
      <c r="S2" s="1495">
        <f>INDEX(PT_DIFFERENTIATION_NUM_NTAR,MATCH(A2,PT_DIFFERENTIATION_NTAR_ID,0))</f>
      </c>
      <c r="T2" s="452" t="s">
        <v>120</v>
      </c>
      <c r="U2" s="454"/>
      <c r="V2" s="2314"/>
      <c r="W2" s="2315"/>
      <c r="X2" s="2315"/>
      <c r="Y2" s="2315"/>
      <c r="Z2" s="2315"/>
      <c r="AA2" s="2315"/>
      <c r="AB2" s="2315"/>
      <c r="AC2" s="2316"/>
      <c r="AD2" s="2314">
        <f>INDEX(PT_DIFFERENTIATION_NTAR,MATCH(A2,PT_DIFFERENTIATION_NTAR_ID,0))</f>
      </c>
      <c r="AE2" s="2315"/>
      <c r="AF2" s="2315"/>
      <c r="AG2" s="2315"/>
      <c r="AH2" s="2315"/>
      <c r="AI2" s="2315"/>
      <c r="AJ2" s="2315"/>
      <c r="AK2" s="2315"/>
      <c r="AL2" s="2316"/>
      <c r="AM2" s="1416" t="s">
        <v>396</v>
      </c>
      <c r="AO2" s="654"/>
      <c r="AP2" s="654" t="str">
        <f>IF(T2="","",T2)</f>
        <v>Наименование тарифа</v>
      </c>
      <c r="AQ2" s="654"/>
      <c r="AR2" s="654"/>
    </row>
    <row customHeight="1" ht="21" hidden="1">
      <c r="A3" s="1522"/>
      <c r="B3" s="1522"/>
      <c r="C3" s="1522"/>
      <c r="D3" s="1522"/>
      <c r="E3" s="2321"/>
      <c r="F3" s="2320">
        <v>1</v>
      </c>
      <c r="G3" s="1522"/>
      <c r="H3" s="1522"/>
      <c r="I3" s="1522"/>
      <c r="J3" s="1522"/>
      <c r="K3" s="1522"/>
      <c r="L3" s="1523"/>
      <c r="M3" s="1524"/>
      <c r="N3" s="1524"/>
      <c r="O3" s="1524"/>
      <c r="P3" s="1491"/>
      <c r="Q3" s="506"/>
      <c r="R3" s="507"/>
      <c r="S3" s="1495">
        <f>INDEX(PT_DIFFERENTIATION_NUM_TER,MATCH(B3,PT_DIFFERENTIATION_TER_ID,0))</f>
      </c>
      <c r="T3" s="462" t="s">
        <v>397</v>
      </c>
      <c r="U3" s="454"/>
      <c r="V3" s="2314"/>
      <c r="W3" s="2315"/>
      <c r="X3" s="2315"/>
      <c r="Y3" s="2315"/>
      <c r="Z3" s="2315"/>
      <c r="AA3" s="2315"/>
      <c r="AB3" s="2315"/>
      <c r="AC3" s="2316"/>
      <c r="AD3" s="2314">
        <f>INDEX(PT_DIFFERENTIATION_TER,MATCH(B3,PT_DIFFERENTIATION_TER_ID,0))</f>
      </c>
      <c r="AE3" s="2315"/>
      <c r="AF3" s="2315"/>
      <c r="AG3" s="2315"/>
      <c r="AH3" s="2315"/>
      <c r="AI3" s="2315"/>
      <c r="AJ3" s="2315"/>
      <c r="AK3" s="2315"/>
      <c r="AL3" s="2316"/>
      <c r="AM3" s="1416" t="s">
        <v>398</v>
      </c>
      <c r="AO3" s="654"/>
      <c r="AP3" s="654" t="str">
        <f>IF(T3="","",T3)</f>
        <v>Территория действия тарифа</v>
      </c>
      <c r="AQ3" s="654"/>
      <c r="AR3" s="654"/>
    </row>
    <row customHeight="1" ht="23.25" hidden="1">
      <c r="A4" s="1522"/>
      <c r="B4" s="1522"/>
      <c r="C4" s="1522"/>
      <c r="D4" s="1522"/>
      <c r="E4" s="2321"/>
      <c r="F4" s="2321"/>
      <c r="G4" s="2320">
        <v>1</v>
      </c>
      <c r="H4" s="1522"/>
      <c r="I4" s="1522"/>
      <c r="J4" s="1522"/>
      <c r="K4" s="1522"/>
      <c r="L4" s="1523"/>
      <c r="M4" s="1524"/>
      <c r="N4" s="1524"/>
      <c r="O4" s="1524"/>
      <c r="P4" s="508"/>
      <c r="Q4" s="506"/>
      <c r="R4" s="507"/>
      <c r="S4" s="1495">
        <f>INDEX(PT_DIFFERENTIATION_NUM_CS,MATCH(C4,PT_DIFFERENTIATION_CS_ID,0))</f>
      </c>
      <c r="T4" s="463" t="s">
        <v>399</v>
      </c>
      <c r="U4" s="454"/>
      <c r="V4" s="2314"/>
      <c r="W4" s="2315"/>
      <c r="X4" s="2315"/>
      <c r="Y4" s="2315"/>
      <c r="Z4" s="2315"/>
      <c r="AA4" s="2315"/>
      <c r="AB4" s="2315"/>
      <c r="AC4" s="2316"/>
      <c r="AD4" s="2314">
        <f>INDEX(PT_DIFFERENTIATION_CS,MATCH(C4,PT_DIFFERENTIATION_CS_ID,0))</f>
      </c>
      <c r="AE4" s="2315"/>
      <c r="AF4" s="2315"/>
      <c r="AG4" s="2315"/>
      <c r="AH4" s="2315"/>
      <c r="AI4" s="2315"/>
      <c r="AJ4" s="2315"/>
      <c r="AK4" s="2315"/>
      <c r="AL4" s="2316"/>
      <c r="AM4" s="1416" t="s">
        <v>400</v>
      </c>
      <c r="AO4" s="654"/>
      <c r="AP4" s="654" t="str">
        <f>IF(T4="","",T4)</f>
        <v>Наименование системы теплоснабжения </v>
      </c>
      <c r="AQ4" s="654"/>
      <c r="AR4" s="654"/>
    </row>
    <row customHeight="1" ht="21" hidden="1">
      <c r="A5" s="1522"/>
      <c r="B5" s="1522"/>
      <c r="C5" s="1522"/>
      <c r="D5" s="1522"/>
      <c r="E5" s="2321"/>
      <c r="F5" s="2321"/>
      <c r="G5" s="2321"/>
      <c r="H5" s="2320">
        <v>1</v>
      </c>
      <c r="I5" s="1522"/>
      <c r="J5" s="1522"/>
      <c r="K5" s="1522"/>
      <c r="L5" s="1523"/>
      <c r="M5" s="1524"/>
      <c r="N5" s="1524"/>
      <c r="O5" s="1524"/>
      <c r="P5" s="508"/>
      <c r="Q5" s="506"/>
      <c r="R5" s="507"/>
      <c r="S5" s="1495">
        <f>INDEX(PT_DIFFERENTIATION_NUM_IST_TE,MATCH(D5,PT_DIFFERENTIATION_IST_TE_ID,0))</f>
      </c>
      <c r="T5" s="464" t="s">
        <v>401</v>
      </c>
      <c r="U5" s="454"/>
      <c r="V5" s="2314"/>
      <c r="W5" s="2315"/>
      <c r="X5" s="2315"/>
      <c r="Y5" s="2315"/>
      <c r="Z5" s="2315"/>
      <c r="AA5" s="2315"/>
      <c r="AB5" s="2315"/>
      <c r="AC5" s="2316"/>
      <c r="AD5" s="2314">
        <f>INDEX(PT_DIFFERENTIATION_IST_TE,MATCH(D5,PT_DIFFERENTIATION_IST_TE_ID,0))</f>
      </c>
      <c r="AE5" s="2315"/>
      <c r="AF5" s="2315"/>
      <c r="AG5" s="2315"/>
      <c r="AH5" s="2315"/>
      <c r="AI5" s="2315"/>
      <c r="AJ5" s="2315"/>
      <c r="AK5" s="2315"/>
      <c r="AL5" s="2316"/>
      <c r="AM5" s="1416" t="s">
        <v>402</v>
      </c>
      <c r="AO5" s="654"/>
      <c r="AP5" s="654" t="str">
        <f>IF(T5="","",T5)</f>
        <v>Источник тепловой энергии  </v>
      </c>
      <c r="AQ5" s="654"/>
      <c r="AR5" s="654"/>
    </row>
    <row customHeight="1" ht="14.25" hidden="1">
      <c r="A6" s="1522"/>
      <c r="B6" s="1522"/>
      <c r="C6" s="1522"/>
      <c r="D6" s="1522"/>
      <c r="E6" s="2321"/>
      <c r="F6" s="2321"/>
      <c r="G6" s="2321"/>
      <c r="H6" s="2321"/>
      <c r="I6" s="2322">
        <f>S5&amp;".1"</f>
      </c>
      <c r="J6" s="1522"/>
      <c r="K6" s="1522"/>
      <c r="L6" s="1523" t="s">
        <v>403</v>
      </c>
      <c r="M6" s="691"/>
      <c r="P6" s="2324">
        <v>1</v>
      </c>
      <c r="Q6" s="1490"/>
      <c r="R6" s="510"/>
      <c r="S6" s="1197"/>
      <c r="T6" s="1542"/>
      <c r="U6" s="1543"/>
      <c r="V6" s="2362"/>
      <c r="W6" s="2363"/>
      <c r="X6" s="2363"/>
      <c r="Y6" s="2363"/>
      <c r="Z6" s="2363"/>
      <c r="AA6" s="2363"/>
      <c r="AB6" s="2363"/>
      <c r="AC6" s="2364"/>
      <c r="AD6" s="2362"/>
      <c r="AE6" s="2363"/>
      <c r="AF6" s="2363"/>
      <c r="AG6" s="2363"/>
      <c r="AH6" s="2363"/>
      <c r="AI6" s="2363"/>
      <c r="AJ6" s="2363"/>
      <c r="AK6" s="2363"/>
      <c r="AL6" s="2364"/>
      <c r="AM6" s="1544"/>
      <c r="AO6" s="654"/>
      <c r="AP6" s="654" t="str">
        <f>IF(T6="","",T6)</f>
        <v/>
      </c>
      <c r="AQ6" s="654"/>
      <c r="AR6" s="654"/>
    </row>
    <row customHeight="1" ht="21" hidden="1">
      <c r="A7" s="1522"/>
      <c r="B7" s="1522"/>
      <c r="C7" s="1522"/>
      <c r="D7" s="1522"/>
      <c r="E7" s="2321"/>
      <c r="F7" s="2321"/>
      <c r="G7" s="2321"/>
      <c r="H7" s="2321"/>
      <c r="I7" s="2323"/>
      <c r="J7" s="2322">
        <f>I6&amp;".1"</f>
      </c>
      <c r="K7" s="1522"/>
      <c r="L7" s="1523" t="s">
        <v>406</v>
      </c>
      <c r="M7" s="691"/>
      <c r="N7" s="1525"/>
      <c r="P7" s="2324"/>
      <c r="Q7" s="2324">
        <v>1</v>
      </c>
      <c r="R7" s="511"/>
      <c r="S7" s="1495">
        <f>$J7</f>
      </c>
      <c r="T7" s="440" t="s">
        <v>407</v>
      </c>
      <c r="U7" s="454"/>
      <c r="V7" s="2308"/>
      <c r="W7" s="2309"/>
      <c r="X7" s="2309"/>
      <c r="Y7" s="2309"/>
      <c r="Z7" s="2309"/>
      <c r="AA7" s="2309"/>
      <c r="AB7" s="2309"/>
      <c r="AC7" s="2310"/>
      <c r="AD7" s="2308"/>
      <c r="AE7" s="2309"/>
      <c r="AF7" s="2309"/>
      <c r="AG7" s="2309"/>
      <c r="AH7" s="2309"/>
      <c r="AI7" s="2309"/>
      <c r="AJ7" s="2309"/>
      <c r="AK7" s="2309"/>
      <c r="AL7" s="2310"/>
      <c r="AM7" s="1416" t="s">
        <v>408</v>
      </c>
      <c r="AO7" s="654"/>
      <c r="AP7" s="654" t="str">
        <f>IF(T7="","",T7)</f>
        <v>Группа потребителей</v>
      </c>
      <c r="AQ7" s="654"/>
      <c r="AR7" s="654"/>
    </row>
    <row customHeight="1" ht="21" hidden="1">
      <c r="A8" s="1522"/>
      <c r="B8" s="1522"/>
      <c r="C8" s="1522"/>
      <c r="D8" s="1522"/>
      <c r="E8" s="2321"/>
      <c r="F8" s="2321"/>
      <c r="G8" s="2321"/>
      <c r="H8" s="2321"/>
      <c r="I8" s="2323"/>
      <c r="J8" s="2323"/>
      <c r="K8" s="2322">
        <f>J7&amp;".1"</f>
      </c>
      <c r="L8" s="1523" t="s">
        <v>409</v>
      </c>
      <c r="M8" s="691"/>
      <c r="N8" s="1525"/>
      <c r="O8" s="1525"/>
      <c r="P8" s="2324"/>
      <c r="Q8" s="2324"/>
      <c r="R8" s="511">
        <v>1</v>
      </c>
      <c r="S8" s="1495">
        <f>$K8</f>
      </c>
      <c r="T8" s="1506"/>
      <c r="U8" s="454"/>
      <c r="V8" s="905"/>
      <c r="W8" s="479"/>
      <c r="X8" s="905"/>
      <c r="Y8" s="1415"/>
      <c r="Z8" s="2325"/>
      <c r="AA8" s="2195" t="s">
        <v>64</v>
      </c>
      <c r="AB8" s="2325"/>
      <c r="AC8" s="2195" t="s">
        <v>64</v>
      </c>
      <c r="AD8" s="905"/>
      <c r="AE8" s="479"/>
      <c r="AF8" s="905"/>
      <c r="AG8" s="1415"/>
      <c r="AH8" s="2325"/>
      <c r="AI8" s="2195" t="s">
        <v>64</v>
      </c>
      <c r="AJ8" s="2325"/>
      <c r="AK8" s="2195" t="s">
        <v>64</v>
      </c>
      <c r="AL8" s="479"/>
      <c r="AM8" s="2350" t="s">
        <v>410</v>
      </c>
      <c r="AN8" s="665">
        <f>STRCHECKDATE(V9:AL9)</f>
      </c>
      <c r="AO8" s="654"/>
      <c r="AP8" s="654" t="str">
        <f>IF(T8="","",T8)</f>
        <v/>
      </c>
      <c r="AQ8" s="654"/>
      <c r="AR8" s="654"/>
    </row>
    <row customHeight="1" ht="14.25" hidden="1">
      <c r="A9" s="1522"/>
      <c r="B9" s="1522"/>
      <c r="C9" s="1522"/>
      <c r="D9" s="1522"/>
      <c r="E9" s="2321"/>
      <c r="F9" s="2321"/>
      <c r="G9" s="2321"/>
      <c r="H9" s="2321"/>
      <c r="I9" s="2323"/>
      <c r="J9" s="2323"/>
      <c r="K9" s="2322"/>
      <c r="L9" s="1523"/>
      <c r="M9" s="691"/>
      <c r="N9" s="1525"/>
      <c r="O9" s="1525"/>
      <c r="P9" s="2324"/>
      <c r="Q9" s="2324"/>
      <c r="R9" s="511"/>
      <c r="S9" s="1501"/>
      <c r="T9" s="454"/>
      <c r="U9" s="454"/>
      <c r="V9" s="479"/>
      <c r="W9" s="479"/>
      <c r="X9" s="479"/>
      <c r="Y9" s="482" t="str">
        <f>Z8&amp;"-"&amp;AB8</f>
        <v>-</v>
      </c>
      <c r="Z9" s="2326"/>
      <c r="AA9" s="2195"/>
      <c r="AB9" s="2326"/>
      <c r="AC9" s="2195"/>
      <c r="AD9" s="479"/>
      <c r="AE9" s="479"/>
      <c r="AF9" s="479"/>
      <c r="AG9" s="482" t="str">
        <f>AH8&amp;"-"&amp;AJ8</f>
        <v>-</v>
      </c>
      <c r="AH9" s="2326"/>
      <c r="AI9" s="2195"/>
      <c r="AJ9" s="2326"/>
      <c r="AK9" s="2195"/>
      <c r="AL9" s="479"/>
      <c r="AM9" s="2351"/>
      <c r="AO9" s="654"/>
      <c r="AP9" s="654" t="str">
        <f>IF(T9="","",T9)</f>
        <v/>
      </c>
      <c r="AQ9" s="654"/>
      <c r="AR9" s="654"/>
    </row>
    <row customHeight="1" ht="15" hidden="1">
      <c r="A10" s="1522"/>
      <c r="B10" s="1522"/>
      <c r="C10" s="1522"/>
      <c r="D10" s="1522"/>
      <c r="E10" s="2321"/>
      <c r="F10" s="2321"/>
      <c r="G10" s="2321"/>
      <c r="H10" s="2321"/>
      <c r="I10" s="2323"/>
      <c r="J10" s="2322"/>
      <c r="K10" s="1522"/>
      <c r="L10" s="1523"/>
      <c r="M10" s="691"/>
      <c r="N10" s="1525"/>
      <c r="P10" s="2324"/>
      <c r="Q10" s="2324"/>
      <c r="R10" s="510"/>
      <c r="S10" s="1437"/>
      <c r="T10" s="441" t="s">
        <v>411</v>
      </c>
      <c r="U10" s="521"/>
      <c r="V10" s="521"/>
      <c r="W10" s="521"/>
      <c r="X10" s="521"/>
      <c r="Y10" s="521"/>
      <c r="Z10" s="521"/>
      <c r="AA10" s="521"/>
      <c r="AB10" s="521"/>
      <c r="AC10" s="521"/>
      <c r="AD10" s="521"/>
      <c r="AE10" s="521"/>
      <c r="AF10" s="521"/>
      <c r="AG10" s="521"/>
      <c r="AH10" s="521"/>
      <c r="AI10" s="521"/>
      <c r="AJ10" s="521"/>
      <c r="AK10" s="521"/>
      <c r="AL10" s="478"/>
      <c r="AM10" s="2352"/>
      <c r="AO10" s="654"/>
      <c r="AP10" s="654" t="str">
        <f>IF(T10="","",T10)</f>
        <v>Добавить вид теплоносителя (параметры теплоносителя)</v>
      </c>
      <c r="AQ10" s="654"/>
      <c r="AR10" s="654"/>
    </row>
    <row customHeight="1" ht="11.25" hidden="1">
      <c r="A11" s="1522"/>
      <c r="B11" s="1522"/>
      <c r="C11" s="1522"/>
      <c r="D11" s="1522"/>
      <c r="E11" s="2321"/>
      <c r="F11" s="2321"/>
      <c r="G11" s="2321"/>
      <c r="H11" s="2321"/>
      <c r="I11" s="2322"/>
      <c r="J11" s="1522"/>
      <c r="K11" s="1522"/>
      <c r="L11" s="1523"/>
      <c r="M11" s="691"/>
      <c r="P11" s="2324"/>
      <c r="Q11" s="1490"/>
      <c r="R11" s="510"/>
      <c r="S11" s="1437"/>
      <c r="T11" s="519" t="s">
        <v>412</v>
      </c>
      <c r="U11" s="521"/>
      <c r="V11" s="521"/>
      <c r="W11" s="521"/>
      <c r="X11" s="521"/>
      <c r="Y11" s="521"/>
      <c r="Z11" s="521"/>
      <c r="AA11" s="521"/>
      <c r="AB11" s="521"/>
      <c r="AC11" s="520"/>
      <c r="AD11" s="521"/>
      <c r="AE11" s="521"/>
      <c r="AF11" s="521"/>
      <c r="AG11" s="521"/>
      <c r="AH11" s="521"/>
      <c r="AI11" s="521"/>
      <c r="AJ11" s="521"/>
      <c r="AK11" s="520"/>
      <c r="AL11" s="521"/>
      <c r="AM11" s="457"/>
      <c r="AO11" s="654"/>
      <c r="AP11" s="654" t="str">
        <f>IF(T11="","",T11)</f>
        <v>Добавить группу потребителей</v>
      </c>
      <c r="AQ11" s="654"/>
      <c r="AR11" s="654"/>
    </row>
    <row customHeight="1" ht="14.25" hidden="1">
      <c r="A12" s="1522"/>
      <c r="B12" s="1522"/>
      <c r="C12" s="1522"/>
      <c r="D12" s="1522"/>
      <c r="E12" s="2321"/>
      <c r="F12" s="2321"/>
      <c r="G12" s="2321"/>
      <c r="H12" s="2320"/>
      <c r="I12" s="1522"/>
      <c r="J12" s="1522"/>
      <c r="K12" s="1522"/>
      <c r="L12" s="1523"/>
      <c r="M12" s="1524"/>
      <c r="N12" s="1524"/>
      <c r="O12" s="691"/>
      <c r="P12" s="514"/>
      <c r="Q12" s="529"/>
      <c r="R12" s="509"/>
      <c r="S12" s="1545"/>
      <c r="T12" s="1546"/>
      <c r="U12" s="1547"/>
      <c r="V12" s="1547"/>
      <c r="W12" s="1547"/>
      <c r="X12" s="1547"/>
      <c r="Y12" s="1547"/>
      <c r="Z12" s="1547"/>
      <c r="AA12" s="1547"/>
      <c r="AB12" s="1547"/>
      <c r="AC12" s="1547"/>
      <c r="AD12" s="1547"/>
      <c r="AE12" s="1547"/>
      <c r="AF12" s="1547"/>
      <c r="AG12" s="1547"/>
      <c r="AH12" s="1547"/>
      <c r="AI12" s="1547"/>
      <c r="AJ12" s="1547"/>
      <c r="AK12" s="1547"/>
      <c r="AL12" s="1547"/>
      <c r="AM12" s="1548"/>
      <c r="AO12" s="654"/>
      <c r="AP12" s="654" t="str">
        <f>IF(T12="","",T12)</f>
        <v/>
      </c>
      <c r="AQ12" s="654"/>
      <c r="AR12" s="654"/>
    </row>
    <row s="8702" customFormat="1" customHeight="1" ht="14.25" hidden="1">
      <c r="A13" s="1473"/>
      <c r="B13" s="1473"/>
      <c r="C13" s="1473"/>
      <c r="D13" s="1473"/>
      <c r="E13" s="2321"/>
      <c r="F13" s="2321"/>
      <c r="G13" s="2320"/>
      <c r="H13" s="1473"/>
      <c r="I13" s="1473"/>
      <c r="J13" s="1473"/>
      <c r="K13" s="1473"/>
      <c r="L13" s="1498"/>
      <c r="M13" s="1474"/>
      <c r="N13" s="1474"/>
      <c r="P13" s="1475"/>
      <c r="Q13" s="1476"/>
      <c r="R13" s="1475"/>
      <c r="S13" s="1477"/>
      <c r="T13" s="1478" t="s">
        <v>414</v>
      </c>
      <c r="U13" s="1479"/>
      <c r="V13" s="1479"/>
      <c r="W13" s="1479"/>
      <c r="X13" s="1479"/>
      <c r="Y13" s="1479"/>
      <c r="Z13" s="1479"/>
      <c r="AA13" s="1479"/>
      <c r="AB13" s="1479"/>
      <c r="AC13" s="1479"/>
      <c r="AD13" s="1479"/>
      <c r="AE13" s="1479"/>
      <c r="AF13" s="1479"/>
      <c r="AG13" s="1479"/>
      <c r="AH13" s="1479"/>
      <c r="AI13" s="1479"/>
      <c r="AJ13" s="1479"/>
      <c r="AK13" s="1479"/>
      <c r="AL13" s="1479"/>
      <c r="AM13" s="1479"/>
      <c r="AO13" s="943"/>
      <c r="AP13" s="943" t="str">
        <f>IF(T13="","",T13)</f>
        <v>Добавить источник для дифференциации</v>
      </c>
      <c r="AQ13" s="943"/>
      <c r="AR13" s="943"/>
    </row>
    <row s="8702" customFormat="1" customHeight="1" ht="14.25" hidden="1">
      <c r="A14" s="1473"/>
      <c r="B14" s="1473"/>
      <c r="C14" s="1473"/>
      <c r="D14" s="1473"/>
      <c r="E14" s="2321"/>
      <c r="F14" s="2320"/>
      <c r="G14" s="1473"/>
      <c r="H14" s="1473"/>
      <c r="I14" s="1473"/>
      <c r="J14" s="1473"/>
      <c r="K14" s="1473"/>
      <c r="L14" s="1498"/>
      <c r="M14" s="1480"/>
      <c r="N14" s="1480"/>
      <c r="P14" s="1475"/>
      <c r="Q14" s="1476"/>
      <c r="R14" s="1475"/>
      <c r="S14" s="1481"/>
      <c r="T14" s="1482" t="s">
        <v>251</v>
      </c>
      <c r="U14" s="1483"/>
      <c r="V14" s="1483"/>
      <c r="W14" s="1483"/>
      <c r="X14" s="1483"/>
      <c r="Y14" s="1483"/>
      <c r="Z14" s="1483"/>
      <c r="AA14" s="1483"/>
      <c r="AB14" s="1483"/>
      <c r="AC14" s="1483"/>
      <c r="AD14" s="1483"/>
      <c r="AE14" s="1483"/>
      <c r="AF14" s="1483"/>
      <c r="AG14" s="1483"/>
      <c r="AH14" s="1483"/>
      <c r="AI14" s="1483"/>
      <c r="AJ14" s="1483"/>
      <c r="AK14" s="1483"/>
      <c r="AL14" s="1483"/>
      <c r="AM14" s="1483"/>
      <c r="AO14" s="943"/>
      <c r="AP14" s="943" t="str">
        <f>IF(T14="","",T14)</f>
        <v>Добавить централизованную систему для дифференциации</v>
      </c>
      <c r="AQ14" s="943"/>
      <c r="AR14" s="943"/>
    </row>
    <row s="8702" customFormat="1" customHeight="1" ht="14.25" hidden="1">
      <c r="A15" s="1473"/>
      <c r="B15" s="1473"/>
      <c r="C15" s="1473"/>
      <c r="D15" s="1473"/>
      <c r="E15" s="2320"/>
      <c r="F15" s="1473"/>
      <c r="G15" s="1473"/>
      <c r="H15" s="1473"/>
      <c r="I15" s="1473"/>
      <c r="J15" s="1473"/>
      <c r="K15" s="1473"/>
      <c r="L15" s="1498"/>
      <c r="M15" s="1480"/>
      <c r="N15" s="1480"/>
      <c r="P15" s="1475"/>
      <c r="Q15" s="1476"/>
      <c r="R15" s="1475"/>
      <c r="S15" s="1481"/>
      <c r="T15" s="1484" t="s">
        <v>252</v>
      </c>
      <c r="U15" s="1483"/>
      <c r="V15" s="1483"/>
      <c r="W15" s="1483"/>
      <c r="X15" s="1483"/>
      <c r="Y15" s="1483"/>
      <c r="Z15" s="1483"/>
      <c r="AA15" s="1483"/>
      <c r="AB15" s="1483"/>
      <c r="AC15" s="1483"/>
      <c r="AD15" s="1483"/>
      <c r="AE15" s="1483"/>
      <c r="AF15" s="1483"/>
      <c r="AG15" s="1483"/>
      <c r="AH15" s="1483"/>
      <c r="AI15" s="1483"/>
      <c r="AJ15" s="1483"/>
      <c r="AK15" s="1483"/>
      <c r="AL15" s="1483"/>
      <c r="AM15" s="1483"/>
      <c r="AO15" s="943"/>
      <c r="AP15" s="943" t="str">
        <f>IF(T15="","",T15)</f>
        <v>Добавить территорию для дифференциации</v>
      </c>
      <c r="AQ15" s="943"/>
      <c r="AR15" s="943"/>
    </row>
    <row customHeight="1" ht="14.25" hidden="1">
      <c r="AC16" s="481"/>
      <c r="AK16" s="481"/>
    </row>
    <row customHeight="1" ht="14.25" hidden="1">
      <c r="AD17" s="1519"/>
      <c r="AE17" s="1519"/>
      <c r="AF17" s="1519"/>
      <c r="AG17" s="1520"/>
      <c r="AH17" s="2318"/>
      <c r="AI17" s="2317" t="s">
        <v>64</v>
      </c>
      <c r="AJ17" s="2318"/>
      <c r="AK17" s="2317" t="s">
        <v>64</v>
      </c>
    </row>
    <row customHeight="1" ht="14.25" hidden="1">
      <c r="AD18" s="1519"/>
      <c r="AE18" s="1519"/>
      <c r="AF18" s="1519"/>
      <c r="AG18" s="482" t="str">
        <f>AH17&amp;"-"&amp;AJ17</f>
        <v>-</v>
      </c>
      <c r="AH18" s="2317"/>
      <c r="AI18" s="2317"/>
      <c r="AJ18" s="2317"/>
      <c r="AK18" s="2317"/>
    </row>
    <row customHeight="1" ht="14.25" hidden="1">
      <c r="AK19" s="481"/>
    </row>
    <row s="8721" customFormat="1" customHeight="1" ht="22.5" hidden="1">
      <c r="L20" s="1488"/>
      <c r="M20" s="1521"/>
      <c r="N20" s="1521"/>
      <c r="O20" s="1526" t="s">
        <v>415</v>
      </c>
      <c r="P20" s="1521"/>
      <c r="Q20" s="1530"/>
      <c r="R20" s="1530"/>
      <c r="S20" s="883"/>
      <c r="Z20" s="1526"/>
      <c r="AB20" s="1526"/>
      <c r="AC20" s="1525"/>
      <c r="AH20" s="1526"/>
      <c r="AJ20" s="1526"/>
      <c r="AK20" s="1525"/>
      <c r="AN20" s="665"/>
      <c r="AO20" s="665"/>
      <c r="AP20" s="665"/>
      <c r="AQ20" s="665"/>
      <c r="AR20" s="665"/>
    </row>
    <row s="8721" customFormat="1" customHeight="1" ht="14.25" hidden="1">
      <c r="L21" s="1488"/>
      <c r="M21" s="1521"/>
      <c r="N21" s="1521"/>
      <c r="O21" s="1521"/>
      <c r="P21" s="1521"/>
      <c r="Q21" s="1530"/>
      <c r="R21" s="1530"/>
      <c r="S21" s="883"/>
      <c r="AC21" s="1525"/>
      <c r="AK21" s="1525"/>
      <c r="AN21" s="665"/>
      <c r="AO21" s="665"/>
      <c r="AP21" s="665"/>
      <c r="AQ21" s="665"/>
      <c r="AR21" s="665"/>
    </row>
    <row s="8721" customFormat="1" customHeight="1" ht="14.25" hidden="1">
      <c r="L22" s="1488"/>
      <c r="M22" s="1521"/>
      <c r="N22" s="1521"/>
      <c r="O22" s="1523" t="s">
        <v>416</v>
      </c>
      <c r="P22" s="1521"/>
      <c r="Q22" s="1530"/>
      <c r="R22" s="1530"/>
      <c r="S22" s="883"/>
      <c r="T22" s="1316" t="s">
        <v>417</v>
      </c>
      <c r="AA22" s="340" t="s">
        <v>418</v>
      </c>
      <c r="AC22" s="340" t="s">
        <v>419</v>
      </c>
      <c r="AD22" s="1316" t="s">
        <v>417</v>
      </c>
      <c r="AI22" s="340" t="s">
        <v>420</v>
      </c>
      <c r="AK22" s="340" t="s">
        <v>419</v>
      </c>
      <c r="AN22" s="665"/>
      <c r="AO22" s="665"/>
      <c r="AP22" s="665"/>
      <c r="AQ22" s="665"/>
      <c r="AR22" s="665"/>
    </row>
    <row customHeight="1" ht="14.25" hidden="1">
      <c r="O23" s="1523"/>
    </row>
    <row customHeight="1" ht="14.25" hidden="1">
      <c r="O24" s="1523"/>
    </row>
    <row customHeight="1" ht="14.25">
      <c r="Q25" s="530"/>
      <c r="R25" s="530"/>
      <c r="S25" s="1434"/>
      <c r="T25" s="517"/>
      <c r="U25" s="517"/>
      <c r="V25" s="663"/>
      <c r="W25" s="663"/>
      <c r="X25" s="663"/>
      <c r="Y25" s="663"/>
      <c r="Z25" s="663"/>
      <c r="AA25" s="663"/>
      <c r="AB25" s="663"/>
      <c r="AC25" s="663"/>
      <c r="AD25" s="663"/>
      <c r="AE25" s="663"/>
      <c r="AF25" s="663"/>
      <c r="AG25" s="663"/>
      <c r="AH25" s="663"/>
      <c r="AI25" s="663"/>
      <c r="AJ25" s="663"/>
      <c r="AK25" s="663"/>
    </row>
    <row customHeight="1" ht="51.75">
      <c r="Q26" s="530"/>
      <c r="R26" s="530"/>
      <c r="S26" s="2366" t="str">
        <f>IF(TEMPLATE_GROUP="P",PT_P_FORM_HEAT_5_NAME_FORM,PT_R_FORM_HEAT_22_NAME_FORM)</f>
        <v>Форма 4.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366"/>
      <c r="U26" s="2366"/>
      <c r="V26" s="2366"/>
      <c r="W26" s="2366"/>
      <c r="X26" s="2366"/>
      <c r="Y26" s="2366"/>
      <c r="Z26" s="2366"/>
      <c r="AA26" s="2366"/>
      <c r="AB26" s="2366"/>
      <c r="AC26" s="2366"/>
      <c r="AD26" s="2366"/>
      <c r="AE26" s="2366"/>
      <c r="AF26" s="2366"/>
      <c r="AG26" s="2366"/>
      <c r="AH26" s="2366"/>
      <c r="AI26" s="2366"/>
      <c r="AJ26" s="2366"/>
      <c r="AK26" s="1401"/>
    </row>
    <row customHeight="1" ht="14.25">
      <c r="Q27" s="530"/>
      <c r="R27" s="530"/>
      <c r="S27" s="2354" t="str">
        <f>IF(org=0,"Не определено",org)</f>
        <v>АО "Теплокоммунэнерго"</v>
      </c>
      <c r="T27" s="2354"/>
      <c r="U27" s="2354"/>
      <c r="V27" s="2354"/>
      <c r="W27" s="2354"/>
      <c r="X27" s="2354"/>
      <c r="Y27" s="2354"/>
      <c r="Z27" s="2354"/>
      <c r="AA27" s="2354"/>
      <c r="AB27" s="2354"/>
      <c r="AC27" s="2354"/>
      <c r="AD27" s="2354"/>
      <c r="AE27" s="2354"/>
      <c r="AF27" s="2354"/>
      <c r="AG27" s="2354"/>
      <c r="AH27" s="2354"/>
      <c r="AI27" s="2354"/>
      <c r="AJ27" s="2354"/>
      <c r="AK27" s="1401"/>
    </row>
    <row customHeight="1" ht="14.25">
      <c r="Q28" s="530"/>
      <c r="R28" s="530"/>
      <c r="S28" s="1434"/>
      <c r="T28" s="517"/>
      <c r="U28" s="517"/>
      <c r="V28" s="476"/>
      <c r="W28" s="476"/>
      <c r="X28" s="476"/>
      <c r="Y28" s="476"/>
      <c r="Z28" s="476"/>
      <c r="AA28" s="476"/>
      <c r="AB28" s="476"/>
      <c r="AC28" s="476"/>
      <c r="AD28" s="476"/>
      <c r="AE28" s="476"/>
      <c r="AF28" s="476"/>
      <c r="AG28" s="476"/>
      <c r="AH28" s="476"/>
      <c r="AI28" s="476"/>
      <c r="AJ28" s="476"/>
      <c r="AK28" s="476"/>
      <c r="AL28" s="663"/>
    </row>
    <row s="8735" customFormat="1" customHeight="1" ht="25.5">
      <c r="A29" s="1527"/>
      <c r="B29" s="1527"/>
      <c r="C29" s="1527"/>
      <c r="D29" s="1527"/>
      <c r="E29" s="1527"/>
      <c r="F29" s="1527"/>
      <c r="G29" s="1527"/>
      <c r="H29" s="1527"/>
      <c r="I29" s="1527"/>
      <c r="J29" s="1527"/>
      <c r="K29" s="1527"/>
      <c r="L29" s="1528"/>
      <c r="M29" s="1527"/>
      <c r="N29" s="1527"/>
      <c r="O29" s="1527"/>
      <c r="S29" s="2311" t="s">
        <v>38</v>
      </c>
      <c r="T29" s="2311"/>
      <c r="U29" s="1531"/>
      <c r="V29" s="2313" t="str">
        <f>IF(TITLE_NAME_OR_PR_CHANGE="",IF(TITLE_NAME_OR_PR="","",TITLE_NAME_OR_PR),TITLE_NAME_OR_PR_CHANGE)</f>
        <v>Региональная служба по тарифам Ростовской области</v>
      </c>
      <c r="W29" s="2313"/>
      <c r="X29" s="2313"/>
      <c r="Y29" s="2313"/>
      <c r="Z29" s="2313"/>
      <c r="AA29" s="2313"/>
      <c r="AB29" s="2313"/>
      <c r="AC29" s="480"/>
      <c r="AD29" s="2313" t="str">
        <f>IF(TITLE_NAME_OR_PR_CHANGE="",IF(TITLE_NAME_OR_PR="","",TITLE_NAME_OR_PR),TITLE_NAME_OR_PR_CHANGE)</f>
        <v>Региональная служба по тарифам Ростовской области</v>
      </c>
      <c r="AE29" s="2313"/>
      <c r="AF29" s="2313"/>
      <c r="AG29" s="2313"/>
      <c r="AH29" s="2313"/>
      <c r="AI29" s="2313"/>
      <c r="AJ29" s="2313"/>
      <c r="AK29" s="480"/>
      <c r="AL29" s="480"/>
      <c r="AM29" s="434"/>
      <c r="AN29" s="522"/>
      <c r="AO29" s="522"/>
      <c r="AP29" s="522"/>
      <c r="AQ29" s="522"/>
      <c r="AR29" s="522"/>
    </row>
    <row s="8735" customFormat="1" customHeight="1" ht="18.75">
      <c r="A30" s="1527"/>
      <c r="B30" s="1527"/>
      <c r="C30" s="1527"/>
      <c r="D30" s="1527"/>
      <c r="E30" s="1527"/>
      <c r="F30" s="1527"/>
      <c r="G30" s="1527"/>
      <c r="H30" s="1527"/>
      <c r="I30" s="1527"/>
      <c r="J30" s="1527"/>
      <c r="K30" s="1527"/>
      <c r="L30" s="1528"/>
      <c r="M30" s="1527"/>
      <c r="N30" s="1527"/>
      <c r="O30" s="1527"/>
      <c r="S30" s="2311" t="s">
        <v>421</v>
      </c>
      <c r="T30" s="2311"/>
      <c r="U30" s="1531"/>
      <c r="V30" s="2312" t="str">
        <f>IF(TITLE_DATE_PR_CHANGE="",IF(TITLE_DATE_PR="","",TITLE_DATE_PR),TITLE_DATE_PR_CHANGE)</f>
        <v>45279</v>
      </c>
      <c r="W30" s="2312"/>
      <c r="X30" s="2312"/>
      <c r="Y30" s="2312"/>
      <c r="Z30" s="2312"/>
      <c r="AA30" s="2312"/>
      <c r="AB30" s="2312"/>
      <c r="AC30" s="480"/>
      <c r="AD30" s="2312" t="str">
        <f>IF(TITLE_DATE_PR_CHANGE="",IF(TITLE_DATE_PR="","",TITLE_DATE_PR),TITLE_DATE_PR_CHANGE)</f>
        <v>45279</v>
      </c>
      <c r="AE30" s="2312"/>
      <c r="AF30" s="2312"/>
      <c r="AG30" s="2312"/>
      <c r="AH30" s="2312"/>
      <c r="AI30" s="2312"/>
      <c r="AJ30" s="2312"/>
      <c r="AK30" s="480"/>
      <c r="AL30" s="480"/>
      <c r="AM30" s="434"/>
      <c r="AN30" s="522"/>
      <c r="AO30" s="522"/>
      <c r="AP30" s="522"/>
      <c r="AQ30" s="522"/>
      <c r="AR30" s="522"/>
    </row>
    <row s="8735" customFormat="1" customHeight="1" ht="18.75">
      <c r="A31" s="1527"/>
      <c r="B31" s="1527"/>
      <c r="C31" s="1527"/>
      <c r="D31" s="1527"/>
      <c r="E31" s="1527"/>
      <c r="F31" s="1527"/>
      <c r="G31" s="1527"/>
      <c r="H31" s="1527"/>
      <c r="I31" s="1527"/>
      <c r="J31" s="1527"/>
      <c r="K31" s="1527"/>
      <c r="L31" s="1528"/>
      <c r="M31" s="1527"/>
      <c r="N31" s="1527"/>
      <c r="O31" s="1527"/>
      <c r="S31" s="2311" t="s">
        <v>422</v>
      </c>
      <c r="T31" s="2311"/>
      <c r="U31" s="1531"/>
      <c r="V31" s="2313" t="str">
        <f>IF(TITLE_NUMBER_PR_CHANGE="",IF(TITLE_NUMBER_PR="","",TITLE_NUMBER_PR),TITLE_NUMBER_PR_CHANGE)</f>
        <v>877</v>
      </c>
      <c r="W31" s="2313"/>
      <c r="X31" s="2313"/>
      <c r="Y31" s="2313"/>
      <c r="Z31" s="2313"/>
      <c r="AA31" s="2313"/>
      <c r="AB31" s="2313"/>
      <c r="AC31" s="480"/>
      <c r="AD31" s="2313" t="str">
        <f>IF(TITLE_NUMBER_PR_CHANGE="",IF(TITLE_NUMBER_PR="","",TITLE_NUMBER_PR),TITLE_NUMBER_PR_CHANGE)</f>
        <v>877</v>
      </c>
      <c r="AE31" s="2313"/>
      <c r="AF31" s="2313"/>
      <c r="AG31" s="2313"/>
      <c r="AH31" s="2313"/>
      <c r="AI31" s="2313"/>
      <c r="AJ31" s="2313"/>
      <c r="AK31" s="480"/>
      <c r="AL31" s="480"/>
      <c r="AM31" s="434"/>
      <c r="AN31" s="522"/>
      <c r="AO31" s="522"/>
      <c r="AP31" s="522"/>
      <c r="AQ31" s="522"/>
      <c r="AR31" s="522"/>
    </row>
    <row s="8735" customFormat="1" customHeight="1" ht="18.75">
      <c r="A32" s="1527"/>
      <c r="B32" s="1527"/>
      <c r="C32" s="1527"/>
      <c r="D32" s="1527"/>
      <c r="E32" s="1527"/>
      <c r="F32" s="1527"/>
      <c r="G32" s="1527"/>
      <c r="H32" s="1527"/>
      <c r="I32" s="1527"/>
      <c r="J32" s="1527"/>
      <c r="K32" s="1527"/>
      <c r="L32" s="1528"/>
      <c r="M32" s="1527"/>
      <c r="N32" s="1527"/>
      <c r="O32" s="1527"/>
      <c r="S32" s="2311" t="s">
        <v>40</v>
      </c>
      <c r="T32" s="2311"/>
      <c r="U32" s="1531"/>
      <c r="V32" s="2313" t="str">
        <f>IF(TITLE_IST_PUB_CHANGE="",IF(TITLE_IST_PUB="","",TITLE_IST_PUB),TITLE_IST_PUB_CHANGE)</f>
        <v>Официальный портал правовой информации Ростовской области</v>
      </c>
      <c r="W32" s="2313"/>
      <c r="X32" s="2313"/>
      <c r="Y32" s="2313"/>
      <c r="Z32" s="2313"/>
      <c r="AA32" s="2313"/>
      <c r="AB32" s="2313"/>
      <c r="AC32" s="480"/>
      <c r="AD32" s="2313" t="str">
        <f>IF(TITLE_IST_PUB_CHANGE="",IF(TITLE_IST_PUB="","",TITLE_IST_PUB),TITLE_IST_PUB_CHANGE)</f>
        <v>Официальный портал правовой информации Ростовской области</v>
      </c>
      <c r="AE32" s="2313"/>
      <c r="AF32" s="2313"/>
      <c r="AG32" s="2313"/>
      <c r="AH32" s="2313"/>
      <c r="AI32" s="2313"/>
      <c r="AJ32" s="2313"/>
      <c r="AK32" s="480"/>
      <c r="AL32" s="480"/>
      <c r="AM32" s="434"/>
      <c r="AN32" s="522"/>
      <c r="AO32" s="522"/>
      <c r="AP32" s="522"/>
      <c r="AQ32" s="522"/>
      <c r="AR32" s="522"/>
    </row>
    <row customHeight="1" ht="14.25" hidden="1">
      <c r="Q33" s="530"/>
      <c r="R33" s="530"/>
      <c r="S33" s="1434"/>
      <c r="T33" s="517"/>
      <c r="U33" s="517"/>
      <c r="V33" s="476"/>
      <c r="W33" s="476"/>
      <c r="X33" s="476"/>
      <c r="Y33" s="476"/>
      <c r="Z33" s="476"/>
      <c r="AA33" s="476"/>
      <c r="AB33" s="476"/>
      <c r="AC33" s="476"/>
      <c r="AD33" s="476"/>
      <c r="AE33" s="476"/>
      <c r="AF33" s="476"/>
      <c r="AG33" s="476"/>
      <c r="AH33" s="476"/>
      <c r="AI33" s="476"/>
      <c r="AJ33" s="476"/>
      <c r="AK33" s="476"/>
      <c r="AL33" s="663"/>
    </row>
    <row s="8735" customFormat="1" customHeight="1" ht="18.75" hidden="1">
      <c r="A34" s="1527"/>
      <c r="B34" s="1527"/>
      <c r="C34" s="1527"/>
      <c r="D34" s="1527"/>
      <c r="E34" s="1527"/>
      <c r="F34" s="1527"/>
      <c r="G34" s="1527"/>
      <c r="H34" s="1527"/>
      <c r="I34" s="1527"/>
      <c r="J34" s="1527"/>
      <c r="K34" s="1527"/>
      <c r="L34" s="1528"/>
      <c r="M34" s="1527"/>
      <c r="N34" s="1527"/>
      <c r="O34" s="1527"/>
      <c r="S34" s="2311" t="s">
        <v>423</v>
      </c>
      <c r="T34" s="2311"/>
      <c r="U34" s="1531"/>
      <c r="V34" s="2312" t="str">
        <f>IF(TITLE_DATE_PR_CHANGE="",IF(TITLE_DATE_PR="","",TITLE_DATE_PR),TITLE_DATE_PR_CHANGE)</f>
        <v>45279</v>
      </c>
      <c r="W34" s="2312"/>
      <c r="X34" s="2312"/>
      <c r="Y34" s="2312"/>
      <c r="Z34" s="2312"/>
      <c r="AA34" s="2312"/>
      <c r="AB34" s="2312"/>
      <c r="AC34" s="480"/>
      <c r="AD34" s="2312" t="str">
        <f>IF(TITLE_DATE_PR_CHANGE="",IF(TITLE_DATE_PR="","",TITLE_DATE_PR),TITLE_DATE_PR_CHANGE)</f>
        <v>45279</v>
      </c>
      <c r="AE34" s="2312"/>
      <c r="AF34" s="2312"/>
      <c r="AG34" s="2312"/>
      <c r="AH34" s="2312"/>
      <c r="AI34" s="2312"/>
      <c r="AJ34" s="2312"/>
      <c r="AK34" s="480"/>
      <c r="AL34" s="480"/>
      <c r="AM34" s="434"/>
      <c r="AN34" s="522"/>
      <c r="AO34" s="522"/>
      <c r="AP34" s="522"/>
      <c r="AQ34" s="522"/>
      <c r="AR34" s="522"/>
    </row>
    <row s="8735" customFormat="1" customHeight="1" ht="18.75" hidden="1">
      <c r="A35" s="1527"/>
      <c r="B35" s="1527"/>
      <c r="C35" s="1527"/>
      <c r="D35" s="1527"/>
      <c r="E35" s="1527"/>
      <c r="F35" s="1527"/>
      <c r="G35" s="1527"/>
      <c r="H35" s="1527"/>
      <c r="I35" s="1527"/>
      <c r="J35" s="1527"/>
      <c r="K35" s="1527"/>
      <c r="L35" s="1528"/>
      <c r="M35" s="1527"/>
      <c r="N35" s="1527"/>
      <c r="O35" s="1527"/>
      <c r="S35" s="2311" t="s">
        <v>424</v>
      </c>
      <c r="T35" s="2311"/>
      <c r="U35" s="1531"/>
      <c r="V35" s="2313" t="str">
        <f>IF(TITLE_NUMBER_PR_CHANGE="",IF(TITLE_NUMBER_PR="","",TITLE_NUMBER_PR),TITLE_NUMBER_PR_CHANGE)</f>
        <v>877</v>
      </c>
      <c r="W35" s="2313"/>
      <c r="X35" s="2313"/>
      <c r="Y35" s="2313"/>
      <c r="Z35" s="2313"/>
      <c r="AA35" s="2313"/>
      <c r="AB35" s="2313"/>
      <c r="AC35" s="480"/>
      <c r="AD35" s="2313" t="str">
        <f>IF(TITLE_NUMBER_PR_CHANGE="",IF(TITLE_NUMBER_PR="","",TITLE_NUMBER_PR),TITLE_NUMBER_PR_CHANGE)</f>
        <v>877</v>
      </c>
      <c r="AE35" s="2313"/>
      <c r="AF35" s="2313"/>
      <c r="AG35" s="2313"/>
      <c r="AH35" s="2313"/>
      <c r="AI35" s="2313"/>
      <c r="AJ35" s="2313"/>
      <c r="AK35" s="480"/>
      <c r="AL35" s="480"/>
      <c r="AM35" s="434"/>
      <c r="AN35" s="522"/>
      <c r="AO35" s="522"/>
      <c r="AP35" s="522"/>
      <c r="AQ35" s="522"/>
      <c r="AR35" s="522"/>
    </row>
    <row s="8735" customFormat="1" customHeight="1" ht="0">
      <c r="A36" s="1527"/>
      <c r="B36" s="1527"/>
      <c r="C36" s="1527"/>
      <c r="D36" s="1527"/>
      <c r="E36" s="1527"/>
      <c r="F36" s="1527"/>
      <c r="G36" s="1527"/>
      <c r="H36" s="1527"/>
      <c r="I36" s="1527"/>
      <c r="J36" s="1527"/>
      <c r="K36" s="1527"/>
      <c r="L36" s="1528"/>
      <c r="M36" s="1527"/>
      <c r="N36" s="1527"/>
      <c r="O36" s="1527"/>
      <c r="S36" s="477"/>
      <c r="T36" s="477"/>
      <c r="U36" s="1499"/>
      <c r="V36" s="480"/>
      <c r="W36" s="480"/>
      <c r="X36" s="480"/>
      <c r="Y36" s="480"/>
      <c r="Z36" s="480"/>
      <c r="AA36" s="480"/>
      <c r="AB36" s="480"/>
      <c r="AC36" s="432" t="s">
        <v>425</v>
      </c>
      <c r="AD36" s="480"/>
      <c r="AE36" s="480"/>
      <c r="AF36" s="480"/>
      <c r="AG36" s="480"/>
      <c r="AH36" s="480"/>
      <c r="AI36" s="480"/>
      <c r="AJ36" s="480"/>
      <c r="AK36" s="432" t="s">
        <v>425</v>
      </c>
      <c r="AN36" s="522"/>
      <c r="AO36" s="522"/>
      <c r="AP36" s="522"/>
      <c r="AQ36" s="522"/>
      <c r="AR36" s="522"/>
    </row>
    <row customHeight="1" ht="14.25">
      <c r="Q37" s="530"/>
      <c r="R37" s="530"/>
      <c r="S37" s="1434"/>
      <c r="T37" s="517"/>
      <c r="U37" s="1402"/>
      <c r="V37" s="2337"/>
      <c r="W37" s="2337"/>
      <c r="X37" s="2337"/>
      <c r="Y37" s="2337"/>
      <c r="Z37" s="2337"/>
      <c r="AA37" s="2337"/>
      <c r="AB37" s="2337"/>
      <c r="AC37" s="2337"/>
      <c r="AD37" s="2337"/>
      <c r="AE37" s="2337"/>
      <c r="AF37" s="2337"/>
      <c r="AG37" s="2337"/>
      <c r="AH37" s="2337"/>
      <c r="AI37" s="2337"/>
      <c r="AJ37" s="2337"/>
      <c r="AK37" s="2337"/>
    </row>
    <row customHeight="1" ht="14.25">
      <c r="Q38" s="530"/>
      <c r="R38" s="530"/>
      <c r="S38" s="2185" t="s">
        <v>300</v>
      </c>
      <c r="T38" s="2185"/>
      <c r="U38" s="2185"/>
      <c r="V38" s="2185"/>
      <c r="W38" s="2185"/>
      <c r="X38" s="2185"/>
      <c r="Y38" s="2185"/>
      <c r="Z38" s="2185"/>
      <c r="AA38" s="2185"/>
      <c r="AB38" s="2185"/>
      <c r="AC38" s="2185"/>
      <c r="AD38" s="2185"/>
      <c r="AE38" s="2185"/>
      <c r="AF38" s="2185"/>
      <c r="AG38" s="2185"/>
      <c r="AH38" s="2185"/>
      <c r="AI38" s="2185"/>
      <c r="AJ38" s="2185"/>
      <c r="AK38" s="2185"/>
      <c r="AL38" s="2185"/>
      <c r="AM38" s="2185" t="s">
        <v>301</v>
      </c>
    </row>
    <row customHeight="1" ht="14.25">
      <c r="Q39" s="530"/>
      <c r="R39" s="530"/>
      <c r="S39" s="2338" t="s">
        <v>85</v>
      </c>
      <c r="T39" s="2275" t="s">
        <v>426</v>
      </c>
      <c r="U39" s="455"/>
      <c r="V39" s="2339" t="s">
        <v>427</v>
      </c>
      <c r="W39" s="2340"/>
      <c r="X39" s="2340"/>
      <c r="Y39" s="2340"/>
      <c r="Z39" s="2340"/>
      <c r="AA39" s="2340"/>
      <c r="AB39" s="2341"/>
      <c r="AC39" s="2342" t="s">
        <v>428</v>
      </c>
      <c r="AD39" s="2339" t="s">
        <v>427</v>
      </c>
      <c r="AE39" s="2340"/>
      <c r="AF39" s="2340"/>
      <c r="AG39" s="2340"/>
      <c r="AH39" s="2340"/>
      <c r="AI39" s="2340"/>
      <c r="AJ39" s="2341"/>
      <c r="AK39" s="2342" t="s">
        <v>429</v>
      </c>
      <c r="AL39" s="2345" t="s">
        <v>430</v>
      </c>
      <c r="AM39" s="2185"/>
    </row>
    <row customHeight="1" ht="33.75">
      <c r="Q40" s="530"/>
      <c r="R40" s="530"/>
      <c r="S40" s="2338"/>
      <c r="T40" s="2275"/>
      <c r="U40" s="1186"/>
      <c r="V40" s="2348" t="s">
        <v>431</v>
      </c>
      <c r="W40" s="2329"/>
      <c r="X40" s="2331" t="s">
        <v>433</v>
      </c>
      <c r="Y40" s="2333"/>
      <c r="Z40" s="2331" t="s">
        <v>434</v>
      </c>
      <c r="AA40" s="2332"/>
      <c r="AB40" s="2333"/>
      <c r="AC40" s="2343"/>
      <c r="AD40" s="2348" t="s">
        <v>447</v>
      </c>
      <c r="AE40" s="2329"/>
      <c r="AF40" s="2331" t="s">
        <v>433</v>
      </c>
      <c r="AG40" s="2333"/>
      <c r="AH40" s="2331" t="s">
        <v>434</v>
      </c>
      <c r="AI40" s="2332"/>
      <c r="AJ40" s="2333"/>
      <c r="AK40" s="2343"/>
      <c r="AL40" s="2346"/>
      <c r="AM40" s="2185"/>
    </row>
    <row customHeight="1" ht="33.75">
      <c r="A41" s="1529"/>
      <c r="B41" s="1529" t="s">
        <v>132</v>
      </c>
      <c r="C41" s="1529" t="s">
        <v>133</v>
      </c>
      <c r="D41" s="1529" t="s">
        <v>134</v>
      </c>
      <c r="E41" s="1523" t="s">
        <v>435</v>
      </c>
      <c r="F41" s="1523" t="s">
        <v>436</v>
      </c>
      <c r="G41" s="1523" t="s">
        <v>437</v>
      </c>
      <c r="H41" s="1523" t="s">
        <v>438</v>
      </c>
      <c r="I41" s="1523" t="s">
        <v>439</v>
      </c>
      <c r="J41" s="1523" t="s">
        <v>440</v>
      </c>
      <c r="K41" s="1523" t="s">
        <v>441</v>
      </c>
      <c r="L41" s="1523" t="s">
        <v>416</v>
      </c>
      <c r="Q41" s="530"/>
      <c r="R41" s="530"/>
      <c r="S41" s="2338"/>
      <c r="T41" s="2275"/>
      <c r="U41" s="456"/>
      <c r="V41" s="2349"/>
      <c r="W41" s="2330"/>
      <c r="X41" s="1380" t="s">
        <v>442</v>
      </c>
      <c r="Y41" s="1380" t="s">
        <v>443</v>
      </c>
      <c r="Z41" s="1497" t="s">
        <v>444</v>
      </c>
      <c r="AA41" s="2334" t="s">
        <v>445</v>
      </c>
      <c r="AB41" s="2335"/>
      <c r="AC41" s="2344"/>
      <c r="AD41" s="2349"/>
      <c r="AE41" s="2330"/>
      <c r="AF41" s="1380" t="s">
        <v>442</v>
      </c>
      <c r="AG41" s="1380" t="s">
        <v>443</v>
      </c>
      <c r="AH41" s="1497" t="s">
        <v>444</v>
      </c>
      <c r="AI41" s="2334" t="s">
        <v>445</v>
      </c>
      <c r="AJ41" s="2335"/>
      <c r="AK41" s="2344"/>
      <c r="AL41" s="2347"/>
      <c r="AM41" s="2185"/>
    </row>
    <row s="8552" customFormat="1" customHeight="1" ht="11.25" hidden="1">
      <c r="A42" s="1529"/>
      <c r="B42" s="1529"/>
      <c r="C42" s="1529"/>
      <c r="D42" s="1529"/>
      <c r="E42" s="1529"/>
      <c r="F42" s="1529"/>
      <c r="G42" s="1529"/>
      <c r="H42" s="1529"/>
      <c r="I42" s="1529"/>
      <c r="J42" s="1529"/>
      <c r="K42" s="1529"/>
      <c r="L42" s="1523"/>
      <c r="M42" s="1521"/>
      <c r="N42" s="1521"/>
      <c r="O42" s="1521"/>
      <c r="P42" s="1404"/>
      <c r="Q42" s="1405"/>
      <c r="R42" s="1412">
        <v>1</v>
      </c>
      <c r="S42" s="1436" t="s">
        <v>106</v>
      </c>
      <c r="T42" s="1413" t="s">
        <v>107</v>
      </c>
      <c r="U42" s="1403" t="str">
        <f>OFFSET(U42,0,-1)</f>
        <v>2</v>
      </c>
      <c r="V42" s="1494">
        <f>OFFSET(V42,0,-1)+1</f>
        <v>3</v>
      </c>
      <c r="W42" s="1494"/>
      <c r="X42" s="1494">
        <f>OFFSET(X42,0,-1)+1</f>
        <v>1</v>
      </c>
      <c r="Y42" s="1494">
        <f>OFFSET(Y42,0,-1)+1</f>
        <v>2</v>
      </c>
      <c r="Z42" s="1494">
        <f>OFFSET(Z42,0,-1)+1</f>
        <v>3</v>
      </c>
      <c r="AA42" s="2336">
        <f>OFFSET(AA42,0,-1)+1</f>
        <v>4</v>
      </c>
      <c r="AB42" s="2336"/>
      <c r="AC42" s="1494">
        <f>OFFSET(AC42,0,-2)+1</f>
        <v>5</v>
      </c>
      <c r="AD42" s="1494">
        <f>OFFSET(AD42,0,-1)+1</f>
        <v>6</v>
      </c>
      <c r="AE42" s="1494"/>
      <c r="AF42" s="1494">
        <f>OFFSET(AF42,0,-1)+1</f>
        <v>1</v>
      </c>
      <c r="AG42" s="1494">
        <f>OFFSET(AG42,0,-1)+1</f>
        <v>2</v>
      </c>
      <c r="AH42" s="1494">
        <f>OFFSET(AH42,0,-1)+1</f>
        <v>3</v>
      </c>
      <c r="AI42" s="2336">
        <f>OFFSET(AI42,0,-1)+1</f>
        <v>4</v>
      </c>
      <c r="AJ42" s="2336"/>
      <c r="AK42" s="1494">
        <f>OFFSET(AK42,0,-2)+1</f>
        <v>5</v>
      </c>
      <c r="AL42" s="1403">
        <f>OFFSET(AL42,0,-1)</f>
        <v>5</v>
      </c>
      <c r="AM42" s="1494">
        <f>OFFSET(AM42,0,-1)+1</f>
        <v>6</v>
      </c>
      <c r="AN42" s="665"/>
      <c r="AO42" s="665"/>
      <c r="AP42" s="665"/>
      <c r="AQ42" s="665"/>
      <c r="AR42" s="665"/>
    </row>
    <row customHeight="1" ht="21">
      <c r="A43" s="1522" t="s">
        <v>177</v>
      </c>
      <c r="B43" s="1522"/>
      <c r="C43" s="1522"/>
      <c r="D43" s="1522"/>
      <c r="E43" s="2320">
        <v>1</v>
      </c>
      <c r="F43" s="1522"/>
      <c r="G43" s="1522"/>
      <c r="H43" s="1522"/>
      <c r="I43" s="1522"/>
      <c r="J43" s="1522"/>
      <c r="K43" s="1522"/>
      <c r="L43" s="1523"/>
      <c r="M43" s="1524"/>
      <c r="N43" s="1524"/>
      <c r="O43" s="1524"/>
      <c r="P43" s="515"/>
      <c r="Q43" s="514"/>
      <c r="R43" s="509"/>
      <c r="S43" s="1495">
        <f>INDEX(PT_DIFFERENTIATION_NUM_NTAR,MATCH(A43,PT_DIFFERENTIATION_NTAR_ID,0))</f>
        <v>0</v>
      </c>
      <c r="T43" s="452" t="s">
        <v>120</v>
      </c>
      <c r="U43" s="454"/>
      <c r="V43" s="2314"/>
      <c r="W43" s="2315"/>
      <c r="X43" s="2315"/>
      <c r="Y43" s="2315"/>
      <c r="Z43" s="2315"/>
      <c r="AA43" s="2315"/>
      <c r="AB43" s="2315"/>
      <c r="AC43" s="2316"/>
      <c r="AD43" s="2314" t="str">
        <f>INDEX(PT_DIFFERENTIATION_NTAR,MATCH(A43,PT_DIFFERENTIATION_NTAR_ID,0))</f>
        <v/>
      </c>
      <c r="AE43" s="2315"/>
      <c r="AF43" s="2315"/>
      <c r="AG43" s="2315"/>
      <c r="AH43" s="2315"/>
      <c r="AI43" s="2315"/>
      <c r="AJ43" s="2315"/>
      <c r="AK43" s="2315"/>
      <c r="AL43" s="2316"/>
      <c r="AM43" s="1416"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O43" s="654"/>
      <c r="AP43" s="654" t="str">
        <f>IF(T43="","",T43)</f>
        <v>Наименование тарифа</v>
      </c>
      <c r="AQ43" s="654"/>
      <c r="AR43" s="654"/>
    </row>
    <row customHeight="1" ht="21">
      <c r="A44" s="1522" t="s">
        <v>177</v>
      </c>
      <c r="B44" s="1522" t="s">
        <v>178</v>
      </c>
      <c r="C44" s="1522"/>
      <c r="D44" s="1522"/>
      <c r="E44" s="2321"/>
      <c r="F44" s="2320">
        <v>1</v>
      </c>
      <c r="G44" s="1522"/>
      <c r="H44" s="1522"/>
      <c r="I44" s="1522"/>
      <c r="J44" s="1522"/>
      <c r="K44" s="1522"/>
      <c r="L44" s="1523"/>
      <c r="M44" s="1524"/>
      <c r="N44" s="1524"/>
      <c r="O44" s="1524"/>
      <c r="P44" s="1491"/>
      <c r="Q44" s="506"/>
      <c r="R44" s="507"/>
      <c r="S44" s="1495" t="str">
        <f>INDEX(PT_DIFFERENTIATION_NUM_TER,MATCH(B44,PT_DIFFERENTIATION_TER_ID,0))</f>
        <v>.</v>
      </c>
      <c r="T44" s="462" t="s">
        <v>397</v>
      </c>
      <c r="U44" s="454"/>
      <c r="V44" s="2314"/>
      <c r="W44" s="2315"/>
      <c r="X44" s="2315"/>
      <c r="Y44" s="2315"/>
      <c r="Z44" s="2315"/>
      <c r="AA44" s="2315"/>
      <c r="AB44" s="2315"/>
      <c r="AC44" s="2316"/>
      <c r="AD44" s="2314" t="str">
        <f>INDEX(PT_DIFFERENTIATION_TER,MATCH(B44,PT_DIFFERENTIATION_TER_ID,0))</f>
        <v/>
      </c>
      <c r="AE44" s="2315"/>
      <c r="AF44" s="2315"/>
      <c r="AG44" s="2315"/>
      <c r="AH44" s="2315"/>
      <c r="AI44" s="2315"/>
      <c r="AJ44" s="2315"/>
      <c r="AK44" s="2315"/>
      <c r="AL44" s="2316"/>
      <c r="AM44" s="1416" t="s">
        <v>398</v>
      </c>
      <c r="AO44" s="654"/>
      <c r="AP44" s="654" t="str">
        <f>IF(T44="","",T44)</f>
        <v>Территория действия тарифа</v>
      </c>
      <c r="AQ44" s="654"/>
      <c r="AR44" s="654"/>
    </row>
    <row customHeight="1" ht="23.25">
      <c r="A45" s="1522" t="s">
        <v>177</v>
      </c>
      <c r="B45" s="1522" t="s">
        <v>178</v>
      </c>
      <c r="C45" s="1522" t="s">
        <v>179</v>
      </c>
      <c r="D45" s="1522"/>
      <c r="E45" s="2321"/>
      <c r="F45" s="2321"/>
      <c r="G45" s="2320">
        <v>1</v>
      </c>
      <c r="H45" s="1522"/>
      <c r="I45" s="1522"/>
      <c r="J45" s="1522"/>
      <c r="K45" s="1522"/>
      <c r="L45" s="1523"/>
      <c r="M45" s="1524"/>
      <c r="N45" s="1524"/>
      <c r="O45" s="1524"/>
      <c r="P45" s="508"/>
      <c r="Q45" s="506"/>
      <c r="R45" s="507"/>
      <c r="S45" s="1495" t="str">
        <f>INDEX(PT_DIFFERENTIATION_NUM_CS,MATCH(C45,PT_DIFFERENTIATION_CS_ID,0))</f>
        <v>..</v>
      </c>
      <c r="T45" s="463" t="s">
        <v>399</v>
      </c>
      <c r="U45" s="454"/>
      <c r="V45" s="2314"/>
      <c r="W45" s="2315"/>
      <c r="X45" s="2315"/>
      <c r="Y45" s="2315"/>
      <c r="Z45" s="2315"/>
      <c r="AA45" s="2315"/>
      <c r="AB45" s="2315"/>
      <c r="AC45" s="2316"/>
      <c r="AD45" s="2314" t="str">
        <f>INDEX(PT_DIFFERENTIATION_CS,MATCH(C45,PT_DIFFERENTIATION_CS_ID,0))</f>
        <v/>
      </c>
      <c r="AE45" s="2315"/>
      <c r="AF45" s="2315"/>
      <c r="AG45" s="2315"/>
      <c r="AH45" s="2315"/>
      <c r="AI45" s="2315"/>
      <c r="AJ45" s="2315"/>
      <c r="AK45" s="2315"/>
      <c r="AL45" s="2316"/>
      <c r="AM45" s="1416" t="s">
        <v>400</v>
      </c>
      <c r="AO45" s="654"/>
      <c r="AP45" s="654" t="str">
        <f>IF(T45="","",T45)</f>
        <v>Наименование системы теплоснабжения </v>
      </c>
      <c r="AQ45" s="654"/>
      <c r="AR45" s="654"/>
    </row>
    <row customHeight="1" ht="21">
      <c r="A46" s="1522" t="s">
        <v>177</v>
      </c>
      <c r="B46" s="1522" t="s">
        <v>178</v>
      </c>
      <c r="C46" s="1522" t="s">
        <v>179</v>
      </c>
      <c r="D46" s="1522" t="s">
        <v>180</v>
      </c>
      <c r="E46" s="2321"/>
      <c r="F46" s="2321"/>
      <c r="G46" s="2321"/>
      <c r="H46" s="2320">
        <v>1</v>
      </c>
      <c r="I46" s="1522"/>
      <c r="J46" s="1522"/>
      <c r="K46" s="1522"/>
      <c r="L46" s="1523"/>
      <c r="M46" s="1524"/>
      <c r="N46" s="1524"/>
      <c r="O46" s="1524"/>
      <c r="P46" s="508"/>
      <c r="Q46" s="506"/>
      <c r="R46" s="507"/>
      <c r="S46" s="1495" t="str">
        <f>INDEX(PT_DIFFERENTIATION_NUM_IST_TE,MATCH(D46,PT_DIFFERENTIATION_IST_TE_ID,0))</f>
        <v>...</v>
      </c>
      <c r="T46" s="464" t="s">
        <v>401</v>
      </c>
      <c r="U46" s="454"/>
      <c r="V46" s="2314"/>
      <c r="W46" s="2315"/>
      <c r="X46" s="2315"/>
      <c r="Y46" s="2315"/>
      <c r="Z46" s="2315"/>
      <c r="AA46" s="2315"/>
      <c r="AB46" s="2315"/>
      <c r="AC46" s="2316"/>
      <c r="AD46" s="2314" t="str">
        <f>INDEX(PT_DIFFERENTIATION_IST_TE,MATCH(D46,PT_DIFFERENTIATION_IST_TE_ID,0))</f>
        <v/>
      </c>
      <c r="AE46" s="2315"/>
      <c r="AF46" s="2315"/>
      <c r="AG46" s="2315"/>
      <c r="AH46" s="2315"/>
      <c r="AI46" s="2315"/>
      <c r="AJ46" s="2315"/>
      <c r="AK46" s="2315"/>
      <c r="AL46" s="2316"/>
      <c r="AM46" s="1416" t="s">
        <v>402</v>
      </c>
      <c r="AO46" s="654"/>
      <c r="AP46" s="654" t="str">
        <f>IF(T46="","",T46)</f>
        <v>Источник тепловой энергии  </v>
      </c>
      <c r="AQ46" s="654"/>
      <c r="AR46" s="654"/>
    </row>
    <row s="8794" customFormat="1" customHeight="1" ht="0">
      <c r="A47" s="1502" t="s">
        <v>177</v>
      </c>
      <c r="B47" s="1502" t="s">
        <v>178</v>
      </c>
      <c r="C47" s="1502" t="s">
        <v>179</v>
      </c>
      <c r="D47" s="1502" t="s">
        <v>180</v>
      </c>
      <c r="E47" s="2321"/>
      <c r="F47" s="2321"/>
      <c r="G47" s="2321"/>
      <c r="H47" s="2321"/>
      <c r="I47" s="2322" t="str">
        <f>S46&amp;".1"</f>
        <v>....1</v>
      </c>
      <c r="J47" s="1502"/>
      <c r="K47" s="1502"/>
      <c r="L47" s="1505" t="s">
        <v>403</v>
      </c>
      <c r="M47" s="664"/>
      <c r="N47" s="664"/>
      <c r="O47" s="664"/>
      <c r="P47" s="2324">
        <v>1</v>
      </c>
      <c r="Q47" s="1490"/>
      <c r="R47" s="510"/>
      <c r="S47" s="1197"/>
      <c r="T47" s="1542"/>
      <c r="U47" s="1543"/>
      <c r="V47" s="2362"/>
      <c r="W47" s="2363"/>
      <c r="X47" s="2363"/>
      <c r="Y47" s="2363"/>
      <c r="Z47" s="2363"/>
      <c r="AA47" s="2363"/>
      <c r="AB47" s="2363"/>
      <c r="AC47" s="2364"/>
      <c r="AD47" s="2362"/>
      <c r="AE47" s="2363"/>
      <c r="AF47" s="2363"/>
      <c r="AG47" s="2363"/>
      <c r="AH47" s="2363"/>
      <c r="AI47" s="2363"/>
      <c r="AJ47" s="2363"/>
      <c r="AK47" s="2363"/>
      <c r="AL47" s="2364"/>
      <c r="AM47" s="1544"/>
      <c r="AO47" s="654"/>
      <c r="AP47" s="654" t="str">
        <f>IF(T47="","",T47)</f>
        <v/>
      </c>
      <c r="AQ47" s="654"/>
      <c r="AR47" s="654"/>
    </row>
    <row customHeight="1" ht="21">
      <c r="A48" s="1522" t="s">
        <v>177</v>
      </c>
      <c r="B48" s="1522" t="s">
        <v>178</v>
      </c>
      <c r="C48" s="1522" t="s">
        <v>179</v>
      </c>
      <c r="D48" s="1522" t="s">
        <v>180</v>
      </c>
      <c r="E48" s="2321"/>
      <c r="F48" s="2321"/>
      <c r="G48" s="2321"/>
      <c r="H48" s="2321"/>
      <c r="I48" s="2323"/>
      <c r="J48" s="2322" t="str">
        <f>S46&amp;".1"</f>
        <v>....1</v>
      </c>
      <c r="K48" s="1522"/>
      <c r="L48" s="1523" t="s">
        <v>406</v>
      </c>
      <c r="P48" s="2324"/>
      <c r="Q48" s="2324">
        <v>1</v>
      </c>
      <c r="R48" s="511"/>
      <c r="S48" s="1495" t="str">
        <f>$J48</f>
        <v>....1</v>
      </c>
      <c r="T48" s="440" t="s">
        <v>407</v>
      </c>
      <c r="U48" s="454"/>
      <c r="V48" s="2308"/>
      <c r="W48" s="2309"/>
      <c r="X48" s="2309"/>
      <c r="Y48" s="2309"/>
      <c r="Z48" s="2309"/>
      <c r="AA48" s="2309"/>
      <c r="AB48" s="2309"/>
      <c r="AC48" s="2310"/>
      <c r="AD48" s="2308"/>
      <c r="AE48" s="2309"/>
      <c r="AF48" s="2309"/>
      <c r="AG48" s="2309"/>
      <c r="AH48" s="2309"/>
      <c r="AI48" s="2309"/>
      <c r="AJ48" s="2309"/>
      <c r="AK48" s="2309"/>
      <c r="AL48" s="2310"/>
      <c r="AM48" s="1416" t="s">
        <v>408</v>
      </c>
      <c r="AO48" s="654"/>
      <c r="AP48" s="654" t="str">
        <f>IF(T48="","",T48)</f>
        <v>Группа потребителей</v>
      </c>
      <c r="AQ48" s="654"/>
      <c r="AR48" s="654"/>
    </row>
    <row customHeight="1" ht="21">
      <c r="A49" s="1522" t="s">
        <v>177</v>
      </c>
      <c r="B49" s="1522" t="s">
        <v>178</v>
      </c>
      <c r="C49" s="1522" t="s">
        <v>179</v>
      </c>
      <c r="D49" s="1522" t="s">
        <v>180</v>
      </c>
      <c r="E49" s="2321"/>
      <c r="F49" s="2321"/>
      <c r="G49" s="2321"/>
      <c r="H49" s="2321"/>
      <c r="I49" s="2323"/>
      <c r="J49" s="2323"/>
      <c r="K49" s="2322" t="str">
        <f>J48&amp;".1"</f>
        <v>....1.1</v>
      </c>
      <c r="L49" s="1523" t="s">
        <v>409</v>
      </c>
      <c r="P49" s="2324"/>
      <c r="Q49" s="2324"/>
      <c r="R49" s="511">
        <v>1</v>
      </c>
      <c r="S49" s="1495" t="str">
        <f>$K49</f>
        <v>....1.1</v>
      </c>
      <c r="T49" s="1506"/>
      <c r="U49" s="454"/>
      <c r="V49" s="905"/>
      <c r="W49" s="479"/>
      <c r="X49" s="905"/>
      <c r="Y49" s="1415"/>
      <c r="Z49" s="2325"/>
      <c r="AA49" s="2195" t="s">
        <v>64</v>
      </c>
      <c r="AB49" s="2325"/>
      <c r="AC49" s="2195" t="s">
        <v>64</v>
      </c>
      <c r="AD49" s="905"/>
      <c r="AE49" s="479"/>
      <c r="AF49" s="905"/>
      <c r="AG49" s="1415"/>
      <c r="AH49" s="2325"/>
      <c r="AI49" s="2195" t="s">
        <v>64</v>
      </c>
      <c r="AJ49" s="2327"/>
      <c r="AK49" s="2195" t="s">
        <v>64</v>
      </c>
      <c r="AL49" s="1507"/>
      <c r="AM49" s="2350" t="s">
        <v>448</v>
      </c>
      <c r="AN49" s="665">
        <f>STRCHECKDATE(V50:AL50)</f>
      </c>
      <c r="AO49" s="654"/>
      <c r="AP49" s="654" t="str">
        <f>IF(T49="","",T49)</f>
        <v/>
      </c>
      <c r="AQ49" s="654"/>
      <c r="AR49" s="654"/>
    </row>
    <row customHeight="1" ht="0.75">
      <c r="A50" s="1522" t="s">
        <v>177</v>
      </c>
      <c r="B50" s="1522" t="s">
        <v>178</v>
      </c>
      <c r="C50" s="1522" t="s">
        <v>179</v>
      </c>
      <c r="D50" s="1522" t="s">
        <v>180</v>
      </c>
      <c r="E50" s="2321"/>
      <c r="F50" s="2321"/>
      <c r="G50" s="2321"/>
      <c r="H50" s="2321"/>
      <c r="I50" s="2323"/>
      <c r="J50" s="2323"/>
      <c r="K50" s="2322"/>
      <c r="L50" s="1523"/>
      <c r="P50" s="2324"/>
      <c r="Q50" s="2324"/>
      <c r="R50" s="511"/>
      <c r="S50" s="1501"/>
      <c r="T50" s="454"/>
      <c r="U50" s="454"/>
      <c r="V50" s="479"/>
      <c r="W50" s="479"/>
      <c r="X50" s="479"/>
      <c r="Y50" s="482" t="str">
        <f>Z49&amp;"-"&amp;AB49</f>
        <v>-</v>
      </c>
      <c r="Z50" s="2326"/>
      <c r="AA50" s="2195"/>
      <c r="AB50" s="2326"/>
      <c r="AC50" s="2195"/>
      <c r="AD50" s="479"/>
      <c r="AE50" s="479"/>
      <c r="AF50" s="479"/>
      <c r="AG50" s="482" t="str">
        <f>AH49&amp;"-"&amp;AJ49</f>
        <v>-</v>
      </c>
      <c r="AH50" s="2326"/>
      <c r="AI50" s="2195"/>
      <c r="AJ50" s="2328"/>
      <c r="AK50" s="2195"/>
      <c r="AL50" s="1508"/>
      <c r="AM50" s="2351"/>
      <c r="AO50" s="654"/>
      <c r="AP50" s="654" t="str">
        <f>IF(T50="","",T50)</f>
        <v/>
      </c>
      <c r="AQ50" s="654"/>
      <c r="AR50" s="654"/>
    </row>
    <row customHeight="1" ht="11.25">
      <c r="A51" s="1522" t="s">
        <v>177</v>
      </c>
      <c r="B51" s="1522" t="s">
        <v>178</v>
      </c>
      <c r="C51" s="1522" t="s">
        <v>179</v>
      </c>
      <c r="D51" s="1522" t="s">
        <v>180</v>
      </c>
      <c r="E51" s="2321"/>
      <c r="F51" s="2321"/>
      <c r="G51" s="2321"/>
      <c r="H51" s="2321"/>
      <c r="I51" s="2323"/>
      <c r="J51" s="2322"/>
      <c r="K51" s="1522"/>
      <c r="L51" s="1523"/>
      <c r="P51" s="2324"/>
      <c r="Q51" s="2324"/>
      <c r="R51" s="510"/>
      <c r="S51" s="1437"/>
      <c r="T51" s="441" t="s">
        <v>411</v>
      </c>
      <c r="U51" s="521"/>
      <c r="V51" s="521"/>
      <c r="W51" s="521"/>
      <c r="X51" s="521"/>
      <c r="Y51" s="521"/>
      <c r="Z51" s="521"/>
      <c r="AA51" s="521"/>
      <c r="AB51" s="521"/>
      <c r="AC51" s="521"/>
      <c r="AD51" s="521"/>
      <c r="AE51" s="521"/>
      <c r="AF51" s="521"/>
      <c r="AG51" s="521"/>
      <c r="AH51" s="521"/>
      <c r="AI51" s="521"/>
      <c r="AJ51" s="521"/>
      <c r="AK51" s="521"/>
      <c r="AL51" s="478"/>
      <c r="AM51" s="2352"/>
      <c r="AO51" s="654"/>
      <c r="AP51" s="654" t="str">
        <f>IF(T51="","",T51)</f>
        <v>Добавить вид теплоносителя (параметры теплоносителя)</v>
      </c>
      <c r="AQ51" s="654"/>
      <c r="AR51" s="654"/>
    </row>
    <row customHeight="1" ht="11.25">
      <c r="A52" s="1522" t="s">
        <v>177</v>
      </c>
      <c r="B52" s="1522" t="s">
        <v>178</v>
      </c>
      <c r="C52" s="1522" t="s">
        <v>179</v>
      </c>
      <c r="D52" s="1522" t="s">
        <v>180</v>
      </c>
      <c r="E52" s="2321"/>
      <c r="F52" s="2321"/>
      <c r="G52" s="2321"/>
      <c r="H52" s="2321"/>
      <c r="I52" s="2322"/>
      <c r="J52" s="1522"/>
      <c r="K52" s="1522"/>
      <c r="L52" s="1523"/>
      <c r="P52" s="2324"/>
      <c r="Q52" s="1490"/>
      <c r="R52" s="510"/>
      <c r="S52" s="1437"/>
      <c r="T52" s="519" t="s">
        <v>412</v>
      </c>
      <c r="U52" s="521"/>
      <c r="V52" s="521"/>
      <c r="W52" s="521"/>
      <c r="X52" s="521"/>
      <c r="Y52" s="521"/>
      <c r="Z52" s="521"/>
      <c r="AA52" s="521"/>
      <c r="AB52" s="521"/>
      <c r="AC52" s="520"/>
      <c r="AD52" s="521"/>
      <c r="AE52" s="521"/>
      <c r="AF52" s="521"/>
      <c r="AG52" s="521"/>
      <c r="AH52" s="521"/>
      <c r="AI52" s="521"/>
      <c r="AJ52" s="521"/>
      <c r="AK52" s="520"/>
      <c r="AL52" s="521"/>
      <c r="AM52" s="457"/>
      <c r="AO52" s="654"/>
      <c r="AP52" s="654" t="str">
        <f>IF(T52="","",T52)</f>
        <v>Добавить группу потребителей</v>
      </c>
      <c r="AQ52" s="654"/>
      <c r="AR52" s="654"/>
    </row>
    <row customHeight="1" ht="0">
      <c r="A53" s="1522" t="s">
        <v>177</v>
      </c>
      <c r="B53" s="1522" t="s">
        <v>178</v>
      </c>
      <c r="C53" s="1522" t="s">
        <v>179</v>
      </c>
      <c r="D53" s="1522" t="s">
        <v>180</v>
      </c>
      <c r="E53" s="2321"/>
      <c r="F53" s="2321"/>
      <c r="G53" s="2321"/>
      <c r="H53" s="2320"/>
      <c r="I53" s="1522"/>
      <c r="J53" s="1522"/>
      <c r="K53" s="1522"/>
      <c r="L53" s="1523"/>
      <c r="M53" s="1524"/>
      <c r="N53" s="1524"/>
      <c r="O53" s="691"/>
      <c r="P53" s="514"/>
      <c r="Q53" s="529"/>
      <c r="R53" s="509"/>
      <c r="S53" s="1545"/>
      <c r="T53" s="1546"/>
      <c r="U53" s="1547"/>
      <c r="V53" s="1547"/>
      <c r="W53" s="1547"/>
      <c r="X53" s="1547"/>
      <c r="Y53" s="1547"/>
      <c r="Z53" s="1547"/>
      <c r="AA53" s="1547"/>
      <c r="AB53" s="1547"/>
      <c r="AC53" s="1547"/>
      <c r="AD53" s="1547"/>
      <c r="AE53" s="1547"/>
      <c r="AF53" s="1547"/>
      <c r="AG53" s="1547"/>
      <c r="AH53" s="1547"/>
      <c r="AI53" s="1547"/>
      <c r="AJ53" s="1547"/>
      <c r="AK53" s="1547"/>
      <c r="AL53" s="1547"/>
      <c r="AM53" s="1548"/>
      <c r="AO53" s="654"/>
      <c r="AP53" s="654" t="str">
        <f>IF(T53="","",T53)</f>
        <v/>
      </c>
      <c r="AQ53" s="654"/>
      <c r="AR53" s="654"/>
    </row>
    <row s="8702" customFormat="1" customHeight="1" ht="0.75">
      <c r="A54" s="1502" t="s">
        <v>177</v>
      </c>
      <c r="B54" s="1502" t="s">
        <v>178</v>
      </c>
      <c r="C54" s="1502" t="s">
        <v>179</v>
      </c>
      <c r="D54" s="1473"/>
      <c r="E54" s="2321"/>
      <c r="F54" s="2321"/>
      <c r="G54" s="2320"/>
      <c r="H54" s="1473"/>
      <c r="I54" s="1473"/>
      <c r="J54" s="1473"/>
      <c r="K54" s="1473"/>
      <c r="L54" s="1498"/>
      <c r="M54" s="1474"/>
      <c r="N54" s="1474"/>
      <c r="P54" s="1475"/>
      <c r="Q54" s="1476"/>
      <c r="R54" s="1475"/>
      <c r="S54" s="1481"/>
      <c r="T54" s="1484" t="s">
        <v>414</v>
      </c>
      <c r="U54" s="1483"/>
      <c r="V54" s="1483"/>
      <c r="W54" s="1483"/>
      <c r="X54" s="1483"/>
      <c r="Y54" s="1483"/>
      <c r="Z54" s="1483"/>
      <c r="AA54" s="1483"/>
      <c r="AB54" s="1483"/>
      <c r="AC54" s="1483"/>
      <c r="AD54" s="1483"/>
      <c r="AE54" s="1483"/>
      <c r="AF54" s="1483"/>
      <c r="AG54" s="1483"/>
      <c r="AH54" s="1483"/>
      <c r="AI54" s="1483"/>
      <c r="AJ54" s="1483"/>
      <c r="AK54" s="1483"/>
      <c r="AL54" s="1483"/>
      <c r="AM54" s="1483"/>
      <c r="AO54" s="943"/>
      <c r="AP54" s="943" t="str">
        <f>IF(T54="","",T54)</f>
        <v>Добавить источник для дифференциации</v>
      </c>
      <c r="AQ54" s="943"/>
      <c r="AR54" s="943"/>
    </row>
    <row s="8702" customFormat="1" customHeight="1" ht="0.75">
      <c r="A55" s="1502" t="s">
        <v>177</v>
      </c>
      <c r="B55" s="1502" t="s">
        <v>178</v>
      </c>
      <c r="C55" s="1473"/>
      <c r="D55" s="1473"/>
      <c r="E55" s="2321"/>
      <c r="F55" s="2320"/>
      <c r="G55" s="1473"/>
      <c r="H55" s="1473"/>
      <c r="I55" s="1473"/>
      <c r="J55" s="1473"/>
      <c r="K55" s="1473"/>
      <c r="L55" s="1498"/>
      <c r="M55" s="1480"/>
      <c r="N55" s="1480"/>
      <c r="P55" s="1475"/>
      <c r="Q55" s="1476"/>
      <c r="R55" s="1475"/>
      <c r="S55" s="1481"/>
      <c r="T55" s="1484" t="s">
        <v>251</v>
      </c>
      <c r="U55" s="1483"/>
      <c r="V55" s="1483"/>
      <c r="W55" s="1483"/>
      <c r="X55" s="1483"/>
      <c r="Y55" s="1483"/>
      <c r="Z55" s="1483"/>
      <c r="AA55" s="1483"/>
      <c r="AB55" s="1483"/>
      <c r="AC55" s="1483"/>
      <c r="AD55" s="1483"/>
      <c r="AE55" s="1483"/>
      <c r="AF55" s="1483"/>
      <c r="AG55" s="1483"/>
      <c r="AH55" s="1483"/>
      <c r="AI55" s="1483"/>
      <c r="AJ55" s="1483"/>
      <c r="AK55" s="1483"/>
      <c r="AL55" s="1483"/>
      <c r="AM55" s="1483"/>
      <c r="AO55" s="943"/>
      <c r="AP55" s="943" t="str">
        <f>IF(T55="","",T55)</f>
        <v>Добавить централизованную систему для дифференциации</v>
      </c>
      <c r="AQ55" s="943"/>
      <c r="AR55" s="943"/>
    </row>
    <row s="8794" customFormat="1" customHeight="1" ht="0.75">
      <c r="A56" s="1502" t="s">
        <v>177</v>
      </c>
      <c r="B56" s="1502"/>
      <c r="C56" s="1502"/>
      <c r="D56" s="1502"/>
      <c r="E56" s="2320"/>
      <c r="F56" s="1502"/>
      <c r="G56" s="1502"/>
      <c r="H56" s="1502"/>
      <c r="I56" s="1502"/>
      <c r="J56" s="1502"/>
      <c r="K56" s="1502"/>
      <c r="L56" s="1505"/>
      <c r="M56" s="1480"/>
      <c r="N56" s="1480"/>
      <c r="O56" s="672"/>
      <c r="P56" s="534"/>
      <c r="Q56" s="1503"/>
      <c r="R56" s="534"/>
      <c r="S56" s="1481"/>
      <c r="T56" s="1484" t="s">
        <v>252</v>
      </c>
      <c r="U56" s="1483"/>
      <c r="V56" s="1483"/>
      <c r="W56" s="1483"/>
      <c r="X56" s="1483"/>
      <c r="Y56" s="1483"/>
      <c r="Z56" s="1483"/>
      <c r="AA56" s="1483"/>
      <c r="AB56" s="1483"/>
      <c r="AC56" s="1483"/>
      <c r="AD56" s="1483"/>
      <c r="AE56" s="1483"/>
      <c r="AF56" s="1483"/>
      <c r="AG56" s="1483"/>
      <c r="AH56" s="1483"/>
      <c r="AI56" s="1483"/>
      <c r="AJ56" s="1483"/>
      <c r="AK56" s="1483"/>
      <c r="AL56" s="1483"/>
      <c r="AM56" s="1483"/>
      <c r="AO56" s="654"/>
      <c r="AP56" s="654" t="str">
        <f>IF(T56="","",T56)</f>
        <v>Добавить территорию для дифференциации</v>
      </c>
      <c r="AQ56" s="654"/>
      <c r="AR56" s="654"/>
    </row>
    <row s="8702" customFormat="1" customHeight="1" ht="0.75">
      <c r="A57" s="1473"/>
      <c r="B57" s="1473"/>
      <c r="C57" s="1473"/>
      <c r="D57" s="1473"/>
      <c r="E57" s="1502"/>
      <c r="F57" s="1473"/>
      <c r="G57" s="1473"/>
      <c r="H57" s="1473"/>
      <c r="I57" s="1473"/>
      <c r="J57" s="1473"/>
      <c r="K57" s="1473"/>
      <c r="L57" s="1498"/>
      <c r="M57" s="1480"/>
      <c r="N57" s="1480"/>
      <c r="P57" s="1475"/>
      <c r="Q57" s="1476"/>
      <c r="R57" s="1475"/>
      <c r="S57" s="1481"/>
      <c r="T57" s="1484" t="s">
        <v>253</v>
      </c>
      <c r="U57" s="1483"/>
      <c r="V57" s="1483"/>
      <c r="W57" s="1483"/>
      <c r="X57" s="1483"/>
      <c r="Y57" s="1483"/>
      <c r="Z57" s="1483"/>
      <c r="AA57" s="1483"/>
      <c r="AB57" s="1483"/>
      <c r="AC57" s="1483"/>
      <c r="AD57" s="1483"/>
      <c r="AE57" s="1483"/>
      <c r="AF57" s="1483"/>
      <c r="AG57" s="1483"/>
      <c r="AH57" s="1483"/>
      <c r="AI57" s="1483"/>
      <c r="AJ57" s="1483"/>
      <c r="AK57" s="1483"/>
      <c r="AL57" s="1483"/>
      <c r="AM57" s="1483"/>
      <c r="AO57" s="943"/>
      <c r="AP57" s="943" t="str">
        <f>IF(T57="","",T57)</f>
        <v>Добавить наименование тарифа</v>
      </c>
      <c r="AQ57" s="943"/>
      <c r="AR57" s="943"/>
    </row>
    <row customHeight="1" ht="11.25">
      <c r="M58" s="1316"/>
      <c r="N58" s="1316"/>
      <c r="O58" s="691"/>
      <c r="P58" s="1311"/>
      <c r="Q58" s="1311"/>
      <c r="R58" s="1311"/>
      <c r="S58" s="1311"/>
      <c r="AN58" s="1311"/>
      <c r="AO58" s="1311"/>
      <c r="AP58" s="1311"/>
      <c r="AQ58" s="1311"/>
      <c r="AR58" s="1311"/>
    </row>
    <row customHeight="1" ht="21.75">
      <c r="O59" s="691"/>
      <c r="S59" s="1411"/>
      <c r="T59" s="2319"/>
      <c r="U59" s="2319"/>
      <c r="V59" s="2319"/>
      <c r="W59" s="2319"/>
      <c r="X59" s="2319"/>
      <c r="Y59" s="2319"/>
      <c r="Z59" s="2319"/>
      <c r="AA59" s="2319"/>
      <c r="AB59" s="2319"/>
      <c r="AC59" s="2319"/>
      <c r="AD59" s="2319"/>
      <c r="AE59" s="2319"/>
      <c r="AF59" s="2319"/>
      <c r="AG59" s="2319"/>
      <c r="AH59" s="2319"/>
      <c r="AI59" s="2319"/>
      <c r="AJ59" s="2319"/>
      <c r="AK59" s="2319"/>
      <c r="AL59" s="2319"/>
      <c r="AM59" s="2319"/>
    </row>
    <row customHeight="1" ht="29.25">
      <c r="O60" s="691"/>
      <c r="T60" s="2319"/>
      <c r="U60" s="2319"/>
      <c r="V60" s="2319"/>
      <c r="W60" s="2319"/>
      <c r="X60" s="2319"/>
      <c r="Y60" s="2319"/>
      <c r="Z60" s="2319"/>
      <c r="AA60" s="2319"/>
      <c r="AB60" s="2319"/>
      <c r="AC60" s="2319"/>
      <c r="AD60" s="2319"/>
      <c r="AE60" s="2319"/>
      <c r="AF60" s="2319"/>
      <c r="AG60" s="2319"/>
      <c r="AH60" s="2319"/>
      <c r="AI60" s="2319"/>
      <c r="AJ60" s="2319"/>
      <c r="AK60" s="2319"/>
      <c r="AL60" s="2319"/>
      <c r="AM60" s="2319"/>
    </row>
    <row customHeight="1" ht="39.75">
      <c r="O61" s="691"/>
      <c r="T61" s="2319"/>
      <c r="U61" s="2319"/>
      <c r="V61" s="2319"/>
      <c r="W61" s="2319"/>
      <c r="X61" s="2319"/>
      <c r="Y61" s="2319"/>
      <c r="Z61" s="2319"/>
      <c r="AA61" s="2319"/>
      <c r="AB61" s="2319"/>
      <c r="AC61" s="2319"/>
      <c r="AD61" s="2319"/>
      <c r="AE61" s="2319"/>
      <c r="AF61" s="2319"/>
      <c r="AG61" s="2319"/>
      <c r="AH61" s="2319"/>
      <c r="AI61" s="2319"/>
      <c r="AJ61" s="2319"/>
      <c r="AK61" s="2319"/>
      <c r="AL61" s="2319"/>
      <c r="AM61" s="2319"/>
    </row>
    <row customHeight="1" ht="14.25">
      <c r="O62" s="691"/>
    </row>
    <row customHeight="1" ht="19.5">
      <c r="O63" s="691"/>
      <c r="S63" s="1411"/>
      <c r="T63" s="2365"/>
      <c r="U63" s="2319"/>
      <c r="V63" s="2319"/>
      <c r="W63" s="2319"/>
      <c r="X63" s="2319"/>
      <c r="Y63" s="2319"/>
      <c r="Z63" s="2319"/>
      <c r="AA63" s="2319"/>
      <c r="AB63" s="2319"/>
      <c r="AC63" s="2319"/>
      <c r="AD63" s="2319"/>
      <c r="AE63" s="2319"/>
      <c r="AF63" s="2319"/>
      <c r="AG63" s="2319"/>
      <c r="AH63" s="2319"/>
      <c r="AI63" s="2319"/>
      <c r="AJ63" s="2319"/>
      <c r="AK63" s="2319"/>
      <c r="AL63" s="2319"/>
      <c r="AM63" s="2319"/>
    </row>
    <row customHeight="1" ht="27.75">
      <c r="O64" s="691"/>
      <c r="T64" s="2319"/>
      <c r="U64" s="2319"/>
      <c r="V64" s="2319"/>
      <c r="W64" s="2319"/>
      <c r="X64" s="2319"/>
      <c r="Y64" s="2319"/>
      <c r="Z64" s="2319"/>
      <c r="AA64" s="2319"/>
      <c r="AB64" s="2319"/>
      <c r="AC64" s="2319"/>
      <c r="AD64" s="2319"/>
      <c r="AE64" s="2319"/>
      <c r="AF64" s="2319"/>
      <c r="AG64" s="2319"/>
      <c r="AH64" s="2319"/>
      <c r="AI64" s="2319"/>
      <c r="AJ64" s="2319"/>
      <c r="AK64" s="2319"/>
      <c r="AL64" s="2319"/>
      <c r="AM64" s="2319"/>
    </row>
    <row customHeight="1" ht="33.75">
      <c r="T65" s="2319"/>
      <c r="U65" s="2319"/>
      <c r="V65" s="2319"/>
      <c r="W65" s="2319"/>
      <c r="X65" s="2319"/>
      <c r="Y65" s="2319"/>
      <c r="Z65" s="2319"/>
      <c r="AA65" s="2319"/>
      <c r="AB65" s="2319"/>
      <c r="AC65" s="2319"/>
      <c r="AD65" s="2319"/>
      <c r="AE65" s="2319"/>
      <c r="AF65" s="2319"/>
      <c r="AG65" s="2319"/>
      <c r="AH65" s="2319"/>
      <c r="AI65" s="2319"/>
      <c r="AJ65" s="2319"/>
      <c r="AK65" s="2319"/>
      <c r="AL65" s="2319"/>
      <c r="AM65" s="2319"/>
    </row>
  </sheetData>
  <sheetProtection formatColumns="0" formatRows="0" autoFilter="0" sort="0" insertRows="0" insertColumns="1" deleteRows="0" deleteColumns="0"/>
  <mergeCells count="113">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S30:T30"/>
    <mergeCell ref="V30:AB30"/>
    <mergeCell ref="AD30:AJ30"/>
    <mergeCell ref="S31:T31"/>
    <mergeCell ref="V31:AB31"/>
    <mergeCell ref="AD31:AJ31"/>
    <mergeCell ref="S26:AJ26"/>
    <mergeCell ref="S27:AJ27"/>
    <mergeCell ref="S29:T29"/>
    <mergeCell ref="V29:AB29"/>
    <mergeCell ref="AD29:AJ29"/>
    <mergeCell ref="S32:T32"/>
    <mergeCell ref="V32:AB32"/>
    <mergeCell ref="AD32:AJ32"/>
    <mergeCell ref="V37:AC37"/>
    <mergeCell ref="AD37:AK37"/>
    <mergeCell ref="S34:T34"/>
    <mergeCell ref="V34:AB34"/>
    <mergeCell ref="AD34:AJ34"/>
    <mergeCell ref="S35:T35"/>
    <mergeCell ref="V35:AB35"/>
    <mergeCell ref="AD35:AJ35"/>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T63:AM63"/>
    <mergeCell ref="T64:AM64"/>
    <mergeCell ref="T65:AM65"/>
    <mergeCell ref="AM49:AM51"/>
    <mergeCell ref="T59:AM59"/>
    <mergeCell ref="T60:AM60"/>
    <mergeCell ref="T61:AM61"/>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49 AK524337 AK8 AK589873 AK655409 AK17 AK720945 AK786481 AK852017 AK917553 AK983089 AK65585 AK131121 AK458801 AK196657 AI49 AK262193 AI8 AC8 AA8 AI17 AK327729 AA49 AC49 AK393265"/>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24D91AA-1702-30A9-B591-511E0D630BF9}" mc:Ignorable="x14ac xr xr2 xr3">
  <sheetPr>
    <tabColor theme="6" tint="0.4"/>
  </sheetPr>
  <dimension ref="A1:AR65"/>
  <sheetViews>
    <sheetView topLeftCell="A1" showGridLines="0" zoomScale="90" workbookViewId="0">
      <selection activeCell="A1" sqref="A1"/>
    </sheetView>
  </sheetViews>
  <sheetFormatPr defaultColWidth="10.57421875" customHeight="1" defaultRowHeight="14.25"/>
  <cols>
    <col min="1" max="1" style="8721" width="10.57421875" hidden="1"/>
    <col min="2" max="2" style="8721" width="11.00390625" hidden="1" customWidth="1"/>
    <col min="3" max="3" style="8721" width="10.57421875" hidden="1"/>
    <col min="4" max="4" style="8721" width="11.8515625" hidden="1" customWidth="1"/>
    <col min="5" max="5" style="8721" width="10.00390625" hidden="1" customWidth="1"/>
    <col min="6" max="6" style="8721" width="8.7109375" hidden="1" customWidth="1"/>
    <col min="7" max="7" style="8721" width="7.57421875" hidden="1" customWidth="1"/>
    <col min="8" max="8" style="8721" width="11.421875" hidden="1" customWidth="1"/>
    <col min="9" max="9" style="8721" width="12.00390625" hidden="1" customWidth="1"/>
    <col min="10" max="10" style="8721" width="9.8515625" hidden="1" customWidth="1"/>
    <col min="11" max="11" style="8721" width="11.421875" hidden="1" customWidth="1"/>
    <col min="12" max="12" style="8802" width="19.140625" hidden="1" customWidth="1"/>
    <col min="13" max="14" style="8803" width="12.28125" hidden="1" customWidth="1"/>
    <col min="15" max="15" style="8803" width="23.421875" hidden="1" customWidth="1"/>
    <col min="16" max="16" style="8815" width="3.7109375" hidden="1" customWidth="1"/>
    <col min="17" max="18" style="8805" width="3.7109375" customWidth="1"/>
    <col min="19" max="19" style="8806" width="12.7109375" customWidth="1"/>
    <col min="20" max="20" style="8807" width="32.00390625" customWidth="1"/>
    <col min="21" max="21" style="8807" width="0.140625" customWidth="1"/>
    <col min="22" max="22" style="8807" width="24.7109375" hidden="1" customWidth="1"/>
    <col min="23" max="23" style="8807" width="0.140625" hidden="1" customWidth="1"/>
    <col min="24" max="25" style="8807" width="24.7109375" hidden="1" customWidth="1"/>
    <col min="26" max="26" style="8807" width="11.7109375" hidden="1" customWidth="1"/>
    <col min="27" max="27" style="8807" width="3.7109375" hidden="1" customWidth="1"/>
    <col min="28" max="28" style="8807" width="11.7109375" hidden="1" customWidth="1"/>
    <col min="29" max="29" style="8807" width="8.57421875" hidden="1" customWidth="1"/>
    <col min="30" max="30" style="8807" width="24.7109375" customWidth="1"/>
    <col min="31" max="31" style="8807" width="0.140625" customWidth="1"/>
    <col min="32" max="33" style="8807" width="24.7109375" customWidth="1"/>
    <col min="34" max="34" style="8807" width="11.7109375" customWidth="1"/>
    <col min="35" max="35" style="8807" width="3.7109375" customWidth="1"/>
    <col min="36" max="36" style="8807" width="11.7109375" customWidth="1"/>
    <col min="37" max="37" style="8807" width="8.57421875" hidden="1" customWidth="1"/>
    <col min="38" max="38" style="8807" width="4.7109375" customWidth="1"/>
    <col min="39" max="39" style="8807" width="115.7109375" customWidth="1"/>
    <col min="40" max="41" style="8794" width="10.57421875"/>
    <col min="42" max="42" style="8794" width="11.140625" customWidth="1"/>
    <col min="43" max="44" style="8794" width="10.57421875"/>
  </cols>
  <sheetData>
    <row customHeight="1" ht="14.25" hidden="1">
      <c r="Y1" s="481"/>
      <c r="Z1" s="481"/>
      <c r="AG1" s="481"/>
      <c r="AH1" s="481"/>
    </row>
    <row customHeight="1" ht="21" hidden="1">
      <c r="A2" s="1522"/>
      <c r="B2" s="1522"/>
      <c r="C2" s="1522"/>
      <c r="D2" s="1522"/>
      <c r="E2" s="2320">
        <v>1</v>
      </c>
      <c r="F2" s="1522"/>
      <c r="G2" s="1522"/>
      <c r="H2" s="1522"/>
      <c r="I2" s="1522"/>
      <c r="J2" s="1522"/>
      <c r="K2" s="1522"/>
      <c r="L2" s="1523"/>
      <c r="M2" s="1524"/>
      <c r="N2" s="1524"/>
      <c r="O2" s="1524"/>
      <c r="P2" s="515"/>
      <c r="Q2" s="514"/>
      <c r="R2" s="509"/>
      <c r="S2" s="1495">
        <f>INDEX(PT_DIFFERENTIATION_NUM_NTAR,MATCH(A2,PT_DIFFERENTIATION_NTAR_ID,0))</f>
      </c>
      <c r="T2" s="452" t="s">
        <v>120</v>
      </c>
      <c r="U2" s="454"/>
      <c r="V2" s="2314"/>
      <c r="W2" s="2315"/>
      <c r="X2" s="2315"/>
      <c r="Y2" s="2315"/>
      <c r="Z2" s="2315"/>
      <c r="AA2" s="2315"/>
      <c r="AB2" s="2315"/>
      <c r="AC2" s="2316"/>
      <c r="AD2" s="2314">
        <f>INDEX(PT_DIFFERENTIATION_NTAR,MATCH(A2,PT_DIFFERENTIATION_NTAR_ID,0))</f>
      </c>
      <c r="AE2" s="2315"/>
      <c r="AF2" s="2315"/>
      <c r="AG2" s="2315"/>
      <c r="AH2" s="2315"/>
      <c r="AI2" s="2315"/>
      <c r="AJ2" s="2315"/>
      <c r="AK2" s="2315"/>
      <c r="AL2" s="2316"/>
      <c r="AM2" s="1416" t="s">
        <v>396</v>
      </c>
      <c r="AO2" s="654"/>
      <c r="AP2" s="654" t="str">
        <f>IF(T2="","",T2)</f>
        <v>Наименование тарифа</v>
      </c>
      <c r="AQ2" s="654"/>
      <c r="AR2" s="654"/>
    </row>
    <row customHeight="1" ht="21" hidden="1">
      <c r="A3" s="1522"/>
      <c r="B3" s="1522"/>
      <c r="C3" s="1522"/>
      <c r="D3" s="1522"/>
      <c r="E3" s="2321"/>
      <c r="F3" s="2320">
        <v>1</v>
      </c>
      <c r="G3" s="1522"/>
      <c r="H3" s="1522"/>
      <c r="I3" s="1522"/>
      <c r="J3" s="1522"/>
      <c r="K3" s="1522"/>
      <c r="L3" s="1523"/>
      <c r="M3" s="1524"/>
      <c r="N3" s="1524"/>
      <c r="O3" s="1524"/>
      <c r="P3" s="1491"/>
      <c r="Q3" s="506"/>
      <c r="R3" s="507"/>
      <c r="S3" s="1495">
        <f>INDEX(PT_DIFFERENTIATION_NUM_TER,MATCH(B3,PT_DIFFERENTIATION_TER_ID,0))</f>
      </c>
      <c r="T3" s="462" t="s">
        <v>397</v>
      </c>
      <c r="U3" s="454"/>
      <c r="V3" s="2314"/>
      <c r="W3" s="2315"/>
      <c r="X3" s="2315"/>
      <c r="Y3" s="2315"/>
      <c r="Z3" s="2315"/>
      <c r="AA3" s="2315"/>
      <c r="AB3" s="2315"/>
      <c r="AC3" s="2316"/>
      <c r="AD3" s="2314">
        <f>INDEX(PT_DIFFERENTIATION_TER,MATCH(B3,PT_DIFFERENTIATION_TER_ID,0))</f>
      </c>
      <c r="AE3" s="2315"/>
      <c r="AF3" s="2315"/>
      <c r="AG3" s="2315"/>
      <c r="AH3" s="2315"/>
      <c r="AI3" s="2315"/>
      <c r="AJ3" s="2315"/>
      <c r="AK3" s="2315"/>
      <c r="AL3" s="2316"/>
      <c r="AM3" s="1416" t="s">
        <v>398</v>
      </c>
      <c r="AO3" s="654"/>
      <c r="AP3" s="654" t="str">
        <f>IF(T3="","",T3)</f>
        <v>Территория действия тарифа</v>
      </c>
      <c r="AQ3" s="654"/>
      <c r="AR3" s="654"/>
    </row>
    <row customHeight="1" ht="23.25" hidden="1">
      <c r="A4" s="1522"/>
      <c r="B4" s="1522"/>
      <c r="C4" s="1522"/>
      <c r="D4" s="1522"/>
      <c r="E4" s="2321"/>
      <c r="F4" s="2321"/>
      <c r="G4" s="2320">
        <v>1</v>
      </c>
      <c r="H4" s="1522"/>
      <c r="I4" s="1522"/>
      <c r="J4" s="1522"/>
      <c r="K4" s="1522"/>
      <c r="L4" s="1523"/>
      <c r="M4" s="1524"/>
      <c r="N4" s="1524"/>
      <c r="O4" s="1524"/>
      <c r="P4" s="508"/>
      <c r="Q4" s="506"/>
      <c r="R4" s="507"/>
      <c r="S4" s="1495">
        <f>INDEX(PT_DIFFERENTIATION_NUM_CS,MATCH(C4,PT_DIFFERENTIATION_CS_ID,0))</f>
      </c>
      <c r="T4" s="463" t="s">
        <v>399</v>
      </c>
      <c r="U4" s="454"/>
      <c r="V4" s="2314"/>
      <c r="W4" s="2315"/>
      <c r="X4" s="2315"/>
      <c r="Y4" s="2315"/>
      <c r="Z4" s="2315"/>
      <c r="AA4" s="2315"/>
      <c r="AB4" s="2315"/>
      <c r="AC4" s="2316"/>
      <c r="AD4" s="2314">
        <f>INDEX(PT_DIFFERENTIATION_CS,MATCH(C4,PT_DIFFERENTIATION_CS_ID,0))</f>
      </c>
      <c r="AE4" s="2315"/>
      <c r="AF4" s="2315"/>
      <c r="AG4" s="2315"/>
      <c r="AH4" s="2315"/>
      <c r="AI4" s="2315"/>
      <c r="AJ4" s="2315"/>
      <c r="AK4" s="2315"/>
      <c r="AL4" s="2316"/>
      <c r="AM4" s="1416" t="s">
        <v>400</v>
      </c>
      <c r="AO4" s="654"/>
      <c r="AP4" s="654" t="str">
        <f>IF(T4="","",T4)</f>
        <v>Наименование системы теплоснабжения </v>
      </c>
      <c r="AQ4" s="654"/>
      <c r="AR4" s="654"/>
    </row>
    <row customHeight="1" ht="21" hidden="1">
      <c r="A5" s="1522"/>
      <c r="B5" s="1522"/>
      <c r="C5" s="1522"/>
      <c r="D5" s="1522"/>
      <c r="E5" s="2321"/>
      <c r="F5" s="2321"/>
      <c r="G5" s="2321"/>
      <c r="H5" s="2320">
        <v>1</v>
      </c>
      <c r="I5" s="1522"/>
      <c r="J5" s="1522"/>
      <c r="K5" s="1522"/>
      <c r="L5" s="1523"/>
      <c r="M5" s="1524"/>
      <c r="N5" s="1524"/>
      <c r="O5" s="1524"/>
      <c r="P5" s="508"/>
      <c r="Q5" s="506"/>
      <c r="R5" s="507"/>
      <c r="S5" s="1495">
        <f>INDEX(PT_DIFFERENTIATION_NUM_IST_TE,MATCH(D5,PT_DIFFERENTIATION_IST_TE_ID,0))</f>
      </c>
      <c r="T5" s="464" t="s">
        <v>401</v>
      </c>
      <c r="U5" s="454"/>
      <c r="V5" s="2314"/>
      <c r="W5" s="2315"/>
      <c r="X5" s="2315"/>
      <c r="Y5" s="2315"/>
      <c r="Z5" s="2315"/>
      <c r="AA5" s="2315"/>
      <c r="AB5" s="2315"/>
      <c r="AC5" s="2316"/>
      <c r="AD5" s="2314">
        <f>INDEX(PT_DIFFERENTIATION_IST_TE,MATCH(D5,PT_DIFFERENTIATION_IST_TE_ID,0))</f>
      </c>
      <c r="AE5" s="2315"/>
      <c r="AF5" s="2315"/>
      <c r="AG5" s="2315"/>
      <c r="AH5" s="2315"/>
      <c r="AI5" s="2315"/>
      <c r="AJ5" s="2315"/>
      <c r="AK5" s="2315"/>
      <c r="AL5" s="2316"/>
      <c r="AM5" s="1416" t="s">
        <v>402</v>
      </c>
      <c r="AO5" s="654"/>
      <c r="AP5" s="654" t="str">
        <f>IF(T5="","",T5)</f>
        <v>Источник тепловой энергии  </v>
      </c>
      <c r="AQ5" s="654"/>
      <c r="AR5" s="654"/>
    </row>
    <row customHeight="1" ht="14.25" hidden="1">
      <c r="A6" s="1522"/>
      <c r="B6" s="1522"/>
      <c r="C6" s="1522"/>
      <c r="D6" s="1522"/>
      <c r="E6" s="2321"/>
      <c r="F6" s="2321"/>
      <c r="G6" s="2321"/>
      <c r="H6" s="2321"/>
      <c r="I6" s="2322">
        <f>S5&amp;".1"</f>
      </c>
      <c r="J6" s="1522"/>
      <c r="K6" s="1522"/>
      <c r="L6" s="1523" t="s">
        <v>403</v>
      </c>
      <c r="M6" s="691"/>
      <c r="P6" s="2324">
        <v>1</v>
      </c>
      <c r="Q6" s="1490"/>
      <c r="R6" s="510"/>
      <c r="S6" s="1197"/>
      <c r="T6" s="1542"/>
      <c r="U6" s="1543"/>
      <c r="V6" s="2362"/>
      <c r="W6" s="2363"/>
      <c r="X6" s="2363"/>
      <c r="Y6" s="2363"/>
      <c r="Z6" s="2363"/>
      <c r="AA6" s="2363"/>
      <c r="AB6" s="2363"/>
      <c r="AC6" s="2364"/>
      <c r="AD6" s="2362"/>
      <c r="AE6" s="2363"/>
      <c r="AF6" s="2363"/>
      <c r="AG6" s="2363"/>
      <c r="AH6" s="2363"/>
      <c r="AI6" s="2363"/>
      <c r="AJ6" s="2363"/>
      <c r="AK6" s="2363"/>
      <c r="AL6" s="2364"/>
      <c r="AM6" s="1544"/>
      <c r="AO6" s="654"/>
      <c r="AP6" s="654" t="str">
        <f>IF(T6="","",T6)</f>
        <v/>
      </c>
      <c r="AQ6" s="654"/>
      <c r="AR6" s="654"/>
    </row>
    <row customHeight="1" ht="21" hidden="1">
      <c r="A7" s="1522"/>
      <c r="B7" s="1522"/>
      <c r="C7" s="1522"/>
      <c r="D7" s="1522"/>
      <c r="E7" s="2321"/>
      <c r="F7" s="2321"/>
      <c r="G7" s="2321"/>
      <c r="H7" s="2321"/>
      <c r="I7" s="2323"/>
      <c r="J7" s="2322">
        <f>I6&amp;".1"</f>
      </c>
      <c r="K7" s="1522"/>
      <c r="L7" s="1523" t="s">
        <v>406</v>
      </c>
      <c r="M7" s="691"/>
      <c r="N7" s="1525"/>
      <c r="P7" s="2324"/>
      <c r="Q7" s="2324">
        <v>1</v>
      </c>
      <c r="R7" s="511"/>
      <c r="S7" s="1495">
        <f>$J7</f>
      </c>
      <c r="T7" s="440" t="s">
        <v>407</v>
      </c>
      <c r="U7" s="454"/>
      <c r="V7" s="2308"/>
      <c r="W7" s="2309"/>
      <c r="X7" s="2309"/>
      <c r="Y7" s="2309"/>
      <c r="Z7" s="2309"/>
      <c r="AA7" s="2309"/>
      <c r="AB7" s="2309"/>
      <c r="AC7" s="2310"/>
      <c r="AD7" s="2308"/>
      <c r="AE7" s="2309"/>
      <c r="AF7" s="2309"/>
      <c r="AG7" s="2309"/>
      <c r="AH7" s="2309"/>
      <c r="AI7" s="2309"/>
      <c r="AJ7" s="2309"/>
      <c r="AK7" s="2309"/>
      <c r="AL7" s="2310"/>
      <c r="AM7" s="1416" t="s">
        <v>408</v>
      </c>
      <c r="AO7" s="654"/>
      <c r="AP7" s="654" t="str">
        <f>IF(T7="","",T7)</f>
        <v>Группа потребителей</v>
      </c>
      <c r="AQ7" s="654"/>
      <c r="AR7" s="654"/>
    </row>
    <row customHeight="1" ht="21" hidden="1">
      <c r="A8" s="1522"/>
      <c r="B8" s="1522"/>
      <c r="C8" s="1522"/>
      <c r="D8" s="1522"/>
      <c r="E8" s="2321"/>
      <c r="F8" s="2321"/>
      <c r="G8" s="2321"/>
      <c r="H8" s="2321"/>
      <c r="I8" s="2323"/>
      <c r="J8" s="2323"/>
      <c r="K8" s="2322">
        <f>J7&amp;".1"</f>
      </c>
      <c r="L8" s="1523" t="s">
        <v>409</v>
      </c>
      <c r="M8" s="691"/>
      <c r="N8" s="1525"/>
      <c r="O8" s="1525"/>
      <c r="P8" s="2324"/>
      <c r="Q8" s="2324"/>
      <c r="R8" s="511">
        <v>1</v>
      </c>
      <c r="S8" s="1495">
        <f>$K8</f>
      </c>
      <c r="T8" s="1506"/>
      <c r="U8" s="454"/>
      <c r="V8" s="905"/>
      <c r="W8" s="479"/>
      <c r="X8" s="905"/>
      <c r="Y8" s="1415"/>
      <c r="Z8" s="2325"/>
      <c r="AA8" s="2195" t="s">
        <v>64</v>
      </c>
      <c r="AB8" s="2325"/>
      <c r="AC8" s="2195" t="s">
        <v>64</v>
      </c>
      <c r="AD8" s="905"/>
      <c r="AE8" s="479"/>
      <c r="AF8" s="905"/>
      <c r="AG8" s="1415"/>
      <c r="AH8" s="2325"/>
      <c r="AI8" s="2195" t="s">
        <v>64</v>
      </c>
      <c r="AJ8" s="2325"/>
      <c r="AK8" s="2195" t="s">
        <v>64</v>
      </c>
      <c r="AL8" s="479"/>
      <c r="AM8" s="2350" t="s">
        <v>410</v>
      </c>
      <c r="AN8" s="665">
        <f>STRCHECKDATE(V9:AL9)</f>
      </c>
      <c r="AO8" s="654"/>
      <c r="AP8" s="654" t="str">
        <f>IF(T8="","",T8)</f>
        <v/>
      </c>
      <c r="AQ8" s="654"/>
      <c r="AR8" s="654"/>
    </row>
    <row customHeight="1" ht="14.25" hidden="1">
      <c r="A9" s="1522"/>
      <c r="B9" s="1522"/>
      <c r="C9" s="1522"/>
      <c r="D9" s="1522"/>
      <c r="E9" s="2321"/>
      <c r="F9" s="2321"/>
      <c r="G9" s="2321"/>
      <c r="H9" s="2321"/>
      <c r="I9" s="2323"/>
      <c r="J9" s="2323"/>
      <c r="K9" s="2322"/>
      <c r="L9" s="1523"/>
      <c r="M9" s="691"/>
      <c r="N9" s="1525"/>
      <c r="O9" s="1525"/>
      <c r="P9" s="2324"/>
      <c r="Q9" s="2324"/>
      <c r="R9" s="511"/>
      <c r="S9" s="1501"/>
      <c r="T9" s="454"/>
      <c r="U9" s="454"/>
      <c r="V9" s="479"/>
      <c r="W9" s="479"/>
      <c r="X9" s="479"/>
      <c r="Y9" s="482" t="str">
        <f>Z8&amp;"-"&amp;AB8</f>
        <v>-</v>
      </c>
      <c r="Z9" s="2326"/>
      <c r="AA9" s="2195"/>
      <c r="AB9" s="2326"/>
      <c r="AC9" s="2195"/>
      <c r="AD9" s="479"/>
      <c r="AE9" s="479"/>
      <c r="AF9" s="479"/>
      <c r="AG9" s="482" t="str">
        <f>AH8&amp;"-"&amp;AJ8</f>
        <v>-</v>
      </c>
      <c r="AH9" s="2326"/>
      <c r="AI9" s="2195"/>
      <c r="AJ9" s="2326"/>
      <c r="AK9" s="2195"/>
      <c r="AL9" s="479"/>
      <c r="AM9" s="2351"/>
      <c r="AO9" s="654"/>
      <c r="AP9" s="654" t="str">
        <f>IF(T9="","",T9)</f>
        <v/>
      </c>
      <c r="AQ9" s="654"/>
      <c r="AR9" s="654"/>
    </row>
    <row customHeight="1" ht="15" hidden="1">
      <c r="A10" s="1522"/>
      <c r="B10" s="1522"/>
      <c r="C10" s="1522"/>
      <c r="D10" s="1522"/>
      <c r="E10" s="2321"/>
      <c r="F10" s="2321"/>
      <c r="G10" s="2321"/>
      <c r="H10" s="2321"/>
      <c r="I10" s="2323"/>
      <c r="J10" s="2322"/>
      <c r="K10" s="1522"/>
      <c r="L10" s="1523"/>
      <c r="M10" s="691"/>
      <c r="N10" s="1525"/>
      <c r="P10" s="2324"/>
      <c r="Q10" s="2324"/>
      <c r="R10" s="510"/>
      <c r="S10" s="1437"/>
      <c r="T10" s="441" t="s">
        <v>411</v>
      </c>
      <c r="U10" s="521"/>
      <c r="V10" s="521"/>
      <c r="W10" s="521"/>
      <c r="X10" s="521"/>
      <c r="Y10" s="521"/>
      <c r="Z10" s="521"/>
      <c r="AA10" s="521"/>
      <c r="AB10" s="521"/>
      <c r="AC10" s="521"/>
      <c r="AD10" s="521"/>
      <c r="AE10" s="521"/>
      <c r="AF10" s="521"/>
      <c r="AG10" s="521"/>
      <c r="AH10" s="521"/>
      <c r="AI10" s="521"/>
      <c r="AJ10" s="521"/>
      <c r="AK10" s="521"/>
      <c r="AL10" s="478"/>
      <c r="AM10" s="2352"/>
      <c r="AO10" s="654"/>
      <c r="AP10" s="654" t="str">
        <f>IF(T10="","",T10)</f>
        <v>Добавить вид теплоносителя (параметры теплоносителя)</v>
      </c>
      <c r="AQ10" s="654"/>
      <c r="AR10" s="654"/>
    </row>
    <row customHeight="1" ht="11.25" hidden="1">
      <c r="A11" s="1522"/>
      <c r="B11" s="1522"/>
      <c r="C11" s="1522"/>
      <c r="D11" s="1522"/>
      <c r="E11" s="2321"/>
      <c r="F11" s="2321"/>
      <c r="G11" s="2321"/>
      <c r="H11" s="2321"/>
      <c r="I11" s="2322"/>
      <c r="J11" s="1522"/>
      <c r="K11" s="1522"/>
      <c r="L11" s="1523"/>
      <c r="M11" s="691"/>
      <c r="P11" s="2324"/>
      <c r="Q11" s="1490"/>
      <c r="R11" s="510"/>
      <c r="S11" s="1437"/>
      <c r="T11" s="519" t="s">
        <v>412</v>
      </c>
      <c r="U11" s="521"/>
      <c r="V11" s="521"/>
      <c r="W11" s="521"/>
      <c r="X11" s="521"/>
      <c r="Y11" s="521"/>
      <c r="Z11" s="521"/>
      <c r="AA11" s="521"/>
      <c r="AB11" s="521"/>
      <c r="AC11" s="520"/>
      <c r="AD11" s="521"/>
      <c r="AE11" s="521"/>
      <c r="AF11" s="521"/>
      <c r="AG11" s="521"/>
      <c r="AH11" s="521"/>
      <c r="AI11" s="521"/>
      <c r="AJ11" s="521"/>
      <c r="AK11" s="520"/>
      <c r="AL11" s="521"/>
      <c r="AM11" s="457"/>
      <c r="AO11" s="654"/>
      <c r="AP11" s="654" t="str">
        <f>IF(T11="","",T11)</f>
        <v>Добавить группу потребителей</v>
      </c>
      <c r="AQ11" s="654"/>
      <c r="AR11" s="654"/>
    </row>
    <row customHeight="1" ht="14.25" hidden="1">
      <c r="A12" s="1522"/>
      <c r="B12" s="1522"/>
      <c r="C12" s="1522"/>
      <c r="D12" s="1522"/>
      <c r="E12" s="2321"/>
      <c r="F12" s="2321"/>
      <c r="G12" s="2321"/>
      <c r="H12" s="2320"/>
      <c r="I12" s="1522"/>
      <c r="J12" s="1522"/>
      <c r="K12" s="1522"/>
      <c r="L12" s="1523"/>
      <c r="M12" s="1524"/>
      <c r="N12" s="1524"/>
      <c r="O12" s="691"/>
      <c r="P12" s="514"/>
      <c r="Q12" s="529"/>
      <c r="R12" s="509"/>
      <c r="S12" s="1545"/>
      <c r="T12" s="1546"/>
      <c r="U12" s="1547"/>
      <c r="V12" s="1547"/>
      <c r="W12" s="1547"/>
      <c r="X12" s="1547"/>
      <c r="Y12" s="1547"/>
      <c r="Z12" s="1547"/>
      <c r="AA12" s="1547"/>
      <c r="AB12" s="1547"/>
      <c r="AC12" s="1547"/>
      <c r="AD12" s="1547"/>
      <c r="AE12" s="1547"/>
      <c r="AF12" s="1547"/>
      <c r="AG12" s="1547"/>
      <c r="AH12" s="1547"/>
      <c r="AI12" s="1547"/>
      <c r="AJ12" s="1547"/>
      <c r="AK12" s="1547"/>
      <c r="AL12" s="1547"/>
      <c r="AM12" s="1548"/>
      <c r="AO12" s="654"/>
      <c r="AP12" s="654" t="str">
        <f>IF(T12="","",T12)</f>
        <v/>
      </c>
      <c r="AQ12" s="654"/>
      <c r="AR12" s="654"/>
    </row>
    <row s="8702" customFormat="1" customHeight="1" ht="14.25" hidden="1">
      <c r="A13" s="1473"/>
      <c r="B13" s="1473"/>
      <c r="C13" s="1473"/>
      <c r="D13" s="1473"/>
      <c r="E13" s="2321"/>
      <c r="F13" s="2321"/>
      <c r="G13" s="2320"/>
      <c r="H13" s="1473"/>
      <c r="I13" s="1473"/>
      <c r="J13" s="1473"/>
      <c r="K13" s="1473"/>
      <c r="L13" s="1498"/>
      <c r="M13" s="1474"/>
      <c r="N13" s="1474"/>
      <c r="P13" s="1475"/>
      <c r="Q13" s="1476"/>
      <c r="R13" s="1475"/>
      <c r="S13" s="1477"/>
      <c r="T13" s="1478" t="s">
        <v>414</v>
      </c>
      <c r="U13" s="1479"/>
      <c r="V13" s="1479"/>
      <c r="W13" s="1479"/>
      <c r="X13" s="1479"/>
      <c r="Y13" s="1479"/>
      <c r="Z13" s="1479"/>
      <c r="AA13" s="1479"/>
      <c r="AB13" s="1479"/>
      <c r="AC13" s="1479"/>
      <c r="AD13" s="1479"/>
      <c r="AE13" s="1479"/>
      <c r="AF13" s="1479"/>
      <c r="AG13" s="1479"/>
      <c r="AH13" s="1479"/>
      <c r="AI13" s="1479"/>
      <c r="AJ13" s="1479"/>
      <c r="AK13" s="1479"/>
      <c r="AL13" s="1479"/>
      <c r="AM13" s="1479"/>
      <c r="AO13" s="943"/>
      <c r="AP13" s="943" t="str">
        <f>IF(T13="","",T13)</f>
        <v>Добавить источник для дифференциации</v>
      </c>
      <c r="AQ13" s="943"/>
      <c r="AR13" s="943"/>
    </row>
    <row s="8702" customFormat="1" customHeight="1" ht="14.25" hidden="1">
      <c r="A14" s="1473"/>
      <c r="B14" s="1473"/>
      <c r="C14" s="1473"/>
      <c r="D14" s="1473"/>
      <c r="E14" s="2321"/>
      <c r="F14" s="2320"/>
      <c r="G14" s="1473"/>
      <c r="H14" s="1473"/>
      <c r="I14" s="1473"/>
      <c r="J14" s="1473"/>
      <c r="K14" s="1473"/>
      <c r="L14" s="1498"/>
      <c r="M14" s="1480"/>
      <c r="N14" s="1480"/>
      <c r="P14" s="1475"/>
      <c r="Q14" s="1476"/>
      <c r="R14" s="1475"/>
      <c r="S14" s="1481"/>
      <c r="T14" s="1482" t="s">
        <v>251</v>
      </c>
      <c r="U14" s="1483"/>
      <c r="V14" s="1483"/>
      <c r="W14" s="1483"/>
      <c r="X14" s="1483"/>
      <c r="Y14" s="1483"/>
      <c r="Z14" s="1483"/>
      <c r="AA14" s="1483"/>
      <c r="AB14" s="1483"/>
      <c r="AC14" s="1483"/>
      <c r="AD14" s="1483"/>
      <c r="AE14" s="1483"/>
      <c r="AF14" s="1483"/>
      <c r="AG14" s="1483"/>
      <c r="AH14" s="1483"/>
      <c r="AI14" s="1483"/>
      <c r="AJ14" s="1483"/>
      <c r="AK14" s="1483"/>
      <c r="AL14" s="1483"/>
      <c r="AM14" s="1483"/>
      <c r="AO14" s="943"/>
      <c r="AP14" s="943" t="str">
        <f>IF(T14="","",T14)</f>
        <v>Добавить централизованную систему для дифференциации</v>
      </c>
      <c r="AQ14" s="943"/>
      <c r="AR14" s="943"/>
    </row>
    <row s="8702" customFormat="1" customHeight="1" ht="14.25" hidden="1">
      <c r="A15" s="1473"/>
      <c r="B15" s="1473"/>
      <c r="C15" s="1473"/>
      <c r="D15" s="1473"/>
      <c r="E15" s="2320"/>
      <c r="F15" s="1473"/>
      <c r="G15" s="1473"/>
      <c r="H15" s="1473"/>
      <c r="I15" s="1473"/>
      <c r="J15" s="1473"/>
      <c r="K15" s="1473"/>
      <c r="L15" s="1498"/>
      <c r="M15" s="1480"/>
      <c r="N15" s="1480"/>
      <c r="P15" s="1475"/>
      <c r="Q15" s="1476"/>
      <c r="R15" s="1475"/>
      <c r="S15" s="1481"/>
      <c r="T15" s="1484" t="s">
        <v>252</v>
      </c>
      <c r="U15" s="1483"/>
      <c r="V15" s="1483"/>
      <c r="W15" s="1483"/>
      <c r="X15" s="1483"/>
      <c r="Y15" s="1483"/>
      <c r="Z15" s="1483"/>
      <c r="AA15" s="1483"/>
      <c r="AB15" s="1483"/>
      <c r="AC15" s="1483"/>
      <c r="AD15" s="1483"/>
      <c r="AE15" s="1483"/>
      <c r="AF15" s="1483"/>
      <c r="AG15" s="1483"/>
      <c r="AH15" s="1483"/>
      <c r="AI15" s="1483"/>
      <c r="AJ15" s="1483"/>
      <c r="AK15" s="1483"/>
      <c r="AL15" s="1483"/>
      <c r="AM15" s="1483"/>
      <c r="AO15" s="943"/>
      <c r="AP15" s="943" t="str">
        <f>IF(T15="","",T15)</f>
        <v>Добавить территорию для дифференциации</v>
      </c>
      <c r="AQ15" s="943"/>
      <c r="AR15" s="943"/>
    </row>
    <row customHeight="1" ht="14.25" hidden="1">
      <c r="AC16" s="481"/>
      <c r="AK16" s="481"/>
    </row>
    <row customHeight="1" ht="14.25" hidden="1">
      <c r="AD17" s="1519"/>
      <c r="AE17" s="1519"/>
      <c r="AF17" s="1519"/>
      <c r="AG17" s="1520"/>
      <c r="AH17" s="2318"/>
      <c r="AI17" s="2317" t="s">
        <v>64</v>
      </c>
      <c r="AJ17" s="2318"/>
      <c r="AK17" s="2317" t="s">
        <v>64</v>
      </c>
    </row>
    <row customHeight="1" ht="14.25" hidden="1">
      <c r="AD18" s="1519"/>
      <c r="AE18" s="1519"/>
      <c r="AF18" s="1519"/>
      <c r="AG18" s="482" t="str">
        <f>AH17&amp;"-"&amp;AJ17</f>
        <v>-</v>
      </c>
      <c r="AH18" s="2317"/>
      <c r="AI18" s="2317"/>
      <c r="AJ18" s="2317"/>
      <c r="AK18" s="2317"/>
    </row>
    <row customHeight="1" ht="14.25" hidden="1">
      <c r="AK19" s="481"/>
    </row>
    <row s="8721" customFormat="1" customHeight="1" ht="22.5" hidden="1">
      <c r="L20" s="1488"/>
      <c r="M20" s="1521"/>
      <c r="N20" s="1521"/>
      <c r="O20" s="1526" t="s">
        <v>415</v>
      </c>
      <c r="P20" s="1521"/>
      <c r="Q20" s="1530"/>
      <c r="R20" s="1530"/>
      <c r="S20" s="883"/>
      <c r="Z20" s="1526"/>
      <c r="AB20" s="1526"/>
      <c r="AC20" s="1525"/>
      <c r="AH20" s="1526"/>
      <c r="AJ20" s="1526"/>
      <c r="AK20" s="1525"/>
      <c r="AN20" s="665"/>
      <c r="AO20" s="665"/>
      <c r="AP20" s="665"/>
      <c r="AQ20" s="665"/>
      <c r="AR20" s="665"/>
    </row>
    <row s="8721" customFormat="1" customHeight="1" ht="14.25" hidden="1">
      <c r="L21" s="1488"/>
      <c r="M21" s="1521"/>
      <c r="N21" s="1521"/>
      <c r="O21" s="1521"/>
      <c r="P21" s="1521"/>
      <c r="Q21" s="1530"/>
      <c r="R21" s="1530"/>
      <c r="S21" s="883"/>
      <c r="AC21" s="1525"/>
      <c r="AK21" s="1525"/>
      <c r="AN21" s="665"/>
      <c r="AO21" s="665"/>
      <c r="AP21" s="665"/>
      <c r="AQ21" s="665"/>
      <c r="AR21" s="665"/>
    </row>
    <row s="8721" customFormat="1" customHeight="1" ht="14.25" hidden="1">
      <c r="L22" s="1488"/>
      <c r="M22" s="1521"/>
      <c r="N22" s="1521"/>
      <c r="O22" s="1523" t="s">
        <v>416</v>
      </c>
      <c r="P22" s="1521"/>
      <c r="Q22" s="1530"/>
      <c r="R22" s="1530"/>
      <c r="S22" s="883"/>
      <c r="T22" s="1316" t="s">
        <v>417</v>
      </c>
      <c r="AA22" s="340" t="s">
        <v>418</v>
      </c>
      <c r="AC22" s="340" t="s">
        <v>419</v>
      </c>
      <c r="AD22" s="1316" t="s">
        <v>417</v>
      </c>
      <c r="AI22" s="340" t="s">
        <v>420</v>
      </c>
      <c r="AK22" s="340" t="s">
        <v>419</v>
      </c>
      <c r="AN22" s="665"/>
      <c r="AO22" s="665"/>
      <c r="AP22" s="665"/>
      <c r="AQ22" s="665"/>
      <c r="AR22" s="665"/>
    </row>
    <row customHeight="1" ht="14.25" hidden="1">
      <c r="O23" s="1523"/>
    </row>
    <row customHeight="1" ht="14.25" hidden="1">
      <c r="O24" s="1523"/>
    </row>
    <row customHeight="1" ht="14.25">
      <c r="Q25" s="530"/>
      <c r="R25" s="530"/>
      <c r="S25" s="1434"/>
      <c r="T25" s="517"/>
      <c r="U25" s="517"/>
      <c r="V25" s="663"/>
      <c r="W25" s="663"/>
      <c r="X25" s="663"/>
      <c r="Y25" s="663"/>
      <c r="Z25" s="663"/>
      <c r="AA25" s="663"/>
      <c r="AB25" s="663"/>
      <c r="AC25" s="663"/>
      <c r="AD25" s="663"/>
      <c r="AE25" s="663"/>
      <c r="AF25" s="663"/>
      <c r="AG25" s="663"/>
      <c r="AH25" s="663"/>
      <c r="AI25" s="663"/>
      <c r="AJ25" s="663"/>
      <c r="AK25" s="663"/>
    </row>
    <row customHeight="1" ht="51">
      <c r="Q26" s="530"/>
      <c r="R26" s="530"/>
      <c r="S26" s="2353" t="str">
        <f>IF(TEMPLATE_GROUP="P",PT_P_FORM_HEAT_5_NAME_FORM,PT_R_FORM_HEAT_22_NAME_FORM)</f>
        <v>Форма 4.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353"/>
      <c r="U26" s="2353"/>
      <c r="V26" s="2353"/>
      <c r="W26" s="2353"/>
      <c r="X26" s="2353"/>
      <c r="Y26" s="2353"/>
      <c r="Z26" s="2353"/>
      <c r="AA26" s="2353"/>
      <c r="AB26" s="2353"/>
      <c r="AC26" s="2353"/>
      <c r="AD26" s="2353"/>
      <c r="AE26" s="2353"/>
      <c r="AF26" s="2353"/>
      <c r="AG26" s="2353"/>
      <c r="AH26" s="2353"/>
      <c r="AI26" s="2353"/>
      <c r="AJ26" s="2353"/>
      <c r="AK26" s="1401"/>
    </row>
    <row customHeight="1" ht="14.25">
      <c r="Q27" s="530"/>
      <c r="R27" s="530"/>
      <c r="S27" s="2354" t="str">
        <f>IF(org=0,"Не определено",org)</f>
        <v>АО "Теплокоммунэнерго"</v>
      </c>
      <c r="T27" s="2354"/>
      <c r="U27" s="2354"/>
      <c r="V27" s="2354"/>
      <c r="W27" s="2354"/>
      <c r="X27" s="2354"/>
      <c r="Y27" s="2354"/>
      <c r="Z27" s="2354"/>
      <c r="AA27" s="2354"/>
      <c r="AB27" s="2354"/>
      <c r="AC27" s="2354"/>
      <c r="AD27" s="2354"/>
      <c r="AE27" s="2354"/>
      <c r="AF27" s="2354"/>
      <c r="AG27" s="2354"/>
      <c r="AH27" s="2354"/>
      <c r="AI27" s="2354"/>
      <c r="AJ27" s="2354"/>
      <c r="AK27" s="1401"/>
    </row>
    <row customHeight="1" ht="14.25">
      <c r="Q28" s="530"/>
      <c r="R28" s="530"/>
      <c r="S28" s="1434"/>
      <c r="T28" s="517"/>
      <c r="U28" s="517"/>
      <c r="V28" s="476"/>
      <c r="W28" s="476"/>
      <c r="X28" s="476"/>
      <c r="Y28" s="476"/>
      <c r="Z28" s="476"/>
      <c r="AA28" s="476"/>
      <c r="AB28" s="476"/>
      <c r="AC28" s="476"/>
      <c r="AD28" s="476"/>
      <c r="AE28" s="476"/>
      <c r="AF28" s="476"/>
      <c r="AG28" s="476"/>
      <c r="AH28" s="476"/>
      <c r="AI28" s="476"/>
      <c r="AJ28" s="476"/>
      <c r="AK28" s="476"/>
      <c r="AL28" s="663"/>
    </row>
    <row s="8735" customFormat="1" customHeight="1" ht="25.5">
      <c r="A29" s="1527"/>
      <c r="B29" s="1527"/>
      <c r="C29" s="1527"/>
      <c r="D29" s="1527"/>
      <c r="E29" s="1527"/>
      <c r="F29" s="1527"/>
      <c r="G29" s="1527"/>
      <c r="H29" s="1527"/>
      <c r="I29" s="1527"/>
      <c r="J29" s="1527"/>
      <c r="K29" s="1527"/>
      <c r="L29" s="1528"/>
      <c r="M29" s="1527"/>
      <c r="N29" s="1527"/>
      <c r="O29" s="1527"/>
      <c r="S29" s="2311" t="s">
        <v>38</v>
      </c>
      <c r="T29" s="2311"/>
      <c r="U29" s="1531"/>
      <c r="V29" s="2313" t="str">
        <f>IF(TITLE_NAME_OR_PR_CHANGE="",IF(TITLE_NAME_OR_PR="","",TITLE_NAME_OR_PR),TITLE_NAME_OR_PR_CHANGE)</f>
        <v>Региональная служба по тарифам Ростовской области</v>
      </c>
      <c r="W29" s="2313"/>
      <c r="X29" s="2313"/>
      <c r="Y29" s="2313"/>
      <c r="Z29" s="2313"/>
      <c r="AA29" s="2313"/>
      <c r="AB29" s="2313"/>
      <c r="AC29" s="480"/>
      <c r="AD29" s="2313" t="str">
        <f>IF(TITLE_NAME_OR_PR_CHANGE="",IF(TITLE_NAME_OR_PR="","",TITLE_NAME_OR_PR),TITLE_NAME_OR_PR_CHANGE)</f>
        <v>Региональная служба по тарифам Ростовской области</v>
      </c>
      <c r="AE29" s="2313"/>
      <c r="AF29" s="2313"/>
      <c r="AG29" s="2313"/>
      <c r="AH29" s="2313"/>
      <c r="AI29" s="2313"/>
      <c r="AJ29" s="2313"/>
      <c r="AK29" s="480"/>
      <c r="AL29" s="480"/>
      <c r="AM29" s="434"/>
      <c r="AN29" s="522"/>
      <c r="AO29" s="522"/>
      <c r="AP29" s="522"/>
      <c r="AQ29" s="522"/>
      <c r="AR29" s="522"/>
    </row>
    <row s="8735" customFormat="1" customHeight="1" ht="18.75">
      <c r="A30" s="1527"/>
      <c r="B30" s="1527"/>
      <c r="C30" s="1527"/>
      <c r="D30" s="1527"/>
      <c r="E30" s="1527"/>
      <c r="F30" s="1527"/>
      <c r="G30" s="1527"/>
      <c r="H30" s="1527"/>
      <c r="I30" s="1527"/>
      <c r="J30" s="1527"/>
      <c r="K30" s="1527"/>
      <c r="L30" s="1528"/>
      <c r="M30" s="1527"/>
      <c r="N30" s="1527"/>
      <c r="O30" s="1527"/>
      <c r="S30" s="2311" t="s">
        <v>421</v>
      </c>
      <c r="T30" s="2311"/>
      <c r="U30" s="1531"/>
      <c r="V30" s="2312" t="str">
        <f>IF(TITLE_DATE_PR_CHANGE="",IF(TITLE_DATE_PR="","",TITLE_DATE_PR),TITLE_DATE_PR_CHANGE)</f>
        <v>45279</v>
      </c>
      <c r="W30" s="2312"/>
      <c r="X30" s="2312"/>
      <c r="Y30" s="2312"/>
      <c r="Z30" s="2312"/>
      <c r="AA30" s="2312"/>
      <c r="AB30" s="2312"/>
      <c r="AC30" s="480"/>
      <c r="AD30" s="2312" t="str">
        <f>IF(TITLE_DATE_PR_CHANGE="",IF(TITLE_DATE_PR="","",TITLE_DATE_PR),TITLE_DATE_PR_CHANGE)</f>
        <v>45279</v>
      </c>
      <c r="AE30" s="2312"/>
      <c r="AF30" s="2312"/>
      <c r="AG30" s="2312"/>
      <c r="AH30" s="2312"/>
      <c r="AI30" s="2312"/>
      <c r="AJ30" s="2312"/>
      <c r="AK30" s="480"/>
      <c r="AL30" s="480"/>
      <c r="AM30" s="434"/>
      <c r="AN30" s="522"/>
      <c r="AO30" s="522"/>
      <c r="AP30" s="522"/>
      <c r="AQ30" s="522"/>
      <c r="AR30" s="522"/>
    </row>
    <row s="8735" customFormat="1" customHeight="1" ht="18.75">
      <c r="A31" s="1527"/>
      <c r="B31" s="1527"/>
      <c r="C31" s="1527"/>
      <c r="D31" s="1527"/>
      <c r="E31" s="1527"/>
      <c r="F31" s="1527"/>
      <c r="G31" s="1527"/>
      <c r="H31" s="1527"/>
      <c r="I31" s="1527"/>
      <c r="J31" s="1527"/>
      <c r="K31" s="1527"/>
      <c r="L31" s="1528"/>
      <c r="M31" s="1527"/>
      <c r="N31" s="1527"/>
      <c r="O31" s="1527"/>
      <c r="S31" s="2311" t="s">
        <v>422</v>
      </c>
      <c r="T31" s="2311"/>
      <c r="U31" s="1531"/>
      <c r="V31" s="2313" t="str">
        <f>IF(TITLE_NUMBER_PR_CHANGE="",IF(TITLE_NUMBER_PR="","",TITLE_NUMBER_PR),TITLE_NUMBER_PR_CHANGE)</f>
        <v>877</v>
      </c>
      <c r="W31" s="2313"/>
      <c r="X31" s="2313"/>
      <c r="Y31" s="2313"/>
      <c r="Z31" s="2313"/>
      <c r="AA31" s="2313"/>
      <c r="AB31" s="2313"/>
      <c r="AC31" s="480"/>
      <c r="AD31" s="2313" t="str">
        <f>IF(TITLE_NUMBER_PR_CHANGE="",IF(TITLE_NUMBER_PR="","",TITLE_NUMBER_PR),TITLE_NUMBER_PR_CHANGE)</f>
        <v>877</v>
      </c>
      <c r="AE31" s="2313"/>
      <c r="AF31" s="2313"/>
      <c r="AG31" s="2313"/>
      <c r="AH31" s="2313"/>
      <c r="AI31" s="2313"/>
      <c r="AJ31" s="2313"/>
      <c r="AK31" s="480"/>
      <c r="AL31" s="480"/>
      <c r="AM31" s="434"/>
      <c r="AN31" s="522"/>
      <c r="AO31" s="522"/>
      <c r="AP31" s="522"/>
      <c r="AQ31" s="522"/>
      <c r="AR31" s="522"/>
    </row>
    <row s="8735" customFormat="1" customHeight="1" ht="18.75">
      <c r="A32" s="1527"/>
      <c r="B32" s="1527"/>
      <c r="C32" s="1527"/>
      <c r="D32" s="1527"/>
      <c r="E32" s="1527"/>
      <c r="F32" s="1527"/>
      <c r="G32" s="1527"/>
      <c r="H32" s="1527"/>
      <c r="I32" s="1527"/>
      <c r="J32" s="1527"/>
      <c r="K32" s="1527"/>
      <c r="L32" s="1528"/>
      <c r="M32" s="1527"/>
      <c r="N32" s="1527"/>
      <c r="O32" s="1527"/>
      <c r="S32" s="2311" t="s">
        <v>40</v>
      </c>
      <c r="T32" s="2311"/>
      <c r="U32" s="1531"/>
      <c r="V32" s="2313" t="str">
        <f>IF(TITLE_IST_PUB_CHANGE="",IF(TITLE_IST_PUB="","",TITLE_IST_PUB),TITLE_IST_PUB_CHANGE)</f>
        <v>Официальный портал правовой информации Ростовской области</v>
      </c>
      <c r="W32" s="2313"/>
      <c r="X32" s="2313"/>
      <c r="Y32" s="2313"/>
      <c r="Z32" s="2313"/>
      <c r="AA32" s="2313"/>
      <c r="AB32" s="2313"/>
      <c r="AC32" s="480"/>
      <c r="AD32" s="2313" t="str">
        <f>IF(TITLE_IST_PUB_CHANGE="",IF(TITLE_IST_PUB="","",TITLE_IST_PUB),TITLE_IST_PUB_CHANGE)</f>
        <v>Официальный портал правовой информации Ростовской области</v>
      </c>
      <c r="AE32" s="2313"/>
      <c r="AF32" s="2313"/>
      <c r="AG32" s="2313"/>
      <c r="AH32" s="2313"/>
      <c r="AI32" s="2313"/>
      <c r="AJ32" s="2313"/>
      <c r="AK32" s="480"/>
      <c r="AL32" s="480"/>
      <c r="AM32" s="434"/>
      <c r="AN32" s="522"/>
      <c r="AO32" s="522"/>
      <c r="AP32" s="522"/>
      <c r="AQ32" s="522"/>
      <c r="AR32" s="522"/>
    </row>
    <row customHeight="1" ht="14.25" hidden="1">
      <c r="Q33" s="530"/>
      <c r="R33" s="530"/>
      <c r="S33" s="1434"/>
      <c r="T33" s="517"/>
      <c r="U33" s="517"/>
      <c r="V33" s="476"/>
      <c r="W33" s="476"/>
      <c r="X33" s="476"/>
      <c r="Y33" s="476"/>
      <c r="Z33" s="476"/>
      <c r="AA33" s="476"/>
      <c r="AB33" s="476"/>
      <c r="AC33" s="476"/>
      <c r="AD33" s="476"/>
      <c r="AE33" s="476"/>
      <c r="AF33" s="476"/>
      <c r="AG33" s="476"/>
      <c r="AH33" s="476"/>
      <c r="AI33" s="476"/>
      <c r="AJ33" s="476"/>
      <c r="AK33" s="476"/>
      <c r="AL33" s="663"/>
    </row>
    <row s="8735" customFormat="1" customHeight="1" ht="18.75" hidden="1">
      <c r="A34" s="1527"/>
      <c r="B34" s="1527"/>
      <c r="C34" s="1527"/>
      <c r="D34" s="1527"/>
      <c r="E34" s="1527"/>
      <c r="F34" s="1527"/>
      <c r="G34" s="1527"/>
      <c r="H34" s="1527"/>
      <c r="I34" s="1527"/>
      <c r="J34" s="1527"/>
      <c r="K34" s="1527"/>
      <c r="L34" s="1528"/>
      <c r="M34" s="1527"/>
      <c r="N34" s="1527"/>
      <c r="O34" s="1527"/>
      <c r="S34" s="2311" t="s">
        <v>423</v>
      </c>
      <c r="T34" s="2311"/>
      <c r="U34" s="1531"/>
      <c r="V34" s="2312" t="str">
        <f>IF(TITLE_DATE_PR_CHANGE="",IF(TITLE_DATE_PR="","",TITLE_DATE_PR),TITLE_DATE_PR_CHANGE)</f>
        <v>45279</v>
      </c>
      <c r="W34" s="2312"/>
      <c r="X34" s="2312"/>
      <c r="Y34" s="2312"/>
      <c r="Z34" s="2312"/>
      <c r="AA34" s="2312"/>
      <c r="AB34" s="2312"/>
      <c r="AC34" s="480"/>
      <c r="AD34" s="2312" t="str">
        <f>IF(TITLE_DATE_PR_CHANGE="",IF(TITLE_DATE_PR="","",TITLE_DATE_PR),TITLE_DATE_PR_CHANGE)</f>
        <v>45279</v>
      </c>
      <c r="AE34" s="2312"/>
      <c r="AF34" s="2312"/>
      <c r="AG34" s="2312"/>
      <c r="AH34" s="2312"/>
      <c r="AI34" s="2312"/>
      <c r="AJ34" s="2312"/>
      <c r="AK34" s="480"/>
      <c r="AL34" s="480"/>
      <c r="AM34" s="434"/>
      <c r="AN34" s="522"/>
      <c r="AO34" s="522"/>
      <c r="AP34" s="522"/>
      <c r="AQ34" s="522"/>
      <c r="AR34" s="522"/>
    </row>
    <row s="8735" customFormat="1" customHeight="1" ht="25.5" hidden="1">
      <c r="A35" s="1527"/>
      <c r="B35" s="1527"/>
      <c r="C35" s="1527"/>
      <c r="D35" s="1527"/>
      <c r="E35" s="1527"/>
      <c r="F35" s="1527"/>
      <c r="G35" s="1527"/>
      <c r="H35" s="1527"/>
      <c r="I35" s="1527"/>
      <c r="J35" s="1527"/>
      <c r="K35" s="1527"/>
      <c r="L35" s="1528"/>
      <c r="M35" s="1527"/>
      <c r="N35" s="1527"/>
      <c r="O35" s="1527"/>
      <c r="S35" s="2311" t="s">
        <v>424</v>
      </c>
      <c r="T35" s="2311"/>
      <c r="U35" s="1531"/>
      <c r="V35" s="2313" t="str">
        <f>IF(TITLE_NUMBER_PR_CHANGE="",IF(TITLE_NUMBER_PR="","",TITLE_NUMBER_PR),TITLE_NUMBER_PR_CHANGE)</f>
        <v>877</v>
      </c>
      <c r="W35" s="2313"/>
      <c r="X35" s="2313"/>
      <c r="Y35" s="2313"/>
      <c r="Z35" s="2313"/>
      <c r="AA35" s="2313"/>
      <c r="AB35" s="2313"/>
      <c r="AC35" s="480"/>
      <c r="AD35" s="2313" t="str">
        <f>IF(TITLE_NUMBER_PR_CHANGE="",IF(TITLE_NUMBER_PR="","",TITLE_NUMBER_PR),TITLE_NUMBER_PR_CHANGE)</f>
        <v>877</v>
      </c>
      <c r="AE35" s="2313"/>
      <c r="AF35" s="2313"/>
      <c r="AG35" s="2313"/>
      <c r="AH35" s="2313"/>
      <c r="AI35" s="2313"/>
      <c r="AJ35" s="2313"/>
      <c r="AK35" s="480"/>
      <c r="AL35" s="480"/>
      <c r="AM35" s="434"/>
      <c r="AN35" s="522"/>
      <c r="AO35" s="522"/>
      <c r="AP35" s="522"/>
      <c r="AQ35" s="522"/>
      <c r="AR35" s="522"/>
    </row>
    <row s="8735" customFormat="1" customHeight="1" ht="0">
      <c r="A36" s="1527"/>
      <c r="B36" s="1527"/>
      <c r="C36" s="1527"/>
      <c r="D36" s="1527"/>
      <c r="E36" s="1527"/>
      <c r="F36" s="1527"/>
      <c r="G36" s="1527"/>
      <c r="H36" s="1527"/>
      <c r="I36" s="1527"/>
      <c r="J36" s="1527"/>
      <c r="K36" s="1527"/>
      <c r="L36" s="1528"/>
      <c r="M36" s="1527"/>
      <c r="N36" s="1527"/>
      <c r="O36" s="1527"/>
      <c r="S36" s="477"/>
      <c r="T36" s="477"/>
      <c r="U36" s="1499"/>
      <c r="V36" s="480"/>
      <c r="W36" s="480"/>
      <c r="X36" s="480"/>
      <c r="Y36" s="480"/>
      <c r="Z36" s="480"/>
      <c r="AA36" s="480"/>
      <c r="AB36" s="480"/>
      <c r="AC36" s="432" t="s">
        <v>425</v>
      </c>
      <c r="AD36" s="480"/>
      <c r="AE36" s="480"/>
      <c r="AF36" s="480"/>
      <c r="AG36" s="480"/>
      <c r="AH36" s="480"/>
      <c r="AI36" s="480"/>
      <c r="AJ36" s="480"/>
      <c r="AK36" s="432" t="s">
        <v>425</v>
      </c>
      <c r="AN36" s="522"/>
      <c r="AO36" s="522"/>
      <c r="AP36" s="522"/>
      <c r="AQ36" s="522"/>
      <c r="AR36" s="522"/>
    </row>
    <row customHeight="1" ht="14.25">
      <c r="Q37" s="530"/>
      <c r="R37" s="530"/>
      <c r="S37" s="1434"/>
      <c r="T37" s="517"/>
      <c r="U37" s="1402"/>
      <c r="V37" s="2337"/>
      <c r="W37" s="2337"/>
      <c r="X37" s="2337"/>
      <c r="Y37" s="2337"/>
      <c r="Z37" s="2337"/>
      <c r="AA37" s="2337"/>
      <c r="AB37" s="2337"/>
      <c r="AC37" s="2337"/>
      <c r="AD37" s="2337"/>
      <c r="AE37" s="2337"/>
      <c r="AF37" s="2337"/>
      <c r="AG37" s="2337"/>
      <c r="AH37" s="2337"/>
      <c r="AI37" s="2337"/>
      <c r="AJ37" s="2337"/>
      <c r="AK37" s="2337"/>
    </row>
    <row customHeight="1" ht="14.25">
      <c r="Q38" s="530"/>
      <c r="R38" s="530"/>
      <c r="S38" s="2185" t="s">
        <v>300</v>
      </c>
      <c r="T38" s="2185"/>
      <c r="U38" s="2185"/>
      <c r="V38" s="2185"/>
      <c r="W38" s="2185"/>
      <c r="X38" s="2185"/>
      <c r="Y38" s="2185"/>
      <c r="Z38" s="2185"/>
      <c r="AA38" s="2185"/>
      <c r="AB38" s="2185"/>
      <c r="AC38" s="2185"/>
      <c r="AD38" s="2185"/>
      <c r="AE38" s="2185"/>
      <c r="AF38" s="2185"/>
      <c r="AG38" s="2185"/>
      <c r="AH38" s="2185"/>
      <c r="AI38" s="2185"/>
      <c r="AJ38" s="2185"/>
      <c r="AK38" s="2185"/>
      <c r="AL38" s="2185"/>
      <c r="AM38" s="2185" t="s">
        <v>301</v>
      </c>
    </row>
    <row customHeight="1" ht="14.25">
      <c r="Q39" s="530"/>
      <c r="R39" s="530"/>
      <c r="S39" s="2338" t="s">
        <v>85</v>
      </c>
      <c r="T39" s="2275" t="s">
        <v>426</v>
      </c>
      <c r="U39" s="455"/>
      <c r="V39" s="2339" t="s">
        <v>427</v>
      </c>
      <c r="W39" s="2340"/>
      <c r="X39" s="2340"/>
      <c r="Y39" s="2340"/>
      <c r="Z39" s="2340"/>
      <c r="AA39" s="2340"/>
      <c r="AB39" s="2341"/>
      <c r="AC39" s="2342" t="s">
        <v>428</v>
      </c>
      <c r="AD39" s="2339" t="s">
        <v>427</v>
      </c>
      <c r="AE39" s="2340"/>
      <c r="AF39" s="2340"/>
      <c r="AG39" s="2340"/>
      <c r="AH39" s="2340"/>
      <c r="AI39" s="2340"/>
      <c r="AJ39" s="2341"/>
      <c r="AK39" s="2342" t="s">
        <v>429</v>
      </c>
      <c r="AL39" s="2345" t="s">
        <v>430</v>
      </c>
      <c r="AM39" s="2185"/>
    </row>
    <row customHeight="1" ht="33.75">
      <c r="Q40" s="530"/>
      <c r="R40" s="530"/>
      <c r="S40" s="2338"/>
      <c r="T40" s="2275"/>
      <c r="U40" s="1186"/>
      <c r="V40" s="2348" t="s">
        <v>431</v>
      </c>
      <c r="W40" s="2329"/>
      <c r="X40" s="2331" t="s">
        <v>433</v>
      </c>
      <c r="Y40" s="2333"/>
      <c r="Z40" s="2331" t="s">
        <v>434</v>
      </c>
      <c r="AA40" s="2332"/>
      <c r="AB40" s="2333"/>
      <c r="AC40" s="2343"/>
      <c r="AD40" s="2348" t="s">
        <v>447</v>
      </c>
      <c r="AE40" s="2329"/>
      <c r="AF40" s="2331" t="s">
        <v>433</v>
      </c>
      <c r="AG40" s="2333"/>
      <c r="AH40" s="2331" t="s">
        <v>434</v>
      </c>
      <c r="AI40" s="2332"/>
      <c r="AJ40" s="2333"/>
      <c r="AK40" s="2343"/>
      <c r="AL40" s="2346"/>
      <c r="AM40" s="2185"/>
    </row>
    <row customHeight="1" ht="33.75">
      <c r="A41" s="1529"/>
      <c r="B41" s="1529" t="s">
        <v>132</v>
      </c>
      <c r="C41" s="1529" t="s">
        <v>133</v>
      </c>
      <c r="D41" s="1529" t="s">
        <v>134</v>
      </c>
      <c r="E41" s="1523" t="s">
        <v>435</v>
      </c>
      <c r="F41" s="1523" t="s">
        <v>436</v>
      </c>
      <c r="G41" s="1523" t="s">
        <v>437</v>
      </c>
      <c r="H41" s="1523" t="s">
        <v>438</v>
      </c>
      <c r="I41" s="1523" t="s">
        <v>439</v>
      </c>
      <c r="J41" s="1523" t="s">
        <v>440</v>
      </c>
      <c r="K41" s="1523" t="s">
        <v>441</v>
      </c>
      <c r="L41" s="1523" t="s">
        <v>416</v>
      </c>
      <c r="Q41" s="530"/>
      <c r="R41" s="530"/>
      <c r="S41" s="2338"/>
      <c r="T41" s="2275"/>
      <c r="U41" s="456"/>
      <c r="V41" s="2349"/>
      <c r="W41" s="2330"/>
      <c r="X41" s="1380" t="s">
        <v>442</v>
      </c>
      <c r="Y41" s="1380" t="s">
        <v>443</v>
      </c>
      <c r="Z41" s="1497" t="s">
        <v>444</v>
      </c>
      <c r="AA41" s="2334" t="s">
        <v>445</v>
      </c>
      <c r="AB41" s="2335"/>
      <c r="AC41" s="2344"/>
      <c r="AD41" s="2349"/>
      <c r="AE41" s="2330"/>
      <c r="AF41" s="1380" t="s">
        <v>442</v>
      </c>
      <c r="AG41" s="1380" t="s">
        <v>443</v>
      </c>
      <c r="AH41" s="1497" t="s">
        <v>444</v>
      </c>
      <c r="AI41" s="2334" t="s">
        <v>445</v>
      </c>
      <c r="AJ41" s="2335"/>
      <c r="AK41" s="2344"/>
      <c r="AL41" s="2347"/>
      <c r="AM41" s="2185"/>
    </row>
    <row s="8552" customFormat="1" customHeight="1" ht="11.25" hidden="1">
      <c r="A42" s="1529"/>
      <c r="B42" s="1529"/>
      <c r="C42" s="1529"/>
      <c r="D42" s="1529"/>
      <c r="E42" s="1529"/>
      <c r="F42" s="1529"/>
      <c r="G42" s="1529"/>
      <c r="H42" s="1529"/>
      <c r="I42" s="1529"/>
      <c r="J42" s="1529"/>
      <c r="K42" s="1529"/>
      <c r="L42" s="1523"/>
      <c r="M42" s="1521"/>
      <c r="N42" s="1521"/>
      <c r="O42" s="1521"/>
      <c r="P42" s="1404"/>
      <c r="Q42" s="1405"/>
      <c r="R42" s="1412">
        <v>1</v>
      </c>
      <c r="S42" s="1436" t="s">
        <v>106</v>
      </c>
      <c r="T42" s="1413" t="s">
        <v>107</v>
      </c>
      <c r="U42" s="1403" t="str">
        <f>OFFSET(U42,0,-1)</f>
        <v>2</v>
      </c>
      <c r="V42" s="1494">
        <f>OFFSET(V42,0,-1)+1</f>
        <v>3</v>
      </c>
      <c r="W42" s="1494"/>
      <c r="X42" s="1494">
        <f>OFFSET(X42,0,-1)+1</f>
        <v>1</v>
      </c>
      <c r="Y42" s="1494">
        <f>OFFSET(Y42,0,-1)+1</f>
        <v>2</v>
      </c>
      <c r="Z42" s="1494">
        <f>OFFSET(Z42,0,-1)+1</f>
        <v>3</v>
      </c>
      <c r="AA42" s="2336">
        <f>OFFSET(AA42,0,-1)+1</f>
        <v>4</v>
      </c>
      <c r="AB42" s="2336"/>
      <c r="AC42" s="1494">
        <f>OFFSET(AC42,0,-2)+1</f>
        <v>5</v>
      </c>
      <c r="AD42" s="1494">
        <f>OFFSET(AD42,0,-1)+1</f>
        <v>6</v>
      </c>
      <c r="AE42" s="1494"/>
      <c r="AF42" s="1494">
        <f>OFFSET(AF42,0,-1)+1</f>
        <v>1</v>
      </c>
      <c r="AG42" s="1494">
        <f>OFFSET(AG42,0,-1)+1</f>
        <v>2</v>
      </c>
      <c r="AH42" s="1494">
        <f>OFFSET(AH42,0,-1)+1</f>
        <v>3</v>
      </c>
      <c r="AI42" s="2336">
        <f>OFFSET(AI42,0,-1)+1</f>
        <v>4</v>
      </c>
      <c r="AJ42" s="2336"/>
      <c r="AK42" s="1494">
        <f>OFFSET(AK42,0,-2)+1</f>
        <v>5</v>
      </c>
      <c r="AL42" s="1403">
        <f>OFFSET(AL42,0,-1)</f>
        <v>5</v>
      </c>
      <c r="AM42" s="1494">
        <f>OFFSET(AM42,0,-1)+1</f>
        <v>6</v>
      </c>
      <c r="AN42" s="665"/>
      <c r="AO42" s="665"/>
      <c r="AP42" s="665"/>
      <c r="AQ42" s="665"/>
      <c r="AR42" s="665"/>
    </row>
    <row customHeight="1" ht="21">
      <c r="A43" s="1522" t="s">
        <v>183</v>
      </c>
      <c r="B43" s="1522"/>
      <c r="C43" s="1522"/>
      <c r="D43" s="1522"/>
      <c r="E43" s="2320">
        <v>1</v>
      </c>
      <c r="F43" s="1522"/>
      <c r="G43" s="1522"/>
      <c r="H43" s="1522"/>
      <c r="I43" s="1522"/>
      <c r="J43" s="1522"/>
      <c r="K43" s="1522"/>
      <c r="L43" s="1523"/>
      <c r="M43" s="1524"/>
      <c r="N43" s="1524"/>
      <c r="O43" s="1524"/>
      <c r="P43" s="515"/>
      <c r="Q43" s="514"/>
      <c r="R43" s="509"/>
      <c r="S43" s="1495">
        <f>INDEX(PT_DIFFERENTIATION_NUM_NTAR,MATCH(A43,PT_DIFFERENTIATION_NTAR_ID,0))</f>
        <v>0</v>
      </c>
      <c r="T43" s="452" t="s">
        <v>120</v>
      </c>
      <c r="U43" s="454"/>
      <c r="V43" s="2314"/>
      <c r="W43" s="2315"/>
      <c r="X43" s="2315"/>
      <c r="Y43" s="2315"/>
      <c r="Z43" s="2315"/>
      <c r="AA43" s="2315"/>
      <c r="AB43" s="2315"/>
      <c r="AC43" s="2316"/>
      <c r="AD43" s="2314" t="str">
        <f>INDEX(PT_DIFFERENTIATION_NTAR,MATCH(A43,PT_DIFFERENTIATION_NTAR_ID,0))</f>
        <v/>
      </c>
      <c r="AE43" s="2315"/>
      <c r="AF43" s="2315"/>
      <c r="AG43" s="2315"/>
      <c r="AH43" s="2315"/>
      <c r="AI43" s="2315"/>
      <c r="AJ43" s="2315"/>
      <c r="AK43" s="2315"/>
      <c r="AL43" s="2316"/>
      <c r="AM43" s="1416"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O43" s="654"/>
      <c r="AP43" s="654" t="str">
        <f>IF(T43="","",T43)</f>
        <v>Наименование тарифа</v>
      </c>
      <c r="AQ43" s="654"/>
      <c r="AR43" s="654"/>
    </row>
    <row customHeight="1" ht="21">
      <c r="A44" s="1522" t="s">
        <v>183</v>
      </c>
      <c r="B44" s="1522" t="s">
        <v>184</v>
      </c>
      <c r="C44" s="1522"/>
      <c r="D44" s="1522"/>
      <c r="E44" s="2321"/>
      <c r="F44" s="2320">
        <v>1</v>
      </c>
      <c r="G44" s="1522"/>
      <c r="H44" s="1522"/>
      <c r="I44" s="1522"/>
      <c r="J44" s="1522"/>
      <c r="K44" s="1522"/>
      <c r="L44" s="1523"/>
      <c r="M44" s="1524"/>
      <c r="N44" s="1524"/>
      <c r="O44" s="1524"/>
      <c r="P44" s="1491"/>
      <c r="Q44" s="506"/>
      <c r="R44" s="507"/>
      <c r="S44" s="1495" t="str">
        <f>INDEX(PT_DIFFERENTIATION_NUM_TER,MATCH(B44,PT_DIFFERENTIATION_TER_ID,0))</f>
        <v>.</v>
      </c>
      <c r="T44" s="462" t="s">
        <v>397</v>
      </c>
      <c r="U44" s="454"/>
      <c r="V44" s="2314"/>
      <c r="W44" s="2315"/>
      <c r="X44" s="2315"/>
      <c r="Y44" s="2315"/>
      <c r="Z44" s="2315"/>
      <c r="AA44" s="2315"/>
      <c r="AB44" s="2315"/>
      <c r="AC44" s="2316"/>
      <c r="AD44" s="2314" t="str">
        <f>INDEX(PT_DIFFERENTIATION_TER,MATCH(B44,PT_DIFFERENTIATION_TER_ID,0))</f>
        <v/>
      </c>
      <c r="AE44" s="2315"/>
      <c r="AF44" s="2315"/>
      <c r="AG44" s="2315"/>
      <c r="AH44" s="2315"/>
      <c r="AI44" s="2315"/>
      <c r="AJ44" s="2315"/>
      <c r="AK44" s="2315"/>
      <c r="AL44" s="2316"/>
      <c r="AM44" s="1416" t="s">
        <v>398</v>
      </c>
      <c r="AO44" s="654"/>
      <c r="AP44" s="654" t="str">
        <f>IF(T44="","",T44)</f>
        <v>Территория действия тарифа</v>
      </c>
      <c r="AQ44" s="654"/>
      <c r="AR44" s="654"/>
    </row>
    <row customHeight="1" ht="23.25">
      <c r="A45" s="1522" t="s">
        <v>183</v>
      </c>
      <c r="B45" s="1522" t="s">
        <v>184</v>
      </c>
      <c r="C45" s="1522" t="s">
        <v>185</v>
      </c>
      <c r="D45" s="1522"/>
      <c r="E45" s="2321"/>
      <c r="F45" s="2321"/>
      <c r="G45" s="2320">
        <v>1</v>
      </c>
      <c r="H45" s="1522"/>
      <c r="I45" s="1522"/>
      <c r="J45" s="1522"/>
      <c r="K45" s="1522"/>
      <c r="L45" s="1523"/>
      <c r="M45" s="1524"/>
      <c r="N45" s="1524"/>
      <c r="O45" s="1524"/>
      <c r="P45" s="508"/>
      <c r="Q45" s="506"/>
      <c r="R45" s="507"/>
      <c r="S45" s="1495" t="str">
        <f>INDEX(PT_DIFFERENTIATION_NUM_CS,MATCH(C45,PT_DIFFERENTIATION_CS_ID,0))</f>
        <v>..</v>
      </c>
      <c r="T45" s="463" t="s">
        <v>399</v>
      </c>
      <c r="U45" s="454"/>
      <c r="V45" s="2314"/>
      <c r="W45" s="2315"/>
      <c r="X45" s="2315"/>
      <c r="Y45" s="2315"/>
      <c r="Z45" s="2315"/>
      <c r="AA45" s="2315"/>
      <c r="AB45" s="2315"/>
      <c r="AC45" s="2316"/>
      <c r="AD45" s="2314" t="str">
        <f>INDEX(PT_DIFFERENTIATION_CS,MATCH(C45,PT_DIFFERENTIATION_CS_ID,0))</f>
        <v/>
      </c>
      <c r="AE45" s="2315"/>
      <c r="AF45" s="2315"/>
      <c r="AG45" s="2315"/>
      <c r="AH45" s="2315"/>
      <c r="AI45" s="2315"/>
      <c r="AJ45" s="2315"/>
      <c r="AK45" s="2315"/>
      <c r="AL45" s="2316"/>
      <c r="AM45" s="1416" t="s">
        <v>400</v>
      </c>
      <c r="AO45" s="654"/>
      <c r="AP45" s="654" t="str">
        <f>IF(T45="","",T45)</f>
        <v>Наименование системы теплоснабжения </v>
      </c>
      <c r="AQ45" s="654"/>
      <c r="AR45" s="654"/>
    </row>
    <row customHeight="1" ht="21">
      <c r="A46" s="1522" t="s">
        <v>183</v>
      </c>
      <c r="B46" s="1522" t="s">
        <v>184</v>
      </c>
      <c r="C46" s="1522" t="s">
        <v>185</v>
      </c>
      <c r="D46" s="1522" t="s">
        <v>186</v>
      </c>
      <c r="E46" s="2321"/>
      <c r="F46" s="2321"/>
      <c r="G46" s="2321"/>
      <c r="H46" s="2320">
        <v>1</v>
      </c>
      <c r="I46" s="1522"/>
      <c r="J46" s="1522"/>
      <c r="K46" s="1522"/>
      <c r="L46" s="1523"/>
      <c r="M46" s="1524"/>
      <c r="N46" s="1524"/>
      <c r="O46" s="1524"/>
      <c r="P46" s="508"/>
      <c r="Q46" s="506"/>
      <c r="R46" s="507"/>
      <c r="S46" s="1495" t="str">
        <f>INDEX(PT_DIFFERENTIATION_NUM_IST_TE,MATCH(D46,PT_DIFFERENTIATION_IST_TE_ID,0))</f>
        <v>...</v>
      </c>
      <c r="T46" s="464" t="s">
        <v>401</v>
      </c>
      <c r="U46" s="454"/>
      <c r="V46" s="2314"/>
      <c r="W46" s="2315"/>
      <c r="X46" s="2315"/>
      <c r="Y46" s="2315"/>
      <c r="Z46" s="2315"/>
      <c r="AA46" s="2315"/>
      <c r="AB46" s="2315"/>
      <c r="AC46" s="2316"/>
      <c r="AD46" s="2314" t="str">
        <f>INDEX(PT_DIFFERENTIATION_IST_TE,MATCH(D46,PT_DIFFERENTIATION_IST_TE_ID,0))</f>
        <v/>
      </c>
      <c r="AE46" s="2315"/>
      <c r="AF46" s="2315"/>
      <c r="AG46" s="2315"/>
      <c r="AH46" s="2315"/>
      <c r="AI46" s="2315"/>
      <c r="AJ46" s="2315"/>
      <c r="AK46" s="2315"/>
      <c r="AL46" s="2316"/>
      <c r="AM46" s="1416" t="s">
        <v>402</v>
      </c>
      <c r="AO46" s="654"/>
      <c r="AP46" s="654" t="str">
        <f>IF(T46="","",T46)</f>
        <v>Источник тепловой энергии  </v>
      </c>
      <c r="AQ46" s="654"/>
      <c r="AR46" s="654"/>
    </row>
    <row s="8794" customFormat="1" customHeight="1" ht="0">
      <c r="A47" s="1502" t="s">
        <v>183</v>
      </c>
      <c r="B47" s="1502" t="s">
        <v>184</v>
      </c>
      <c r="C47" s="1502" t="s">
        <v>185</v>
      </c>
      <c r="D47" s="1502" t="s">
        <v>186</v>
      </c>
      <c r="E47" s="2321"/>
      <c r="F47" s="2321"/>
      <c r="G47" s="2321"/>
      <c r="H47" s="2321"/>
      <c r="I47" s="2322" t="str">
        <f>S46&amp;".1"</f>
        <v>....1</v>
      </c>
      <c r="J47" s="1502"/>
      <c r="K47" s="1502"/>
      <c r="L47" s="1505" t="s">
        <v>403</v>
      </c>
      <c r="M47" s="664"/>
      <c r="N47" s="664"/>
      <c r="O47" s="664"/>
      <c r="P47" s="2324">
        <v>1</v>
      </c>
      <c r="Q47" s="1490"/>
      <c r="R47" s="510"/>
      <c r="S47" s="1197"/>
      <c r="T47" s="1542"/>
      <c r="U47" s="1543"/>
      <c r="V47" s="2362"/>
      <c r="W47" s="2363"/>
      <c r="X47" s="2363"/>
      <c r="Y47" s="2363"/>
      <c r="Z47" s="2363"/>
      <c r="AA47" s="2363"/>
      <c r="AB47" s="2363"/>
      <c r="AC47" s="2364"/>
      <c r="AD47" s="2362"/>
      <c r="AE47" s="2363"/>
      <c r="AF47" s="2363"/>
      <c r="AG47" s="2363"/>
      <c r="AH47" s="2363"/>
      <c r="AI47" s="2363"/>
      <c r="AJ47" s="2363"/>
      <c r="AK47" s="2363"/>
      <c r="AL47" s="2364"/>
      <c r="AM47" s="1544"/>
      <c r="AO47" s="654"/>
      <c r="AP47" s="654" t="str">
        <f>IF(T47="","",T47)</f>
        <v/>
      </c>
      <c r="AQ47" s="654"/>
      <c r="AR47" s="654"/>
    </row>
    <row customHeight="1" ht="21">
      <c r="A48" s="1522" t="s">
        <v>183</v>
      </c>
      <c r="B48" s="1522" t="s">
        <v>184</v>
      </c>
      <c r="C48" s="1522" t="s">
        <v>185</v>
      </c>
      <c r="D48" s="1522" t="s">
        <v>186</v>
      </c>
      <c r="E48" s="2321"/>
      <c r="F48" s="2321"/>
      <c r="G48" s="2321"/>
      <c r="H48" s="2321"/>
      <c r="I48" s="2323"/>
      <c r="J48" s="2322" t="str">
        <f>S46&amp;".1"</f>
        <v>....1</v>
      </c>
      <c r="K48" s="1522"/>
      <c r="L48" s="1523" t="s">
        <v>406</v>
      </c>
      <c r="P48" s="2324"/>
      <c r="Q48" s="2324">
        <v>1</v>
      </c>
      <c r="R48" s="511"/>
      <c r="S48" s="1495" t="str">
        <f>$J48</f>
        <v>....1</v>
      </c>
      <c r="T48" s="440" t="s">
        <v>407</v>
      </c>
      <c r="U48" s="454"/>
      <c r="V48" s="2308"/>
      <c r="W48" s="2309"/>
      <c r="X48" s="2309"/>
      <c r="Y48" s="2309"/>
      <c r="Z48" s="2309"/>
      <c r="AA48" s="2309"/>
      <c r="AB48" s="2309"/>
      <c r="AC48" s="2310"/>
      <c r="AD48" s="2308"/>
      <c r="AE48" s="2309"/>
      <c r="AF48" s="2309"/>
      <c r="AG48" s="2309"/>
      <c r="AH48" s="2309"/>
      <c r="AI48" s="2309"/>
      <c r="AJ48" s="2309"/>
      <c r="AK48" s="2309"/>
      <c r="AL48" s="2310"/>
      <c r="AM48" s="1416" t="s">
        <v>408</v>
      </c>
      <c r="AO48" s="654"/>
      <c r="AP48" s="654" t="str">
        <f>IF(T48="","",T48)</f>
        <v>Группа потребителей</v>
      </c>
      <c r="AQ48" s="654"/>
      <c r="AR48" s="654"/>
    </row>
    <row customHeight="1" ht="21">
      <c r="A49" s="1522" t="s">
        <v>183</v>
      </c>
      <c r="B49" s="1522" t="s">
        <v>184</v>
      </c>
      <c r="C49" s="1522" t="s">
        <v>185</v>
      </c>
      <c r="D49" s="1522" t="s">
        <v>186</v>
      </c>
      <c r="E49" s="2321"/>
      <c r="F49" s="2321"/>
      <c r="G49" s="2321"/>
      <c r="H49" s="2321"/>
      <c r="I49" s="2323"/>
      <c r="J49" s="2323"/>
      <c r="K49" s="2322" t="str">
        <f>J48&amp;".1"</f>
        <v>....1.1</v>
      </c>
      <c r="L49" s="1523" t="s">
        <v>409</v>
      </c>
      <c r="P49" s="2324"/>
      <c r="Q49" s="2324"/>
      <c r="R49" s="511">
        <v>1</v>
      </c>
      <c r="S49" s="1495" t="str">
        <f>$K49</f>
        <v>....1.1</v>
      </c>
      <c r="T49" s="1506"/>
      <c r="U49" s="454"/>
      <c r="V49" s="905"/>
      <c r="W49" s="479"/>
      <c r="X49" s="905"/>
      <c r="Y49" s="1415"/>
      <c r="Z49" s="2325"/>
      <c r="AA49" s="2195" t="s">
        <v>64</v>
      </c>
      <c r="AB49" s="2325"/>
      <c r="AC49" s="2195" t="s">
        <v>64</v>
      </c>
      <c r="AD49" s="905"/>
      <c r="AE49" s="479"/>
      <c r="AF49" s="905"/>
      <c r="AG49" s="1415"/>
      <c r="AH49" s="2325"/>
      <c r="AI49" s="2195" t="s">
        <v>64</v>
      </c>
      <c r="AJ49" s="2327"/>
      <c r="AK49" s="2195" t="s">
        <v>64</v>
      </c>
      <c r="AL49" s="1507"/>
      <c r="AM49" s="2350" t="s">
        <v>448</v>
      </c>
      <c r="AN49" s="665">
        <f>STRCHECKDATE(V50:AL50)</f>
      </c>
      <c r="AO49" s="654"/>
      <c r="AP49" s="654" t="str">
        <f>IF(T49="","",T49)</f>
        <v/>
      </c>
      <c r="AQ49" s="654"/>
      <c r="AR49" s="654"/>
    </row>
    <row customHeight="1" ht="0">
      <c r="A50" s="1522" t="s">
        <v>183</v>
      </c>
      <c r="B50" s="1522" t="s">
        <v>184</v>
      </c>
      <c r="C50" s="1522" t="s">
        <v>185</v>
      </c>
      <c r="D50" s="1522" t="s">
        <v>186</v>
      </c>
      <c r="E50" s="2321"/>
      <c r="F50" s="2321"/>
      <c r="G50" s="2321"/>
      <c r="H50" s="2321"/>
      <c r="I50" s="2323"/>
      <c r="J50" s="2323"/>
      <c r="K50" s="2322"/>
      <c r="L50" s="1523"/>
      <c r="P50" s="2324"/>
      <c r="Q50" s="2324"/>
      <c r="R50" s="511"/>
      <c r="S50" s="1501"/>
      <c r="T50" s="454"/>
      <c r="U50" s="454"/>
      <c r="V50" s="479"/>
      <c r="W50" s="479"/>
      <c r="X50" s="479"/>
      <c r="Y50" s="482" t="str">
        <f>Z49&amp;"-"&amp;AB49</f>
        <v>-</v>
      </c>
      <c r="Z50" s="2326"/>
      <c r="AA50" s="2195"/>
      <c r="AB50" s="2326"/>
      <c r="AC50" s="2195"/>
      <c r="AD50" s="479"/>
      <c r="AE50" s="479"/>
      <c r="AF50" s="479"/>
      <c r="AG50" s="482" t="str">
        <f>AH49&amp;"-"&amp;AJ49</f>
        <v>-</v>
      </c>
      <c r="AH50" s="2326"/>
      <c r="AI50" s="2195"/>
      <c r="AJ50" s="2328"/>
      <c r="AK50" s="2195"/>
      <c r="AL50" s="1508"/>
      <c r="AM50" s="2351"/>
      <c r="AO50" s="654"/>
      <c r="AP50" s="654" t="str">
        <f>IF(T50="","",T50)</f>
        <v/>
      </c>
      <c r="AQ50" s="654"/>
      <c r="AR50" s="654"/>
    </row>
    <row customHeight="1" ht="11.25">
      <c r="A51" s="1522" t="s">
        <v>183</v>
      </c>
      <c r="B51" s="1522" t="s">
        <v>184</v>
      </c>
      <c r="C51" s="1522" t="s">
        <v>185</v>
      </c>
      <c r="D51" s="1522" t="s">
        <v>186</v>
      </c>
      <c r="E51" s="2321"/>
      <c r="F51" s="2321"/>
      <c r="G51" s="2321"/>
      <c r="H51" s="2321"/>
      <c r="I51" s="2323"/>
      <c r="J51" s="2322"/>
      <c r="K51" s="1522"/>
      <c r="L51" s="1523"/>
      <c r="P51" s="2324"/>
      <c r="Q51" s="2324"/>
      <c r="R51" s="510"/>
      <c r="S51" s="1437"/>
      <c r="T51" s="441" t="s">
        <v>411</v>
      </c>
      <c r="U51" s="521"/>
      <c r="V51" s="521"/>
      <c r="W51" s="521"/>
      <c r="X51" s="521"/>
      <c r="Y51" s="521"/>
      <c r="Z51" s="521"/>
      <c r="AA51" s="521"/>
      <c r="AB51" s="521"/>
      <c r="AC51" s="521"/>
      <c r="AD51" s="521"/>
      <c r="AE51" s="521"/>
      <c r="AF51" s="521"/>
      <c r="AG51" s="521"/>
      <c r="AH51" s="521"/>
      <c r="AI51" s="521"/>
      <c r="AJ51" s="521"/>
      <c r="AK51" s="521"/>
      <c r="AL51" s="478"/>
      <c r="AM51" s="2352"/>
      <c r="AO51" s="654"/>
      <c r="AP51" s="654" t="str">
        <f>IF(T51="","",T51)</f>
        <v>Добавить вид теплоносителя (параметры теплоносителя)</v>
      </c>
      <c r="AQ51" s="654"/>
      <c r="AR51" s="654"/>
    </row>
    <row customHeight="1" ht="11.25">
      <c r="A52" s="1522" t="s">
        <v>183</v>
      </c>
      <c r="B52" s="1522" t="s">
        <v>184</v>
      </c>
      <c r="C52" s="1522" t="s">
        <v>185</v>
      </c>
      <c r="D52" s="1522" t="s">
        <v>186</v>
      </c>
      <c r="E52" s="2321"/>
      <c r="F52" s="2321"/>
      <c r="G52" s="2321"/>
      <c r="H52" s="2321"/>
      <c r="I52" s="2322"/>
      <c r="J52" s="1522"/>
      <c r="K52" s="1522"/>
      <c r="L52" s="1523"/>
      <c r="P52" s="2324"/>
      <c r="Q52" s="1490"/>
      <c r="R52" s="510"/>
      <c r="S52" s="1437"/>
      <c r="T52" s="519" t="s">
        <v>412</v>
      </c>
      <c r="U52" s="521"/>
      <c r="V52" s="521"/>
      <c r="W52" s="521"/>
      <c r="X52" s="521"/>
      <c r="Y52" s="521"/>
      <c r="Z52" s="521"/>
      <c r="AA52" s="521"/>
      <c r="AB52" s="521"/>
      <c r="AC52" s="520"/>
      <c r="AD52" s="521"/>
      <c r="AE52" s="521"/>
      <c r="AF52" s="521"/>
      <c r="AG52" s="521"/>
      <c r="AH52" s="521"/>
      <c r="AI52" s="521"/>
      <c r="AJ52" s="521"/>
      <c r="AK52" s="520"/>
      <c r="AL52" s="521"/>
      <c r="AM52" s="457"/>
      <c r="AO52" s="654"/>
      <c r="AP52" s="654" t="str">
        <f>IF(T52="","",T52)</f>
        <v>Добавить группу потребителей</v>
      </c>
      <c r="AQ52" s="654"/>
      <c r="AR52" s="654"/>
    </row>
    <row customHeight="1" ht="0">
      <c r="A53" s="1522" t="s">
        <v>183</v>
      </c>
      <c r="B53" s="1522" t="s">
        <v>184</v>
      </c>
      <c r="C53" s="1522" t="s">
        <v>185</v>
      </c>
      <c r="D53" s="1522" t="s">
        <v>186</v>
      </c>
      <c r="E53" s="2321"/>
      <c r="F53" s="2321"/>
      <c r="G53" s="2321"/>
      <c r="H53" s="2320"/>
      <c r="I53" s="1522"/>
      <c r="J53" s="1522"/>
      <c r="K53" s="1522"/>
      <c r="L53" s="1523"/>
      <c r="M53" s="1524"/>
      <c r="N53" s="1524"/>
      <c r="O53" s="691"/>
      <c r="P53" s="514"/>
      <c r="Q53" s="529"/>
      <c r="R53" s="509"/>
      <c r="S53" s="1545"/>
      <c r="T53" s="1546"/>
      <c r="U53" s="1547"/>
      <c r="V53" s="1547"/>
      <c r="W53" s="1547"/>
      <c r="X53" s="1547"/>
      <c r="Y53" s="1547"/>
      <c r="Z53" s="1547"/>
      <c r="AA53" s="1547"/>
      <c r="AB53" s="1547"/>
      <c r="AC53" s="1547"/>
      <c r="AD53" s="1547"/>
      <c r="AE53" s="1547"/>
      <c r="AF53" s="1547"/>
      <c r="AG53" s="1547"/>
      <c r="AH53" s="1547"/>
      <c r="AI53" s="1547"/>
      <c r="AJ53" s="1547"/>
      <c r="AK53" s="1547"/>
      <c r="AL53" s="1547"/>
      <c r="AM53" s="1548"/>
      <c r="AO53" s="654"/>
      <c r="AP53" s="654" t="str">
        <f>IF(T53="","",T53)</f>
        <v/>
      </c>
      <c r="AQ53" s="654"/>
      <c r="AR53" s="654"/>
    </row>
    <row s="8702" customFormat="1" customHeight="1" ht="0">
      <c r="A54" s="1502" t="s">
        <v>183</v>
      </c>
      <c r="B54" s="1502" t="s">
        <v>184</v>
      </c>
      <c r="C54" s="1502" t="s">
        <v>185</v>
      </c>
      <c r="D54" s="1473"/>
      <c r="E54" s="2321"/>
      <c r="F54" s="2321"/>
      <c r="G54" s="2320"/>
      <c r="H54" s="1473"/>
      <c r="I54" s="1473"/>
      <c r="J54" s="1473"/>
      <c r="K54" s="1473"/>
      <c r="L54" s="1498"/>
      <c r="M54" s="1474"/>
      <c r="N54" s="1474"/>
      <c r="P54" s="1475"/>
      <c r="Q54" s="1476"/>
      <c r="R54" s="1475"/>
      <c r="S54" s="1481"/>
      <c r="T54" s="1484" t="s">
        <v>414</v>
      </c>
      <c r="U54" s="1483"/>
      <c r="V54" s="1483"/>
      <c r="W54" s="1483"/>
      <c r="X54" s="1483"/>
      <c r="Y54" s="1483"/>
      <c r="Z54" s="1483"/>
      <c r="AA54" s="1483"/>
      <c r="AB54" s="1483"/>
      <c r="AC54" s="1483"/>
      <c r="AD54" s="1483"/>
      <c r="AE54" s="1483"/>
      <c r="AF54" s="1483"/>
      <c r="AG54" s="1483"/>
      <c r="AH54" s="1483"/>
      <c r="AI54" s="1483"/>
      <c r="AJ54" s="1483"/>
      <c r="AK54" s="1483"/>
      <c r="AL54" s="1483"/>
      <c r="AM54" s="1483"/>
      <c r="AO54" s="943"/>
      <c r="AP54" s="943" t="str">
        <f>IF(T54="","",T54)</f>
        <v>Добавить источник для дифференциации</v>
      </c>
      <c r="AQ54" s="943"/>
      <c r="AR54" s="943"/>
    </row>
    <row s="8702" customFormat="1" customHeight="1" ht="0">
      <c r="A55" s="1502" t="s">
        <v>183</v>
      </c>
      <c r="B55" s="1502" t="s">
        <v>184</v>
      </c>
      <c r="C55" s="1473"/>
      <c r="D55" s="1473"/>
      <c r="E55" s="2321"/>
      <c r="F55" s="2320"/>
      <c r="G55" s="1473"/>
      <c r="H55" s="1473"/>
      <c r="I55" s="1473"/>
      <c r="J55" s="1473"/>
      <c r="K55" s="1473"/>
      <c r="L55" s="1498"/>
      <c r="M55" s="1480"/>
      <c r="N55" s="1480"/>
      <c r="P55" s="1475"/>
      <c r="Q55" s="1476"/>
      <c r="R55" s="1475"/>
      <c r="S55" s="1481"/>
      <c r="T55" s="1484" t="s">
        <v>251</v>
      </c>
      <c r="U55" s="1483"/>
      <c r="V55" s="1483"/>
      <c r="W55" s="1483"/>
      <c r="X55" s="1483"/>
      <c r="Y55" s="1483"/>
      <c r="Z55" s="1483"/>
      <c r="AA55" s="1483"/>
      <c r="AB55" s="1483"/>
      <c r="AC55" s="1483"/>
      <c r="AD55" s="1483"/>
      <c r="AE55" s="1483"/>
      <c r="AF55" s="1483"/>
      <c r="AG55" s="1483"/>
      <c r="AH55" s="1483"/>
      <c r="AI55" s="1483"/>
      <c r="AJ55" s="1483"/>
      <c r="AK55" s="1483"/>
      <c r="AL55" s="1483"/>
      <c r="AM55" s="1483"/>
      <c r="AO55" s="943"/>
      <c r="AP55" s="943" t="str">
        <f>IF(T55="","",T55)</f>
        <v>Добавить централизованную систему для дифференциации</v>
      </c>
      <c r="AQ55" s="943"/>
      <c r="AR55" s="943"/>
    </row>
    <row s="8794" customFormat="1" customHeight="1" ht="0">
      <c r="A56" s="1502" t="s">
        <v>183</v>
      </c>
      <c r="B56" s="1502"/>
      <c r="C56" s="1502"/>
      <c r="D56" s="1502"/>
      <c r="E56" s="2320"/>
      <c r="F56" s="1502"/>
      <c r="G56" s="1502"/>
      <c r="H56" s="1502"/>
      <c r="I56" s="1502"/>
      <c r="J56" s="1502"/>
      <c r="K56" s="1502"/>
      <c r="L56" s="1505"/>
      <c r="M56" s="1480"/>
      <c r="N56" s="1480"/>
      <c r="O56" s="672"/>
      <c r="P56" s="534"/>
      <c r="Q56" s="1503"/>
      <c r="R56" s="534"/>
      <c r="S56" s="1481"/>
      <c r="T56" s="1484" t="s">
        <v>252</v>
      </c>
      <c r="U56" s="1483"/>
      <c r="V56" s="1483"/>
      <c r="W56" s="1483"/>
      <c r="X56" s="1483"/>
      <c r="Y56" s="1483"/>
      <c r="Z56" s="1483"/>
      <c r="AA56" s="1483"/>
      <c r="AB56" s="1483"/>
      <c r="AC56" s="1483"/>
      <c r="AD56" s="1483"/>
      <c r="AE56" s="1483"/>
      <c r="AF56" s="1483"/>
      <c r="AG56" s="1483"/>
      <c r="AH56" s="1483"/>
      <c r="AI56" s="1483"/>
      <c r="AJ56" s="1483"/>
      <c r="AK56" s="1483"/>
      <c r="AL56" s="1483"/>
      <c r="AM56" s="1483"/>
      <c r="AO56" s="654"/>
      <c r="AP56" s="654" t="str">
        <f>IF(T56="","",T56)</f>
        <v>Добавить территорию для дифференциации</v>
      </c>
      <c r="AQ56" s="654"/>
      <c r="AR56" s="654"/>
    </row>
    <row s="8702" customFormat="1" customHeight="1" ht="5.25">
      <c r="A57" s="1473"/>
      <c r="B57" s="1473"/>
      <c r="C57" s="1473"/>
      <c r="D57" s="1473"/>
      <c r="E57" s="1502"/>
      <c r="F57" s="1473"/>
      <c r="G57" s="1473"/>
      <c r="H57" s="1473"/>
      <c r="I57" s="1473"/>
      <c r="J57" s="1473"/>
      <c r="K57" s="1473"/>
      <c r="L57" s="1498"/>
      <c r="M57" s="1480"/>
      <c r="N57" s="1480"/>
      <c r="P57" s="1475"/>
      <c r="Q57" s="1476"/>
      <c r="R57" s="1475"/>
      <c r="S57" s="1481"/>
      <c r="T57" s="1484" t="s">
        <v>253</v>
      </c>
      <c r="U57" s="1483"/>
      <c r="V57" s="1483"/>
      <c r="W57" s="1483"/>
      <c r="X57" s="1483"/>
      <c r="Y57" s="1483"/>
      <c r="Z57" s="1483"/>
      <c r="AA57" s="1483"/>
      <c r="AB57" s="1483"/>
      <c r="AC57" s="1483"/>
      <c r="AD57" s="1483"/>
      <c r="AE57" s="1483"/>
      <c r="AF57" s="1483"/>
      <c r="AG57" s="1483"/>
      <c r="AH57" s="1483"/>
      <c r="AI57" s="1483"/>
      <c r="AJ57" s="1483"/>
      <c r="AK57" s="1483"/>
      <c r="AL57" s="1483"/>
      <c r="AM57" s="1483"/>
      <c r="AO57" s="943"/>
      <c r="AP57" s="943" t="str">
        <f>IF(T57="","",T57)</f>
        <v>Добавить наименование тарифа</v>
      </c>
      <c r="AQ57" s="943"/>
      <c r="AR57" s="943"/>
    </row>
    <row customHeight="1" ht="11.25">
      <c r="M58" s="1316"/>
      <c r="N58" s="1316"/>
      <c r="O58" s="691"/>
      <c r="P58" s="1311"/>
      <c r="Q58" s="1311"/>
      <c r="R58" s="1311"/>
      <c r="S58" s="1311"/>
      <c r="AN58" s="1311"/>
      <c r="AO58" s="1311"/>
      <c r="AP58" s="1311"/>
      <c r="AQ58" s="1311"/>
      <c r="AR58" s="1311"/>
    </row>
    <row customHeight="1" ht="14.25">
      <c r="O59" s="691"/>
      <c r="S59" s="1411"/>
      <c r="T59" s="2319"/>
      <c r="U59" s="2319"/>
      <c r="V59" s="2319"/>
      <c r="W59" s="2319"/>
      <c r="X59" s="2319"/>
      <c r="Y59" s="2319"/>
      <c r="Z59" s="2319"/>
      <c r="AA59" s="2319"/>
      <c r="AB59" s="2319"/>
      <c r="AC59" s="2319"/>
      <c r="AD59" s="2319"/>
      <c r="AE59" s="2319"/>
      <c r="AF59" s="2319"/>
      <c r="AG59" s="2319"/>
      <c r="AH59" s="2319"/>
      <c r="AI59" s="2319"/>
      <c r="AJ59" s="2319"/>
      <c r="AK59" s="2319"/>
      <c r="AL59" s="2319"/>
      <c r="AM59" s="2319"/>
    </row>
    <row customHeight="1" ht="14.25">
      <c r="O60" s="691"/>
      <c r="T60" s="2319"/>
      <c r="U60" s="2319"/>
      <c r="V60" s="2319"/>
      <c r="W60" s="2319"/>
      <c r="X60" s="2319"/>
      <c r="Y60" s="2319"/>
      <c r="Z60" s="2319"/>
      <c r="AA60" s="2319"/>
      <c r="AB60" s="2319"/>
      <c r="AC60" s="2319"/>
      <c r="AD60" s="2319"/>
      <c r="AE60" s="2319"/>
      <c r="AF60" s="2319"/>
      <c r="AG60" s="2319"/>
      <c r="AH60" s="2319"/>
      <c r="AI60" s="2319"/>
      <c r="AJ60" s="2319"/>
      <c r="AK60" s="2319"/>
      <c r="AL60" s="2319"/>
      <c r="AM60" s="2319"/>
    </row>
    <row customHeight="1" ht="14.25">
      <c r="O61" s="691"/>
      <c r="T61" s="2319"/>
      <c r="U61" s="2319"/>
      <c r="V61" s="2319"/>
      <c r="W61" s="2319"/>
      <c r="X61" s="2319"/>
      <c r="Y61" s="2319"/>
      <c r="Z61" s="2319"/>
      <c r="AA61" s="2319"/>
      <c r="AB61" s="2319"/>
      <c r="AC61" s="2319"/>
      <c r="AD61" s="2319"/>
      <c r="AE61" s="2319"/>
      <c r="AF61" s="2319"/>
      <c r="AG61" s="2319"/>
      <c r="AH61" s="2319"/>
      <c r="AI61" s="2319"/>
      <c r="AJ61" s="2319"/>
      <c r="AK61" s="2319"/>
      <c r="AL61" s="2319"/>
      <c r="AM61" s="2319"/>
    </row>
    <row customHeight="1" ht="14.25">
      <c r="O62" s="691"/>
    </row>
    <row customHeight="1" ht="14.25">
      <c r="O63" s="691"/>
      <c r="S63" s="1411"/>
      <c r="T63" s="2365"/>
      <c r="U63" s="2319"/>
      <c r="V63" s="2319"/>
      <c r="W63" s="2319"/>
      <c r="X63" s="2319"/>
      <c r="Y63" s="2319"/>
      <c r="Z63" s="2319"/>
      <c r="AA63" s="2319"/>
      <c r="AB63" s="2319"/>
      <c r="AC63" s="2319"/>
      <c r="AD63" s="2319"/>
      <c r="AE63" s="2319"/>
      <c r="AF63" s="2319"/>
      <c r="AG63" s="2319"/>
      <c r="AH63" s="2319"/>
      <c r="AI63" s="2319"/>
      <c r="AJ63" s="2319"/>
      <c r="AK63" s="2319"/>
      <c r="AL63" s="2319"/>
      <c r="AM63" s="2319"/>
    </row>
    <row customHeight="1" ht="14.25">
      <c r="O64" s="691"/>
      <c r="T64" s="2319"/>
      <c r="U64" s="2319"/>
      <c r="V64" s="2319"/>
      <c r="W64" s="2319"/>
      <c r="X64" s="2319"/>
      <c r="Y64" s="2319"/>
      <c r="Z64" s="2319"/>
      <c r="AA64" s="2319"/>
      <c r="AB64" s="2319"/>
      <c r="AC64" s="2319"/>
      <c r="AD64" s="2319"/>
      <c r="AE64" s="2319"/>
      <c r="AF64" s="2319"/>
      <c r="AG64" s="2319"/>
      <c r="AH64" s="2319"/>
      <c r="AI64" s="2319"/>
      <c r="AJ64" s="2319"/>
      <c r="AK64" s="2319"/>
      <c r="AL64" s="2319"/>
      <c r="AM64" s="2319"/>
    </row>
    <row customHeight="1" ht="14.25">
      <c r="T65" s="2319"/>
      <c r="U65" s="2319"/>
      <c r="V65" s="2319"/>
      <c r="W65" s="2319"/>
      <c r="X65" s="2319"/>
      <c r="Y65" s="2319"/>
      <c r="Z65" s="2319"/>
      <c r="AA65" s="2319"/>
      <c r="AB65" s="2319"/>
      <c r="AC65" s="2319"/>
      <c r="AD65" s="2319"/>
      <c r="AE65" s="2319"/>
      <c r="AF65" s="2319"/>
      <c r="AG65" s="2319"/>
      <c r="AH65" s="2319"/>
      <c r="AI65" s="2319"/>
      <c r="AJ65" s="2319"/>
      <c r="AK65" s="2319"/>
      <c r="AL65" s="2319"/>
      <c r="AM65" s="2319"/>
    </row>
  </sheetData>
  <sheetProtection formatColumns="0" formatRows="0" autoFilter="0" sort="0" insertRows="0" insertColumns="1" deleteRows="0" deleteColumns="0"/>
  <mergeCells count="113">
    <mergeCell ref="S26:AJ26"/>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S31:T31"/>
    <mergeCell ref="V31:AB31"/>
    <mergeCell ref="AD31:AJ31"/>
    <mergeCell ref="S32:T32"/>
    <mergeCell ref="V32:AB32"/>
    <mergeCell ref="AD32:AJ32"/>
    <mergeCell ref="S27:AJ27"/>
    <mergeCell ref="S29:T29"/>
    <mergeCell ref="V29:AB29"/>
    <mergeCell ref="AD29:AJ29"/>
    <mergeCell ref="S30:T30"/>
    <mergeCell ref="V30:AB30"/>
    <mergeCell ref="AD30:AJ30"/>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I41:AJ41"/>
    <mergeCell ref="AH40:AJ40"/>
    <mergeCell ref="AA41:AB41"/>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V37:AC37"/>
    <mergeCell ref="AD37:AK37"/>
    <mergeCell ref="AI49:AI50"/>
    <mergeCell ref="AJ49:AJ50"/>
    <mergeCell ref="AK49:AK50"/>
    <mergeCell ref="T65:AM65"/>
    <mergeCell ref="S34:T34"/>
    <mergeCell ref="V34:AB34"/>
    <mergeCell ref="AD34:AJ34"/>
    <mergeCell ref="S35:T35"/>
    <mergeCell ref="V35:AB35"/>
    <mergeCell ref="AD35:AJ35"/>
    <mergeCell ref="T63:AM63"/>
    <mergeCell ref="T64:AM64"/>
    <mergeCell ref="AM49:AM51"/>
    <mergeCell ref="T59:AM59"/>
    <mergeCell ref="T60:AM60"/>
    <mergeCell ref="T61:AM61"/>
    <mergeCell ref="V47:AC47"/>
    <mergeCell ref="AD47:AL47"/>
    <mergeCell ref="AA42:AB42"/>
    <mergeCell ref="AI42:AJ42"/>
    <mergeCell ref="AE40:AE41"/>
    <mergeCell ref="AF40:AG40"/>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A0D7299-0A46-B373-9B27-C1F17BFD512D}" mc:Ignorable="x14ac xr xr2 xr3">
  <sheetPr>
    <tabColor theme="6" tint="0.4"/>
  </sheetPr>
  <dimension ref="A1:AV71"/>
  <sheetViews>
    <sheetView topLeftCell="A1" showGridLines="0" zoomScale="90" workbookViewId="0">
      <selection activeCell="A1" sqref="A1"/>
    </sheetView>
  </sheetViews>
  <sheetFormatPr defaultColWidth="10.57421875" customHeight="1" defaultRowHeight="14.25"/>
  <cols>
    <col min="1" max="1" style="8807" width="10.57421875" hidden="1"/>
    <col min="2" max="2" style="8807" width="11.00390625" hidden="1" customWidth="1"/>
    <col min="3" max="3" style="8807" width="10.57421875" hidden="1"/>
    <col min="4" max="4" style="8807" width="11.8515625" hidden="1" customWidth="1"/>
    <col min="5" max="5" style="8807" width="10.00390625" hidden="1" customWidth="1"/>
    <col min="6" max="6" style="8807" width="8.7109375" hidden="1" customWidth="1"/>
    <col min="7" max="7" style="8807" width="7.57421875" hidden="1" customWidth="1"/>
    <col min="8" max="8" style="8807" width="11.421875" hidden="1" customWidth="1"/>
    <col min="9" max="9" style="8807" width="12.00390625" hidden="1" customWidth="1"/>
    <col min="10" max="10" style="8807" width="9.8515625" hidden="1" customWidth="1"/>
    <col min="11" max="12" style="8807" width="11.421875" hidden="1" customWidth="1"/>
    <col min="13" max="13" style="8912" width="19.140625" hidden="1" customWidth="1"/>
    <col min="14" max="15" style="8815" width="12.28125" hidden="1" customWidth="1"/>
    <col min="16" max="16" style="8815" width="23.421875" hidden="1" customWidth="1"/>
    <col min="17" max="17" style="8815" width="3.7109375" hidden="1" customWidth="1"/>
    <col min="18" max="20" style="8805" width="3.7109375" customWidth="1"/>
    <col min="21" max="21" style="8806" width="12.7109375" customWidth="1"/>
    <col min="22" max="22" style="8807" width="32.00390625" customWidth="1"/>
    <col min="23" max="23" style="8807" width="0.140625" customWidth="1"/>
    <col min="24" max="28" style="8807" width="21.7109375" hidden="1" customWidth="1"/>
    <col min="29" max="29" style="8807" width="11.7109375" hidden="1" customWidth="1"/>
    <col min="30" max="30" style="8807" width="3.7109375" hidden="1" customWidth="1"/>
    <col min="31" max="31" style="8807" width="11.7109375" hidden="1" customWidth="1"/>
    <col min="32" max="32" style="8807" width="8.57421875" hidden="1" customWidth="1"/>
    <col min="33" max="37" style="8807" width="21.7109375" customWidth="1"/>
    <col min="38" max="38" style="8807" width="11.7109375" customWidth="1"/>
    <col min="39" max="39" style="8807" width="3.7109375" customWidth="1"/>
    <col min="40" max="40" style="8807" width="11.7109375" customWidth="1"/>
    <col min="41" max="41" style="8807" width="8.57421875" customWidth="1"/>
    <col min="42" max="42" style="8807" width="4.7109375" customWidth="1"/>
    <col min="43" max="43" style="8807" width="115.7109375" customWidth="1"/>
    <col min="44" max="45" style="8794" width="10.57421875"/>
    <col min="46" max="46" style="8794" width="11.140625" customWidth="1"/>
    <col min="47" max="48" style="8794" width="10.57421875"/>
  </cols>
  <sheetData>
    <row customHeight="1" ht="14.25" hidden="1">
      <c r="AB1" s="481"/>
      <c r="AC1" s="481"/>
      <c r="AK1" s="481"/>
      <c r="AL1" s="481"/>
    </row>
    <row customHeight="1" ht="21" hidden="1">
      <c r="A2" s="1426"/>
      <c r="B2" s="1426"/>
      <c r="C2" s="1426"/>
      <c r="D2" s="1426"/>
      <c r="E2" s="2355">
        <v>1</v>
      </c>
      <c r="F2" s="1426"/>
      <c r="G2" s="1426"/>
      <c r="H2" s="1426"/>
      <c r="I2" s="1426"/>
      <c r="J2" s="1426"/>
      <c r="K2" s="1426"/>
      <c r="L2" s="1426"/>
      <c r="M2" s="1469"/>
      <c r="N2" s="842"/>
      <c r="O2" s="842"/>
      <c r="P2" s="842"/>
      <c r="Q2" s="515"/>
      <c r="R2" s="514"/>
      <c r="S2" s="514"/>
      <c r="T2" s="509"/>
      <c r="U2" s="1495">
        <f>INDEX(PT_DIFFERENTIATION_NUM_NTAR,MATCH(A2,PT_DIFFERENTIATION_NTAR_ID,0))</f>
      </c>
      <c r="V2" s="452" t="s">
        <v>120</v>
      </c>
      <c r="W2" s="454"/>
      <c r="X2" s="2314"/>
      <c r="Y2" s="2315"/>
      <c r="Z2" s="2315"/>
      <c r="AA2" s="2315"/>
      <c r="AB2" s="2315"/>
      <c r="AC2" s="2315"/>
      <c r="AD2" s="2315"/>
      <c r="AE2" s="2315"/>
      <c r="AF2" s="2316"/>
      <c r="AG2" s="2314">
        <f>INDEX(PT_DIFFERENTIATION_NTAR,MATCH(A2,PT_DIFFERENTIATION_NTAR_ID,0))</f>
      </c>
      <c r="AH2" s="2315"/>
      <c r="AI2" s="2315"/>
      <c r="AJ2" s="2315"/>
      <c r="AK2" s="2315"/>
      <c r="AL2" s="2315"/>
      <c r="AM2" s="2315"/>
      <c r="AN2" s="2315"/>
      <c r="AO2" s="2315"/>
      <c r="AP2" s="2316"/>
      <c r="AQ2" s="1416" t="s">
        <v>396</v>
      </c>
      <c r="AS2" s="654"/>
      <c r="AT2" s="654" t="str">
        <f>IF(V2="","",V2)</f>
        <v>Наименование тарифа</v>
      </c>
      <c r="AU2" s="654"/>
      <c r="AV2" s="654"/>
    </row>
    <row customHeight="1" ht="21" hidden="1">
      <c r="A3" s="1426"/>
      <c r="B3" s="1426"/>
      <c r="C3" s="1426"/>
      <c r="D3" s="1426"/>
      <c r="E3" s="2356"/>
      <c r="F3" s="2355">
        <v>1</v>
      </c>
      <c r="G3" s="1426"/>
      <c r="H3" s="1426"/>
      <c r="I3" s="1426"/>
      <c r="J3" s="1426"/>
      <c r="K3" s="1426"/>
      <c r="L3" s="1426"/>
      <c r="M3" s="1469"/>
      <c r="N3" s="842"/>
      <c r="O3" s="842"/>
      <c r="P3" s="842"/>
      <c r="Q3" s="1491"/>
      <c r="R3" s="506"/>
      <c r="S3" s="663"/>
      <c r="T3" s="507"/>
      <c r="U3" s="1495">
        <f>INDEX(PT_DIFFERENTIATION_NUM_TER,MATCH(B3,PT_DIFFERENTIATION_TER_ID,0))</f>
      </c>
      <c r="V3" s="462" t="s">
        <v>397</v>
      </c>
      <c r="W3" s="454"/>
      <c r="X3" s="2314"/>
      <c r="Y3" s="2315"/>
      <c r="Z3" s="2315"/>
      <c r="AA3" s="2315"/>
      <c r="AB3" s="2315"/>
      <c r="AC3" s="2315"/>
      <c r="AD3" s="2315"/>
      <c r="AE3" s="2315"/>
      <c r="AF3" s="2316"/>
      <c r="AG3" s="2314">
        <f>INDEX(PT_DIFFERENTIATION_TER,MATCH(B3,PT_DIFFERENTIATION_TER_ID,0))</f>
      </c>
      <c r="AH3" s="2315"/>
      <c r="AI3" s="2315"/>
      <c r="AJ3" s="2315"/>
      <c r="AK3" s="2315"/>
      <c r="AL3" s="2315"/>
      <c r="AM3" s="2315"/>
      <c r="AN3" s="2315"/>
      <c r="AO3" s="2315"/>
      <c r="AP3" s="2316"/>
      <c r="AQ3" s="1416" t="s">
        <v>398</v>
      </c>
      <c r="AS3" s="654"/>
      <c r="AT3" s="654" t="str">
        <f>IF(V3="","",V3)</f>
        <v>Территория действия тарифа</v>
      </c>
      <c r="AU3" s="654"/>
      <c r="AV3" s="654"/>
    </row>
    <row customHeight="1" ht="22.5" hidden="1">
      <c r="A4" s="1426"/>
      <c r="B4" s="1426"/>
      <c r="C4" s="1426"/>
      <c r="D4" s="1426"/>
      <c r="E4" s="2356"/>
      <c r="F4" s="2356"/>
      <c r="G4" s="2355">
        <v>1</v>
      </c>
      <c r="H4" s="1426"/>
      <c r="I4" s="1426"/>
      <c r="J4" s="1426"/>
      <c r="K4" s="1426"/>
      <c r="L4" s="1426"/>
      <c r="M4" s="1469"/>
      <c r="N4" s="842"/>
      <c r="O4" s="842"/>
      <c r="P4" s="842"/>
      <c r="Q4" s="508"/>
      <c r="R4" s="506"/>
      <c r="S4" s="663"/>
      <c r="T4" s="507"/>
      <c r="U4" s="1495">
        <f>INDEX(PT_DIFFERENTIATION_NUM_CS,MATCH(C4,PT_DIFFERENTIATION_CS_ID,0))</f>
      </c>
      <c r="V4" s="463" t="s">
        <v>399</v>
      </c>
      <c r="W4" s="454"/>
      <c r="X4" s="2314"/>
      <c r="Y4" s="2315"/>
      <c r="Z4" s="2315"/>
      <c r="AA4" s="2315"/>
      <c r="AB4" s="2315"/>
      <c r="AC4" s="2315"/>
      <c r="AD4" s="2315"/>
      <c r="AE4" s="2315"/>
      <c r="AF4" s="2316"/>
      <c r="AG4" s="2314">
        <f>INDEX(PT_DIFFERENTIATION_CS,MATCH(C4,PT_DIFFERENTIATION_CS_ID,0))</f>
      </c>
      <c r="AH4" s="2315"/>
      <c r="AI4" s="2315"/>
      <c r="AJ4" s="2315"/>
      <c r="AK4" s="2315"/>
      <c r="AL4" s="2315"/>
      <c r="AM4" s="2315"/>
      <c r="AN4" s="2315"/>
      <c r="AO4" s="2315"/>
      <c r="AP4" s="2316"/>
      <c r="AQ4" s="1416" t="s">
        <v>400</v>
      </c>
      <c r="AS4" s="654"/>
      <c r="AT4" s="654" t="str">
        <f>IF(V4="","",V4)</f>
        <v>Наименование системы теплоснабжения </v>
      </c>
      <c r="AU4" s="654"/>
      <c r="AV4" s="654"/>
    </row>
    <row customHeight="1" ht="21" hidden="1">
      <c r="A5" s="1426"/>
      <c r="B5" s="1426"/>
      <c r="C5" s="1426"/>
      <c r="D5" s="1426"/>
      <c r="E5" s="2356"/>
      <c r="F5" s="2356"/>
      <c r="G5" s="2356"/>
      <c r="H5" s="2355">
        <v>1</v>
      </c>
      <c r="I5" s="1426"/>
      <c r="J5" s="1426"/>
      <c r="K5" s="1426"/>
      <c r="L5" s="1426"/>
      <c r="M5" s="1469"/>
      <c r="N5" s="842"/>
      <c r="O5" s="842"/>
      <c r="P5" s="842"/>
      <c r="Q5" s="508"/>
      <c r="R5" s="506"/>
      <c r="S5" s="663"/>
      <c r="T5" s="507"/>
      <c r="U5" s="1495">
        <f>INDEX(PT_DIFFERENTIATION_NUM_IST_TE,MATCH(D5,PT_DIFFERENTIATION_IST_TE_ID,0))</f>
      </c>
      <c r="V5" s="464" t="s">
        <v>401</v>
      </c>
      <c r="W5" s="454"/>
      <c r="X5" s="2314"/>
      <c r="Y5" s="2315"/>
      <c r="Z5" s="2315"/>
      <c r="AA5" s="2315"/>
      <c r="AB5" s="2315"/>
      <c r="AC5" s="2315"/>
      <c r="AD5" s="2315"/>
      <c r="AE5" s="2315"/>
      <c r="AF5" s="2316"/>
      <c r="AG5" s="2314">
        <f>INDEX(PT_DIFFERENTIATION_IST_TE,MATCH(D5,PT_DIFFERENTIATION_IST_TE_ID,0))</f>
      </c>
      <c r="AH5" s="2315"/>
      <c r="AI5" s="2315"/>
      <c r="AJ5" s="2315"/>
      <c r="AK5" s="2315"/>
      <c r="AL5" s="2315"/>
      <c r="AM5" s="2315"/>
      <c r="AN5" s="2315"/>
      <c r="AO5" s="2315"/>
      <c r="AP5" s="2316"/>
      <c r="AQ5" s="1416" t="s">
        <v>402</v>
      </c>
      <c r="AS5" s="654"/>
      <c r="AT5" s="654" t="str">
        <f>IF(V5="","",V5)</f>
        <v>Источник тепловой энергии  </v>
      </c>
      <c r="AU5" s="654"/>
      <c r="AV5" s="654"/>
    </row>
    <row customHeight="1" ht="14.25" hidden="1">
      <c r="A6" s="1426"/>
      <c r="B6" s="1426"/>
      <c r="C6" s="1426"/>
      <c r="D6" s="1426"/>
      <c r="E6" s="2356"/>
      <c r="F6" s="2356"/>
      <c r="G6" s="2356"/>
      <c r="H6" s="2356"/>
      <c r="I6" s="2185">
        <f>U5&amp;".1"</f>
      </c>
      <c r="J6" s="1426"/>
      <c r="K6" s="1426"/>
      <c r="L6" s="1426"/>
      <c r="M6" s="1469" t="s">
        <v>403</v>
      </c>
      <c r="N6" s="663"/>
      <c r="Q6" s="2324">
        <v>1</v>
      </c>
      <c r="R6" s="1490"/>
      <c r="S6" s="1490"/>
      <c r="T6" s="510"/>
      <c r="U6" s="1197"/>
      <c r="V6" s="1542"/>
      <c r="W6" s="1543"/>
      <c r="X6" s="2362"/>
      <c r="Y6" s="2363"/>
      <c r="Z6" s="2363"/>
      <c r="AA6" s="2363"/>
      <c r="AB6" s="2363"/>
      <c r="AC6" s="2363"/>
      <c r="AD6" s="2363"/>
      <c r="AE6" s="2363"/>
      <c r="AF6" s="2364"/>
      <c r="AG6" s="2362"/>
      <c r="AH6" s="2363"/>
      <c r="AI6" s="2363"/>
      <c r="AJ6" s="2363"/>
      <c r="AK6" s="2363"/>
      <c r="AL6" s="2363"/>
      <c r="AM6" s="2363"/>
      <c r="AN6" s="2363"/>
      <c r="AO6" s="2363"/>
      <c r="AP6" s="2364"/>
      <c r="AQ6" s="1544"/>
      <c r="AS6" s="654"/>
      <c r="AT6" s="654" t="str">
        <f>IF(V6="","",V6)</f>
        <v/>
      </c>
      <c r="AU6" s="654"/>
      <c r="AV6" s="654"/>
    </row>
    <row customHeight="1" ht="21" hidden="1">
      <c r="A7" s="1426"/>
      <c r="B7" s="1426"/>
      <c r="C7" s="1426"/>
      <c r="D7" s="1426"/>
      <c r="E7" s="2356"/>
      <c r="F7" s="2356"/>
      <c r="G7" s="2356"/>
      <c r="H7" s="2356"/>
      <c r="I7" s="2169"/>
      <c r="J7" s="2185">
        <f>I6&amp;".1"</f>
      </c>
      <c r="K7" s="1426"/>
      <c r="L7" s="1426"/>
      <c r="M7" s="1469" t="s">
        <v>406</v>
      </c>
      <c r="N7" s="663"/>
      <c r="O7" s="481"/>
      <c r="Q7" s="2324"/>
      <c r="R7" s="2324">
        <v>1</v>
      </c>
      <c r="S7" s="672"/>
      <c r="T7" s="511"/>
      <c r="U7" s="1495">
        <f>$J7</f>
      </c>
      <c r="V7" s="440" t="s">
        <v>407</v>
      </c>
      <c r="W7" s="454"/>
      <c r="X7" s="2308"/>
      <c r="Y7" s="2309"/>
      <c r="Z7" s="2309"/>
      <c r="AA7" s="2309"/>
      <c r="AB7" s="2309"/>
      <c r="AC7" s="2301"/>
      <c r="AD7" s="2301"/>
      <c r="AE7" s="2301"/>
      <c r="AF7" s="2384"/>
      <c r="AG7" s="2308"/>
      <c r="AH7" s="2309"/>
      <c r="AI7" s="2309"/>
      <c r="AJ7" s="2309"/>
      <c r="AK7" s="2309"/>
      <c r="AL7" s="2309"/>
      <c r="AM7" s="2309"/>
      <c r="AN7" s="2309"/>
      <c r="AO7" s="2309"/>
      <c r="AP7" s="2310"/>
      <c r="AQ7" s="1416" t="s">
        <v>408</v>
      </c>
      <c r="AS7" s="654"/>
      <c r="AT7" s="654" t="str">
        <f>IF(V7="","",V7)</f>
        <v>Группа потребителей</v>
      </c>
      <c r="AU7" s="654"/>
      <c r="AV7" s="654"/>
    </row>
    <row customHeight="1" ht="21" hidden="1">
      <c r="A8" s="1426"/>
      <c r="B8" s="1426"/>
      <c r="C8" s="1426"/>
      <c r="D8" s="1426"/>
      <c r="E8" s="2356"/>
      <c r="F8" s="2356"/>
      <c r="G8" s="2356"/>
      <c r="H8" s="2356"/>
      <c r="I8" s="2169"/>
      <c r="J8" s="2169"/>
      <c r="K8" s="2185">
        <f>J7&amp;".1"</f>
      </c>
      <c r="L8" s="294"/>
      <c r="M8" s="1469" t="s">
        <v>409</v>
      </c>
      <c r="N8" s="663"/>
      <c r="O8" s="481"/>
      <c r="P8" s="481"/>
      <c r="Q8" s="2324"/>
      <c r="R8" s="2324"/>
      <c r="S8" s="2324">
        <v>1</v>
      </c>
      <c r="T8" s="511"/>
      <c r="U8" s="1495">
        <f>$K8</f>
      </c>
      <c r="V8" s="1506"/>
      <c r="W8" s="454"/>
      <c r="X8" s="905"/>
      <c r="Y8" s="905"/>
      <c r="Z8" s="905"/>
      <c r="AA8" s="905"/>
      <c r="AB8" s="1564"/>
      <c r="AC8" s="2325"/>
      <c r="AD8" s="2195" t="s">
        <v>64</v>
      </c>
      <c r="AE8" s="2325"/>
      <c r="AF8" s="2195" t="s">
        <v>64</v>
      </c>
      <c r="AG8" s="1566"/>
      <c r="AH8" s="905"/>
      <c r="AI8" s="905"/>
      <c r="AJ8" s="905"/>
      <c r="AK8" s="1415"/>
      <c r="AL8" s="2325"/>
      <c r="AM8" s="2195" t="s">
        <v>64</v>
      </c>
      <c r="AN8" s="2325"/>
      <c r="AO8" s="2195" t="s">
        <v>64</v>
      </c>
      <c r="AP8" s="479"/>
      <c r="AQ8" s="1466" t="s">
        <v>449</v>
      </c>
      <c r="AR8" s="665">
        <f>STRCHECKDATE(X10:AP10)</f>
      </c>
      <c r="AS8" s="654"/>
      <c r="AT8" s="654" t="str">
        <f>IF(V8="","",V8)</f>
        <v/>
      </c>
      <c r="AU8" s="654"/>
      <c r="AV8" s="654"/>
    </row>
    <row customHeight="1" ht="21" hidden="1">
      <c r="A9" s="1426"/>
      <c r="B9" s="1426"/>
      <c r="C9" s="1426"/>
      <c r="D9" s="1426"/>
      <c r="E9" s="2356"/>
      <c r="F9" s="2356"/>
      <c r="G9" s="2356"/>
      <c r="H9" s="2356"/>
      <c r="I9" s="2169"/>
      <c r="J9" s="2169"/>
      <c r="K9" s="2169"/>
      <c r="L9" s="2185">
        <f>K8&amp;".1"</f>
      </c>
      <c r="M9" s="1469"/>
      <c r="N9" s="663"/>
      <c r="O9" s="481"/>
      <c r="P9" s="481"/>
      <c r="Q9" s="2324"/>
      <c r="R9" s="2324"/>
      <c r="S9" s="2324"/>
      <c r="T9" s="511"/>
      <c r="U9" s="1495">
        <f>$L9</f>
      </c>
      <c r="V9" s="1550"/>
      <c r="W9" s="454"/>
      <c r="X9" s="479"/>
      <c r="Y9" s="905"/>
      <c r="Z9" s="905"/>
      <c r="AA9" s="905"/>
      <c r="AB9" s="1564"/>
      <c r="AC9" s="2367"/>
      <c r="AD9" s="2195"/>
      <c r="AE9" s="2367"/>
      <c r="AF9" s="2195"/>
      <c r="AG9" s="1566"/>
      <c r="AH9" s="905"/>
      <c r="AI9" s="905"/>
      <c r="AJ9" s="905"/>
      <c r="AK9" s="1415"/>
      <c r="AL9" s="2367"/>
      <c r="AM9" s="2195"/>
      <c r="AN9" s="2367"/>
      <c r="AO9" s="2195"/>
      <c r="AP9" s="479"/>
      <c r="AQ9" s="2350" t="s">
        <v>450</v>
      </c>
      <c r="AS9" s="654"/>
      <c r="AT9" s="654"/>
      <c r="AU9" s="654"/>
      <c r="AV9" s="654"/>
    </row>
    <row customHeight="1" ht="14.25" hidden="1">
      <c r="A10" s="1426"/>
      <c r="B10" s="1426"/>
      <c r="C10" s="1426"/>
      <c r="D10" s="1426"/>
      <c r="E10" s="2356"/>
      <c r="F10" s="2356"/>
      <c r="G10" s="2356"/>
      <c r="H10" s="2356"/>
      <c r="I10" s="2169"/>
      <c r="J10" s="2169"/>
      <c r="K10" s="2169"/>
      <c r="L10" s="2185"/>
      <c r="M10" s="1469"/>
      <c r="N10" s="663"/>
      <c r="O10" s="481"/>
      <c r="P10" s="481"/>
      <c r="Q10" s="2324"/>
      <c r="R10" s="2324"/>
      <c r="S10" s="2324"/>
      <c r="T10" s="511"/>
      <c r="U10" s="1501"/>
      <c r="V10" s="454"/>
      <c r="W10" s="454"/>
      <c r="X10" s="479"/>
      <c r="Y10" s="479"/>
      <c r="Z10" s="479"/>
      <c r="AA10" s="479"/>
      <c r="AB10" s="1565" t="str">
        <f>AC8&amp;"-"&amp;AE8</f>
        <v>-</v>
      </c>
      <c r="AC10" s="2367"/>
      <c r="AD10" s="2195"/>
      <c r="AE10" s="2367"/>
      <c r="AF10" s="2195"/>
      <c r="AG10" s="1541"/>
      <c r="AH10" s="479"/>
      <c r="AI10" s="479"/>
      <c r="AJ10" s="479"/>
      <c r="AK10" s="482" t="str">
        <f>AL8&amp;"-"&amp;AN8</f>
        <v>-</v>
      </c>
      <c r="AL10" s="2367"/>
      <c r="AM10" s="2195"/>
      <c r="AN10" s="2367"/>
      <c r="AO10" s="2195"/>
      <c r="AP10" s="479"/>
      <c r="AQ10" s="2351"/>
      <c r="AS10" s="654"/>
      <c r="AT10" s="654" t="str">
        <f>IF(V10="","",V10)</f>
        <v/>
      </c>
      <c r="AU10" s="654"/>
      <c r="AV10" s="654"/>
    </row>
    <row customHeight="1" ht="11.25" hidden="1">
      <c r="A11" s="1426"/>
      <c r="B11" s="1426"/>
      <c r="C11" s="1426"/>
      <c r="D11" s="1426"/>
      <c r="E11" s="2356"/>
      <c r="F11" s="2356"/>
      <c r="G11" s="2356"/>
      <c r="H11" s="2356"/>
      <c r="I11" s="2169"/>
      <c r="J11" s="2169"/>
      <c r="K11" s="2185"/>
      <c r="L11" s="1426"/>
      <c r="M11" s="1469"/>
      <c r="N11" s="663"/>
      <c r="O11" s="481"/>
      <c r="P11" s="481"/>
      <c r="Q11" s="2324"/>
      <c r="R11" s="2324"/>
      <c r="S11" s="2324"/>
      <c r="T11" s="511"/>
      <c r="U11" s="1437"/>
      <c r="V11" s="442" t="s">
        <v>451</v>
      </c>
      <c r="W11" s="1551"/>
      <c r="X11" s="1552"/>
      <c r="Y11" s="1552"/>
      <c r="Z11" s="1552"/>
      <c r="AA11" s="1552"/>
      <c r="AB11" s="1553"/>
      <c r="AC11" s="2367"/>
      <c r="AD11" s="2195"/>
      <c r="AE11" s="2367"/>
      <c r="AF11" s="2195"/>
      <c r="AG11" s="1552"/>
      <c r="AH11" s="1552"/>
      <c r="AI11" s="1552"/>
      <c r="AJ11" s="1552"/>
      <c r="AK11" s="1553"/>
      <c r="AL11" s="2367"/>
      <c r="AM11" s="2195"/>
      <c r="AN11" s="2367"/>
      <c r="AO11" s="2195"/>
      <c r="AP11" s="1554"/>
      <c r="AQ11" s="2351"/>
      <c r="AS11" s="654"/>
      <c r="AT11" s="654"/>
      <c r="AU11" s="654"/>
      <c r="AV11" s="654"/>
    </row>
    <row customHeight="1" ht="15" hidden="1">
      <c r="A12" s="1426"/>
      <c r="B12" s="1426"/>
      <c r="C12" s="1426"/>
      <c r="D12" s="1426"/>
      <c r="E12" s="2356"/>
      <c r="F12" s="2356"/>
      <c r="G12" s="2356"/>
      <c r="H12" s="2356"/>
      <c r="I12" s="2169"/>
      <c r="J12" s="2185"/>
      <c r="K12" s="1426"/>
      <c r="L12" s="1426"/>
      <c r="M12" s="1469"/>
      <c r="N12" s="663"/>
      <c r="O12" s="481"/>
      <c r="Q12" s="2324"/>
      <c r="R12" s="2324"/>
      <c r="S12" s="1490"/>
      <c r="T12" s="510"/>
      <c r="U12" s="1437"/>
      <c r="V12" s="441" t="s">
        <v>411</v>
      </c>
      <c r="W12" s="521"/>
      <c r="X12" s="521"/>
      <c r="Y12" s="521"/>
      <c r="Z12" s="521"/>
      <c r="AA12" s="521"/>
      <c r="AB12" s="521"/>
      <c r="AC12" s="1567"/>
      <c r="AD12" s="1567"/>
      <c r="AE12" s="1567"/>
      <c r="AF12" s="1567"/>
      <c r="AG12" s="521"/>
      <c r="AH12" s="521"/>
      <c r="AI12" s="521"/>
      <c r="AJ12" s="521"/>
      <c r="AK12" s="521"/>
      <c r="AL12" s="521"/>
      <c r="AM12" s="521"/>
      <c r="AN12" s="521"/>
      <c r="AO12" s="521"/>
      <c r="AP12" s="478"/>
      <c r="AQ12" s="2352"/>
      <c r="AS12" s="654"/>
      <c r="AT12" s="654" t="str">
        <f>IF(V12="","",V12)</f>
        <v>Добавить вид теплоносителя (параметры теплоносителя)</v>
      </c>
      <c r="AU12" s="654"/>
      <c r="AV12" s="654"/>
    </row>
    <row customHeight="1" ht="11.25" hidden="1">
      <c r="A13" s="1426"/>
      <c r="B13" s="1426"/>
      <c r="C13" s="1426"/>
      <c r="D13" s="1426"/>
      <c r="E13" s="2356"/>
      <c r="F13" s="2356"/>
      <c r="G13" s="2356"/>
      <c r="H13" s="2356"/>
      <c r="I13" s="2185"/>
      <c r="J13" s="1426"/>
      <c r="K13" s="1426"/>
      <c r="L13" s="1426"/>
      <c r="M13" s="1469"/>
      <c r="N13" s="663"/>
      <c r="Q13" s="2324"/>
      <c r="R13" s="1490"/>
      <c r="S13" s="1490"/>
      <c r="T13" s="510"/>
      <c r="U13" s="1437"/>
      <c r="V13" s="519" t="s">
        <v>412</v>
      </c>
      <c r="W13" s="521"/>
      <c r="X13" s="521"/>
      <c r="Y13" s="521"/>
      <c r="Z13" s="521"/>
      <c r="AA13" s="521"/>
      <c r="AB13" s="521"/>
      <c r="AC13" s="521"/>
      <c r="AD13" s="521"/>
      <c r="AE13" s="521"/>
      <c r="AF13" s="520"/>
      <c r="AG13" s="521"/>
      <c r="AH13" s="521"/>
      <c r="AI13" s="521"/>
      <c r="AJ13" s="521"/>
      <c r="AK13" s="521"/>
      <c r="AL13" s="521"/>
      <c r="AM13" s="521"/>
      <c r="AN13" s="521"/>
      <c r="AO13" s="520"/>
      <c r="AP13" s="521"/>
      <c r="AQ13" s="457"/>
      <c r="AS13" s="654"/>
      <c r="AT13" s="654" t="str">
        <f>IF(V13="","",V13)</f>
        <v>Добавить группу потребителей</v>
      </c>
      <c r="AU13" s="654"/>
      <c r="AV13" s="654"/>
    </row>
    <row customHeight="1" ht="14.25" hidden="1">
      <c r="A14" s="1426"/>
      <c r="B14" s="1426"/>
      <c r="C14" s="1426"/>
      <c r="D14" s="1426"/>
      <c r="E14" s="2356"/>
      <c r="F14" s="2356"/>
      <c r="G14" s="2356"/>
      <c r="H14" s="2355"/>
      <c r="I14" s="1426"/>
      <c r="J14" s="1426"/>
      <c r="K14" s="1426"/>
      <c r="L14" s="1426"/>
      <c r="M14" s="1469"/>
      <c r="N14" s="842"/>
      <c r="O14" s="842"/>
      <c r="P14" s="663"/>
      <c r="Q14" s="514"/>
      <c r="R14" s="529"/>
      <c r="S14" s="509"/>
      <c r="T14" s="514"/>
      <c r="U14" s="1545"/>
      <c r="V14" s="1546"/>
      <c r="W14" s="1547"/>
      <c r="X14" s="1547"/>
      <c r="Y14" s="1547"/>
      <c r="Z14" s="1547"/>
      <c r="AA14" s="1547"/>
      <c r="AB14" s="1547"/>
      <c r="AC14" s="1547"/>
      <c r="AD14" s="1547"/>
      <c r="AE14" s="1547"/>
      <c r="AF14" s="1547"/>
      <c r="AG14" s="1547"/>
      <c r="AH14" s="1547"/>
      <c r="AI14" s="1547"/>
      <c r="AJ14" s="1547"/>
      <c r="AK14" s="1547"/>
      <c r="AL14" s="1547"/>
      <c r="AM14" s="1547"/>
      <c r="AN14" s="1547"/>
      <c r="AO14" s="1547"/>
      <c r="AP14" s="1547"/>
      <c r="AQ14" s="1548"/>
      <c r="AS14" s="654"/>
      <c r="AT14" s="654" t="str">
        <f>IF(V14="","",V14)</f>
        <v/>
      </c>
      <c r="AU14" s="654"/>
      <c r="AV14" s="654"/>
    </row>
    <row s="8702" customFormat="1" customHeight="1" ht="14.25" hidden="1">
      <c r="A15" s="1533"/>
      <c r="B15" s="1533"/>
      <c r="C15" s="1533"/>
      <c r="D15" s="1533"/>
      <c r="E15" s="2356"/>
      <c r="F15" s="2356"/>
      <c r="G15" s="2355"/>
      <c r="H15" s="1533"/>
      <c r="I15" s="1533"/>
      <c r="J15" s="1533"/>
      <c r="K15" s="1533"/>
      <c r="L15" s="1533"/>
      <c r="M15" s="1536"/>
      <c r="N15" s="1537"/>
      <c r="O15" s="1537"/>
      <c r="P15" s="505"/>
      <c r="Q15" s="1475"/>
      <c r="R15" s="1476"/>
      <c r="S15" s="1475"/>
      <c r="T15" s="1475"/>
      <c r="U15" s="1477"/>
      <c r="V15" s="1478" t="s">
        <v>414</v>
      </c>
      <c r="W15" s="1479"/>
      <c r="X15" s="1479"/>
      <c r="Y15" s="1479"/>
      <c r="Z15" s="1479"/>
      <c r="AA15" s="1479"/>
      <c r="AB15" s="1479"/>
      <c r="AC15" s="1479"/>
      <c r="AD15" s="1479"/>
      <c r="AE15" s="1479"/>
      <c r="AF15" s="1479"/>
      <c r="AG15" s="1479"/>
      <c r="AH15" s="1479"/>
      <c r="AI15" s="1479"/>
      <c r="AJ15" s="1479"/>
      <c r="AK15" s="1479"/>
      <c r="AL15" s="1479"/>
      <c r="AM15" s="1479"/>
      <c r="AN15" s="1479"/>
      <c r="AO15" s="1479"/>
      <c r="AP15" s="1479"/>
      <c r="AQ15" s="1479"/>
      <c r="AS15" s="943"/>
      <c r="AT15" s="943" t="str">
        <f>IF(V15="","",V15)</f>
        <v>Добавить источник для дифференциации</v>
      </c>
      <c r="AU15" s="943"/>
      <c r="AV15" s="943"/>
    </row>
    <row s="8702" customFormat="1" customHeight="1" ht="14.25" hidden="1">
      <c r="A16" s="1533"/>
      <c r="B16" s="1533"/>
      <c r="C16" s="1533"/>
      <c r="D16" s="1533"/>
      <c r="E16" s="2356"/>
      <c r="F16" s="2355"/>
      <c r="G16" s="1533"/>
      <c r="H16" s="1533"/>
      <c r="I16" s="1533"/>
      <c r="J16" s="1533"/>
      <c r="K16" s="1533"/>
      <c r="L16" s="1533"/>
      <c r="M16" s="1536"/>
      <c r="N16" s="1538"/>
      <c r="O16" s="1538"/>
      <c r="P16" s="505"/>
      <c r="Q16" s="1475"/>
      <c r="R16" s="1476"/>
      <c r="S16" s="1475"/>
      <c r="T16" s="1475"/>
      <c r="U16" s="1481"/>
      <c r="V16" s="1482" t="s">
        <v>251</v>
      </c>
      <c r="W16" s="1483"/>
      <c r="X16" s="1483"/>
      <c r="Y16" s="1483"/>
      <c r="Z16" s="1483"/>
      <c r="AA16" s="1483"/>
      <c r="AB16" s="1483"/>
      <c r="AC16" s="1483"/>
      <c r="AD16" s="1483"/>
      <c r="AE16" s="1483"/>
      <c r="AF16" s="1483"/>
      <c r="AG16" s="1483"/>
      <c r="AH16" s="1483"/>
      <c r="AI16" s="1483"/>
      <c r="AJ16" s="1483"/>
      <c r="AK16" s="1483"/>
      <c r="AL16" s="1483"/>
      <c r="AM16" s="1483"/>
      <c r="AN16" s="1483"/>
      <c r="AO16" s="1483"/>
      <c r="AP16" s="1483"/>
      <c r="AQ16" s="1483"/>
      <c r="AS16" s="943"/>
      <c r="AT16" s="943" t="str">
        <f>IF(V16="","",V16)</f>
        <v>Добавить централизованную систему для дифференциации</v>
      </c>
      <c r="AU16" s="943"/>
      <c r="AV16" s="943"/>
    </row>
    <row s="8702" customFormat="1" customHeight="1" ht="14.25" hidden="1">
      <c r="A17" s="1533"/>
      <c r="B17" s="1533"/>
      <c r="C17" s="1533"/>
      <c r="D17" s="1533"/>
      <c r="E17" s="2355"/>
      <c r="F17" s="1533"/>
      <c r="G17" s="1533"/>
      <c r="H17" s="1533"/>
      <c r="I17" s="1533"/>
      <c r="J17" s="1533"/>
      <c r="K17" s="1533"/>
      <c r="L17" s="1533"/>
      <c r="M17" s="1536"/>
      <c r="N17" s="1538"/>
      <c r="O17" s="1538"/>
      <c r="P17" s="505"/>
      <c r="Q17" s="1475"/>
      <c r="R17" s="1476"/>
      <c r="S17" s="1475"/>
      <c r="T17" s="1475"/>
      <c r="U17" s="1481"/>
      <c r="V17" s="1484" t="s">
        <v>252</v>
      </c>
      <c r="W17" s="1483"/>
      <c r="X17" s="1483"/>
      <c r="Y17" s="1483"/>
      <c r="Z17" s="1483"/>
      <c r="AA17" s="1483"/>
      <c r="AB17" s="1483"/>
      <c r="AC17" s="1483"/>
      <c r="AD17" s="1483"/>
      <c r="AE17" s="1483"/>
      <c r="AF17" s="1483"/>
      <c r="AG17" s="1483"/>
      <c r="AH17" s="1483"/>
      <c r="AI17" s="1483"/>
      <c r="AJ17" s="1483"/>
      <c r="AK17" s="1483"/>
      <c r="AL17" s="1483"/>
      <c r="AM17" s="1483"/>
      <c r="AN17" s="1483"/>
      <c r="AO17" s="1483"/>
      <c r="AP17" s="1483"/>
      <c r="AQ17" s="1483"/>
      <c r="AS17" s="943"/>
      <c r="AT17" s="943" t="str">
        <f>IF(V17="","",V17)</f>
        <v>Добавить территорию для дифференциации</v>
      </c>
      <c r="AU17" s="943"/>
      <c r="AV17" s="943"/>
    </row>
    <row customHeight="1" ht="14.25" hidden="1">
      <c r="AF18" s="481"/>
      <c r="AO18" s="481"/>
    </row>
    <row customHeight="1" ht="14.25" hidden="1">
      <c r="AG19" s="1519"/>
      <c r="AH19" s="1519"/>
      <c r="AI19" s="1519"/>
      <c r="AJ19" s="1519"/>
      <c r="AK19" s="1520"/>
      <c r="AL19" s="2318"/>
      <c r="AM19" s="2317" t="s">
        <v>64</v>
      </c>
      <c r="AN19" s="2318"/>
      <c r="AO19" s="2317" t="s">
        <v>64</v>
      </c>
    </row>
    <row customHeight="1" ht="14.25" hidden="1">
      <c r="AG20" s="1519"/>
      <c r="AH20" s="1519"/>
      <c r="AI20" s="1519"/>
      <c r="AJ20" s="1519"/>
      <c r="AK20" s="1520"/>
      <c r="AL20" s="2318"/>
      <c r="AM20" s="2317"/>
      <c r="AN20" s="2318"/>
      <c r="AO20" s="2317"/>
    </row>
    <row customHeight="1" ht="14.25" hidden="1">
      <c r="AG21" s="1519"/>
      <c r="AH21" s="1519"/>
      <c r="AI21" s="1519"/>
      <c r="AJ21" s="1519"/>
      <c r="AK21" s="1520"/>
      <c r="AL21" s="2318"/>
      <c r="AM21" s="2317"/>
      <c r="AN21" s="2318"/>
      <c r="AO21" s="2317"/>
    </row>
    <row customHeight="1" ht="14.25" hidden="1">
      <c r="AG22" s="1519"/>
      <c r="AH22" s="1519"/>
      <c r="AI22" s="1519"/>
      <c r="AJ22" s="1519"/>
      <c r="AK22" s="482" t="str">
        <f>AL19&amp;"-"&amp;AN19</f>
        <v>-</v>
      </c>
      <c r="AL22" s="2317"/>
      <c r="AM22" s="2317"/>
      <c r="AN22" s="2317"/>
      <c r="AO22" s="2317"/>
    </row>
    <row customHeight="1" ht="14.25" hidden="1">
      <c r="AO23" s="481"/>
    </row>
    <row s="8721" customFormat="1" customHeight="1" ht="22.5" hidden="1">
      <c r="A24" s="1311"/>
      <c r="B24" s="1311"/>
      <c r="C24" s="1311"/>
      <c r="D24" s="1311"/>
      <c r="E24" s="1311"/>
      <c r="F24" s="1311"/>
      <c r="G24" s="1311"/>
      <c r="H24" s="1311"/>
      <c r="I24" s="1311"/>
      <c r="J24" s="1311"/>
      <c r="K24" s="1311"/>
      <c r="L24" s="1311"/>
      <c r="M24" s="1486"/>
      <c r="N24" s="1487"/>
      <c r="O24" s="1487"/>
      <c r="P24" s="1504" t="s">
        <v>415</v>
      </c>
      <c r="Q24" s="1521"/>
      <c r="R24" s="1530"/>
      <c r="S24" s="1530"/>
      <c r="T24" s="1530"/>
      <c r="U24" s="883"/>
      <c r="AC24" s="1526"/>
      <c r="AE24" s="1526"/>
      <c r="AF24" s="1525"/>
      <c r="AL24" s="1526"/>
      <c r="AN24" s="1526"/>
      <c r="AO24" s="1525"/>
      <c r="AR24" s="665"/>
      <c r="AS24" s="665"/>
      <c r="AT24" s="665"/>
      <c r="AU24" s="665"/>
      <c r="AV24" s="665"/>
    </row>
    <row s="8721" customFormat="1" customHeight="1" ht="14.25" hidden="1">
      <c r="A25" s="1311"/>
      <c r="B25" s="1311"/>
      <c r="C25" s="1311"/>
      <c r="D25" s="1311"/>
      <c r="E25" s="1311"/>
      <c r="F25" s="1311"/>
      <c r="G25" s="1311"/>
      <c r="H25" s="1311"/>
      <c r="I25" s="1311"/>
      <c r="J25" s="1311"/>
      <c r="K25" s="1311"/>
      <c r="L25" s="1311"/>
      <c r="M25" s="1486"/>
      <c r="N25" s="1487"/>
      <c r="O25" s="1487"/>
      <c r="P25" s="1487"/>
      <c r="Q25" s="1521"/>
      <c r="R25" s="1530"/>
      <c r="S25" s="1530"/>
      <c r="T25" s="1530"/>
      <c r="U25" s="883"/>
      <c r="AF25" s="1525"/>
      <c r="AO25" s="1525"/>
      <c r="AR25" s="665"/>
      <c r="AS25" s="665"/>
      <c r="AT25" s="665"/>
      <c r="AU25" s="665"/>
      <c r="AV25" s="665"/>
    </row>
    <row s="8721" customFormat="1" customHeight="1" ht="14.25" hidden="1">
      <c r="A26" s="1311"/>
      <c r="B26" s="1311"/>
      <c r="C26" s="1311"/>
      <c r="D26" s="1311"/>
      <c r="E26" s="1311"/>
      <c r="F26" s="1311"/>
      <c r="G26" s="1311"/>
      <c r="H26" s="1311"/>
      <c r="I26" s="1311"/>
      <c r="J26" s="1311"/>
      <c r="K26" s="1311"/>
      <c r="L26" s="1311"/>
      <c r="M26" s="1486"/>
      <c r="N26" s="1487"/>
      <c r="O26" s="1487"/>
      <c r="P26" s="1469" t="s">
        <v>416</v>
      </c>
      <c r="Q26" s="1521"/>
      <c r="R26" s="1530"/>
      <c r="S26" s="1530"/>
      <c r="T26" s="1530"/>
      <c r="U26" s="883"/>
      <c r="V26" s="1316" t="s">
        <v>417</v>
      </c>
      <c r="AD26" s="340" t="s">
        <v>418</v>
      </c>
      <c r="AF26" s="340" t="s">
        <v>419</v>
      </c>
      <c r="AG26" s="1316" t="s">
        <v>417</v>
      </c>
      <c r="AM26" s="340" t="s">
        <v>420</v>
      </c>
      <c r="AO26" s="340" t="s">
        <v>419</v>
      </c>
      <c r="AR26" s="665"/>
      <c r="AS26" s="665"/>
      <c r="AT26" s="665"/>
      <c r="AU26" s="665"/>
      <c r="AV26" s="665"/>
    </row>
    <row customHeight="1" ht="14.25" hidden="1">
      <c r="P27" s="1469"/>
    </row>
    <row customHeight="1" ht="14.25" hidden="1">
      <c r="P28" s="1469"/>
    </row>
    <row customHeight="1" ht="14.25">
      <c r="R29" s="530"/>
      <c r="S29" s="530"/>
      <c r="T29" s="530"/>
      <c r="U29" s="1434"/>
      <c r="V29" s="517"/>
      <c r="W29" s="517"/>
      <c r="X29" s="663"/>
      <c r="Y29" s="663"/>
      <c r="Z29" s="663"/>
      <c r="AA29" s="663"/>
      <c r="AB29" s="663"/>
      <c r="AC29" s="663"/>
      <c r="AD29" s="663"/>
      <c r="AE29" s="663"/>
      <c r="AF29" s="663"/>
      <c r="AG29" s="663"/>
      <c r="AH29" s="663"/>
      <c r="AI29" s="663"/>
      <c r="AJ29" s="663"/>
      <c r="AK29" s="663"/>
      <c r="AL29" s="663"/>
      <c r="AM29" s="663"/>
      <c r="AN29" s="663"/>
      <c r="AO29" s="663"/>
    </row>
    <row customHeight="1" ht="54">
      <c r="R30" s="530"/>
      <c r="S30" s="530"/>
      <c r="T30" s="530"/>
      <c r="U30" s="2353" t="str">
        <f>IF(TEMPLATE_GROUP="P",PT_P_FORM_HEAT_6_NAME_FORM,PT_R_FORM_HEAT_23_NAME_FORM)</f>
        <v>Форма 5. Информация об установленных тарифах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тарифах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v>
      </c>
      <c r="V30" s="2353"/>
      <c r="W30" s="2353"/>
      <c r="X30" s="2353"/>
      <c r="Y30" s="2353"/>
      <c r="Z30" s="2353"/>
      <c r="AA30" s="2353"/>
      <c r="AB30" s="2353"/>
      <c r="AC30" s="2353"/>
      <c r="AD30" s="2353"/>
      <c r="AE30" s="2353"/>
      <c r="AF30" s="2353"/>
      <c r="AG30" s="2353"/>
      <c r="AH30" s="2353"/>
      <c r="AI30" s="2353"/>
      <c r="AJ30" s="2353"/>
      <c r="AK30" s="2353"/>
      <c r="AL30" s="2353"/>
      <c r="AM30" s="2353"/>
      <c r="AN30" s="2353"/>
      <c r="AO30" s="1401"/>
    </row>
    <row customHeight="1" ht="14.25">
      <c r="R31" s="530"/>
      <c r="S31" s="530"/>
      <c r="T31" s="530"/>
      <c r="U31" s="2354" t="str">
        <f>IF(org=0,"Не определено",org)</f>
        <v>АО "Теплокоммунэнерго"</v>
      </c>
      <c r="V31" s="2354"/>
      <c r="W31" s="2354"/>
      <c r="X31" s="2354"/>
      <c r="Y31" s="2354"/>
      <c r="Z31" s="2354"/>
      <c r="AA31" s="2354"/>
      <c r="AB31" s="2354"/>
      <c r="AC31" s="2354"/>
      <c r="AD31" s="2354"/>
      <c r="AE31" s="2354"/>
      <c r="AF31" s="2354"/>
      <c r="AG31" s="2354"/>
      <c r="AH31" s="2354"/>
      <c r="AI31" s="2354"/>
      <c r="AJ31" s="2354"/>
      <c r="AK31" s="2354"/>
      <c r="AL31" s="2354"/>
      <c r="AM31" s="2354"/>
      <c r="AN31" s="2354"/>
      <c r="AO31" s="1401"/>
    </row>
    <row customHeight="1" ht="14.25">
      <c r="R32" s="530"/>
      <c r="S32" s="530"/>
      <c r="T32" s="530"/>
      <c r="U32" s="1434"/>
      <c r="V32" s="517"/>
      <c r="W32" s="517"/>
      <c r="X32" s="476"/>
      <c r="Y32" s="476"/>
      <c r="Z32" s="476"/>
      <c r="AA32" s="476"/>
      <c r="AB32" s="476"/>
      <c r="AC32" s="476"/>
      <c r="AD32" s="476"/>
      <c r="AE32" s="476"/>
      <c r="AF32" s="476"/>
      <c r="AG32" s="476"/>
      <c r="AH32" s="476"/>
      <c r="AI32" s="476"/>
      <c r="AJ32" s="476"/>
      <c r="AK32" s="476"/>
      <c r="AL32" s="476"/>
      <c r="AM32" s="476"/>
      <c r="AN32" s="476"/>
      <c r="AO32" s="476"/>
      <c r="AP32" s="663"/>
    </row>
    <row s="8735" customFormat="1" customHeight="1" ht="25.5">
      <c r="A33" s="1406"/>
      <c r="B33" s="1406"/>
      <c r="C33" s="1406"/>
      <c r="D33" s="1406"/>
      <c r="E33" s="1406"/>
      <c r="F33" s="1406"/>
      <c r="G33" s="1406"/>
      <c r="H33" s="1406"/>
      <c r="I33" s="1406"/>
      <c r="J33" s="1406"/>
      <c r="K33" s="1406"/>
      <c r="L33" s="1406"/>
      <c r="M33" s="1539"/>
      <c r="N33" s="1406"/>
      <c r="O33" s="1406"/>
      <c r="P33" s="1406"/>
      <c r="U33" s="2311" t="s">
        <v>38</v>
      </c>
      <c r="V33" s="2311"/>
      <c r="W33" s="1531"/>
      <c r="X33" s="2313" t="str">
        <f>IF(TITLE_NAME_OR_PR_CHANGE="",IF(TITLE_NAME_OR_PR="","",TITLE_NAME_OR_PR),TITLE_NAME_OR_PR_CHANGE)</f>
        <v>Региональная служба по тарифам Ростовской области</v>
      </c>
      <c r="Y33" s="2313"/>
      <c r="Z33" s="2313"/>
      <c r="AA33" s="2313"/>
      <c r="AB33" s="2313"/>
      <c r="AC33" s="2313"/>
      <c r="AD33" s="2313"/>
      <c r="AE33" s="2313"/>
      <c r="AF33" s="480"/>
      <c r="AG33" s="2313" t="str">
        <f>IF(TITLE_NAME_OR_PR_CHANGE="",IF(TITLE_NAME_OR_PR="","",TITLE_NAME_OR_PR),TITLE_NAME_OR_PR_CHANGE)</f>
        <v>Региональная служба по тарифам Ростовской области</v>
      </c>
      <c r="AH33" s="2313"/>
      <c r="AI33" s="2313"/>
      <c r="AJ33" s="2313"/>
      <c r="AK33" s="2313"/>
      <c r="AL33" s="2313"/>
      <c r="AM33" s="2313"/>
      <c r="AN33" s="2313"/>
      <c r="AO33" s="480"/>
      <c r="AP33" s="480"/>
      <c r="AQ33" s="434"/>
      <c r="AR33" s="522"/>
      <c r="AS33" s="522"/>
      <c r="AT33" s="522"/>
      <c r="AU33" s="522"/>
      <c r="AV33" s="522"/>
    </row>
    <row s="8735" customFormat="1" customHeight="1" ht="18.75">
      <c r="A34" s="1406"/>
      <c r="B34" s="1406"/>
      <c r="C34" s="1406"/>
      <c r="D34" s="1406"/>
      <c r="E34" s="1406"/>
      <c r="F34" s="1406"/>
      <c r="G34" s="1406"/>
      <c r="H34" s="1406"/>
      <c r="I34" s="1406"/>
      <c r="J34" s="1406"/>
      <c r="K34" s="1406"/>
      <c r="L34" s="1406"/>
      <c r="M34" s="1539"/>
      <c r="N34" s="1406"/>
      <c r="O34" s="1406"/>
      <c r="P34" s="1406"/>
      <c r="U34" s="2311" t="s">
        <v>421</v>
      </c>
      <c r="V34" s="2311"/>
      <c r="W34" s="1531"/>
      <c r="X34" s="2312" t="str">
        <f>IF(TITLE_DATE_PR_CHANGE="",IF(TITLE_DATE_PR="","",TITLE_DATE_PR),TITLE_DATE_PR_CHANGE)</f>
        <v>45279</v>
      </c>
      <c r="Y34" s="2312"/>
      <c r="Z34" s="2312"/>
      <c r="AA34" s="2312"/>
      <c r="AB34" s="2312"/>
      <c r="AC34" s="2312"/>
      <c r="AD34" s="2312"/>
      <c r="AE34" s="2312"/>
      <c r="AF34" s="480"/>
      <c r="AG34" s="2312" t="str">
        <f>IF(TITLE_DATE_PR_CHANGE="",IF(TITLE_DATE_PR="","",TITLE_DATE_PR),TITLE_DATE_PR_CHANGE)</f>
        <v>45279</v>
      </c>
      <c r="AH34" s="2312"/>
      <c r="AI34" s="2312"/>
      <c r="AJ34" s="2312"/>
      <c r="AK34" s="2312"/>
      <c r="AL34" s="2312"/>
      <c r="AM34" s="2312"/>
      <c r="AN34" s="2312"/>
      <c r="AO34" s="480"/>
      <c r="AP34" s="480"/>
      <c r="AQ34" s="434"/>
      <c r="AR34" s="522"/>
      <c r="AS34" s="522"/>
      <c r="AT34" s="522"/>
      <c r="AU34" s="522"/>
      <c r="AV34" s="522"/>
    </row>
    <row s="8735" customFormat="1" customHeight="1" ht="18.75">
      <c r="A35" s="1406"/>
      <c r="B35" s="1406"/>
      <c r="C35" s="1406"/>
      <c r="D35" s="1406"/>
      <c r="E35" s="1406"/>
      <c r="F35" s="1406"/>
      <c r="G35" s="1406"/>
      <c r="H35" s="1406"/>
      <c r="I35" s="1406"/>
      <c r="J35" s="1406"/>
      <c r="K35" s="1406"/>
      <c r="L35" s="1406"/>
      <c r="M35" s="1539"/>
      <c r="N35" s="1406"/>
      <c r="O35" s="1406"/>
      <c r="P35" s="1406"/>
      <c r="U35" s="2311" t="s">
        <v>422</v>
      </c>
      <c r="V35" s="2311"/>
      <c r="W35" s="1531"/>
      <c r="X35" s="2313" t="str">
        <f>IF(TITLE_NUMBER_PR_CHANGE="",IF(TITLE_NUMBER_PR="","",TITLE_NUMBER_PR),TITLE_NUMBER_PR_CHANGE)</f>
        <v>877</v>
      </c>
      <c r="Y35" s="2313"/>
      <c r="Z35" s="2313"/>
      <c r="AA35" s="2313"/>
      <c r="AB35" s="2313"/>
      <c r="AC35" s="2313"/>
      <c r="AD35" s="2313"/>
      <c r="AE35" s="2313"/>
      <c r="AF35" s="480"/>
      <c r="AG35" s="2313" t="str">
        <f>IF(TITLE_NUMBER_PR_CHANGE="",IF(TITLE_NUMBER_PR="","",TITLE_NUMBER_PR),TITLE_NUMBER_PR_CHANGE)</f>
        <v>877</v>
      </c>
      <c r="AH35" s="2313"/>
      <c r="AI35" s="2313"/>
      <c r="AJ35" s="2313"/>
      <c r="AK35" s="2313"/>
      <c r="AL35" s="2313"/>
      <c r="AM35" s="2313"/>
      <c r="AN35" s="2313"/>
      <c r="AO35" s="480"/>
      <c r="AP35" s="480"/>
      <c r="AQ35" s="434"/>
      <c r="AR35" s="522"/>
      <c r="AS35" s="522"/>
      <c r="AT35" s="522"/>
      <c r="AU35" s="522"/>
      <c r="AV35" s="522"/>
    </row>
    <row s="8735" customFormat="1" customHeight="1" ht="18.75">
      <c r="A36" s="1406"/>
      <c r="B36" s="1406"/>
      <c r="C36" s="1406"/>
      <c r="D36" s="1406"/>
      <c r="E36" s="1406"/>
      <c r="F36" s="1406"/>
      <c r="G36" s="1406"/>
      <c r="H36" s="1406"/>
      <c r="I36" s="1406"/>
      <c r="J36" s="1406"/>
      <c r="K36" s="1406"/>
      <c r="L36" s="1406"/>
      <c r="M36" s="1539"/>
      <c r="N36" s="1406"/>
      <c r="O36" s="1406"/>
      <c r="P36" s="1406"/>
      <c r="U36" s="2311" t="s">
        <v>40</v>
      </c>
      <c r="V36" s="2311"/>
      <c r="W36" s="1531"/>
      <c r="X36" s="2313" t="str">
        <f>IF(TITLE_IST_PUB_CHANGE="",IF(TITLE_IST_PUB="","",TITLE_IST_PUB),TITLE_IST_PUB_CHANGE)</f>
        <v>Официальный портал правовой информации Ростовской области</v>
      </c>
      <c r="Y36" s="2313"/>
      <c r="Z36" s="2313"/>
      <c r="AA36" s="2313"/>
      <c r="AB36" s="2313"/>
      <c r="AC36" s="2313"/>
      <c r="AD36" s="2313"/>
      <c r="AE36" s="2313"/>
      <c r="AF36" s="480"/>
      <c r="AG36" s="2313" t="str">
        <f>IF(TITLE_IST_PUB_CHANGE="",IF(TITLE_IST_PUB="","",TITLE_IST_PUB),TITLE_IST_PUB_CHANGE)</f>
        <v>Официальный портал правовой информации Ростовской области</v>
      </c>
      <c r="AH36" s="2313"/>
      <c r="AI36" s="2313"/>
      <c r="AJ36" s="2313"/>
      <c r="AK36" s="2313"/>
      <c r="AL36" s="2313"/>
      <c r="AM36" s="2313"/>
      <c r="AN36" s="2313"/>
      <c r="AO36" s="480"/>
      <c r="AP36" s="480"/>
      <c r="AQ36" s="434"/>
      <c r="AR36" s="522"/>
      <c r="AS36" s="522"/>
      <c r="AT36" s="522"/>
      <c r="AU36" s="522"/>
      <c r="AV36" s="522"/>
    </row>
    <row customHeight="1" ht="14.25" hidden="1">
      <c r="R37" s="530"/>
      <c r="S37" s="530"/>
      <c r="T37" s="530"/>
      <c r="U37" s="1434"/>
      <c r="V37" s="517"/>
      <c r="W37" s="517"/>
      <c r="X37" s="476"/>
      <c r="Y37" s="476"/>
      <c r="Z37" s="476"/>
      <c r="AA37" s="476"/>
      <c r="AB37" s="476"/>
      <c r="AC37" s="476"/>
      <c r="AD37" s="476"/>
      <c r="AE37" s="476"/>
      <c r="AF37" s="476"/>
      <c r="AG37" s="476"/>
      <c r="AH37" s="476"/>
      <c r="AI37" s="476"/>
      <c r="AJ37" s="476"/>
      <c r="AK37" s="476"/>
      <c r="AL37" s="476"/>
      <c r="AM37" s="476"/>
      <c r="AN37" s="476"/>
      <c r="AO37" s="476"/>
      <c r="AP37" s="663"/>
    </row>
    <row s="8735" customFormat="1" customHeight="1" ht="18.75" hidden="1">
      <c r="A38" s="1406"/>
      <c r="B38" s="1406"/>
      <c r="C38" s="1406"/>
      <c r="D38" s="1406"/>
      <c r="E38" s="1406"/>
      <c r="F38" s="1406"/>
      <c r="G38" s="1406"/>
      <c r="H38" s="1406"/>
      <c r="I38" s="1406"/>
      <c r="J38" s="1406"/>
      <c r="K38" s="1406"/>
      <c r="L38" s="1406"/>
      <c r="M38" s="1539"/>
      <c r="N38" s="1406"/>
      <c r="O38" s="1406"/>
      <c r="P38" s="1406"/>
      <c r="U38" s="2311" t="s">
        <v>423</v>
      </c>
      <c r="V38" s="2311"/>
      <c r="W38" s="1531"/>
      <c r="X38" s="2312" t="str">
        <f>IF(TITLE_DATE_PR_CHANGE="",IF(TITLE_DATE_PR="","",TITLE_DATE_PR),TITLE_DATE_PR_CHANGE)</f>
        <v>45279</v>
      </c>
      <c r="Y38" s="2312"/>
      <c r="Z38" s="2312"/>
      <c r="AA38" s="2312"/>
      <c r="AB38" s="2312"/>
      <c r="AC38" s="2312"/>
      <c r="AD38" s="2312"/>
      <c r="AE38" s="2312"/>
      <c r="AF38" s="480"/>
      <c r="AG38" s="2312" t="str">
        <f>IF(TITLE_DATE_PR_CHANGE="",IF(TITLE_DATE_PR="","",TITLE_DATE_PR),TITLE_DATE_PR_CHANGE)</f>
        <v>45279</v>
      </c>
      <c r="AH38" s="2312"/>
      <c r="AI38" s="2312"/>
      <c r="AJ38" s="2312"/>
      <c r="AK38" s="2312"/>
      <c r="AL38" s="2312"/>
      <c r="AM38" s="2312"/>
      <c r="AN38" s="2312"/>
      <c r="AO38" s="480"/>
      <c r="AP38" s="480"/>
      <c r="AQ38" s="434"/>
      <c r="AR38" s="522"/>
      <c r="AS38" s="522"/>
      <c r="AT38" s="522"/>
      <c r="AU38" s="522"/>
      <c r="AV38" s="522"/>
    </row>
    <row s="8735" customFormat="1" customHeight="1" ht="18.75" hidden="1">
      <c r="A39" s="1406"/>
      <c r="B39" s="1406"/>
      <c r="C39" s="1406"/>
      <c r="D39" s="1406"/>
      <c r="E39" s="1406"/>
      <c r="F39" s="1406"/>
      <c r="G39" s="1406"/>
      <c r="H39" s="1406"/>
      <c r="I39" s="1406"/>
      <c r="J39" s="1406"/>
      <c r="K39" s="1406"/>
      <c r="L39" s="1406"/>
      <c r="M39" s="1539"/>
      <c r="N39" s="1406"/>
      <c r="O39" s="1406"/>
      <c r="P39" s="1406"/>
      <c r="U39" s="2311" t="s">
        <v>424</v>
      </c>
      <c r="V39" s="2311"/>
      <c r="W39" s="1531"/>
      <c r="X39" s="2313" t="str">
        <f>IF(TITLE_NUMBER_PR_CHANGE="",IF(TITLE_NUMBER_PR="","",TITLE_NUMBER_PR),TITLE_NUMBER_PR_CHANGE)</f>
        <v>877</v>
      </c>
      <c r="Y39" s="2313"/>
      <c r="Z39" s="2313"/>
      <c r="AA39" s="2313"/>
      <c r="AB39" s="2313"/>
      <c r="AC39" s="2313"/>
      <c r="AD39" s="2313"/>
      <c r="AE39" s="2313"/>
      <c r="AF39" s="480"/>
      <c r="AG39" s="2313" t="str">
        <f>IF(TITLE_NUMBER_PR_CHANGE="",IF(TITLE_NUMBER_PR="","",TITLE_NUMBER_PR),TITLE_NUMBER_PR_CHANGE)</f>
        <v>877</v>
      </c>
      <c r="AH39" s="2313"/>
      <c r="AI39" s="2313"/>
      <c r="AJ39" s="2313"/>
      <c r="AK39" s="2313"/>
      <c r="AL39" s="2313"/>
      <c r="AM39" s="2313"/>
      <c r="AN39" s="2313"/>
      <c r="AO39" s="480"/>
      <c r="AP39" s="480"/>
      <c r="AQ39" s="434"/>
      <c r="AR39" s="522"/>
      <c r="AS39" s="522"/>
      <c r="AT39" s="522"/>
      <c r="AU39" s="522"/>
      <c r="AV39" s="522"/>
    </row>
    <row s="8735" customFormat="1" customHeight="1" ht="0">
      <c r="A40" s="1406"/>
      <c r="B40" s="1406"/>
      <c r="C40" s="1406"/>
      <c r="D40" s="1406"/>
      <c r="E40" s="1406"/>
      <c r="F40" s="1406"/>
      <c r="G40" s="1406"/>
      <c r="H40" s="1406"/>
      <c r="I40" s="1406"/>
      <c r="J40" s="1406"/>
      <c r="K40" s="1406"/>
      <c r="L40" s="1406"/>
      <c r="M40" s="1539"/>
      <c r="N40" s="1406"/>
      <c r="O40" s="1406"/>
      <c r="P40" s="1406"/>
      <c r="U40" s="477"/>
      <c r="V40" s="477"/>
      <c r="W40" s="1499"/>
      <c r="X40" s="480"/>
      <c r="Y40" s="480"/>
      <c r="Z40" s="480"/>
      <c r="AA40" s="480"/>
      <c r="AB40" s="480"/>
      <c r="AC40" s="480"/>
      <c r="AD40" s="480"/>
      <c r="AE40" s="480"/>
      <c r="AF40" s="432" t="s">
        <v>425</v>
      </c>
      <c r="AG40" s="480"/>
      <c r="AH40" s="480"/>
      <c r="AI40" s="480"/>
      <c r="AJ40" s="480"/>
      <c r="AK40" s="480"/>
      <c r="AL40" s="480"/>
      <c r="AM40" s="480"/>
      <c r="AN40" s="480"/>
      <c r="AO40" s="432" t="s">
        <v>425</v>
      </c>
      <c r="AR40" s="522"/>
      <c r="AS40" s="522"/>
      <c r="AT40" s="522"/>
      <c r="AU40" s="522"/>
      <c r="AV40" s="522"/>
    </row>
    <row customHeight="1" ht="14.25">
      <c r="R41" s="530"/>
      <c r="S41" s="530"/>
      <c r="T41" s="530"/>
      <c r="U41" s="1434"/>
      <c r="V41" s="517"/>
      <c r="W41" s="1402"/>
      <c r="X41" s="2337"/>
      <c r="Y41" s="2337"/>
      <c r="Z41" s="2337"/>
      <c r="AA41" s="2337"/>
      <c r="AB41" s="2337"/>
      <c r="AC41" s="2337"/>
      <c r="AD41" s="2337"/>
      <c r="AE41" s="2337"/>
      <c r="AF41" s="2337"/>
      <c r="AG41" s="2337"/>
      <c r="AH41" s="2337"/>
      <c r="AI41" s="2337"/>
      <c r="AJ41" s="2337"/>
      <c r="AK41" s="2337"/>
      <c r="AL41" s="2337"/>
      <c r="AM41" s="2337"/>
      <c r="AN41" s="2337"/>
      <c r="AO41" s="2337"/>
    </row>
    <row customHeight="1" ht="14.25">
      <c r="R42" s="530"/>
      <c r="S42" s="530"/>
      <c r="T42" s="530"/>
      <c r="U42" s="2185" t="s">
        <v>300</v>
      </c>
      <c r="V42" s="2185"/>
      <c r="W42" s="2185"/>
      <c r="X42" s="2185"/>
      <c r="Y42" s="2185"/>
      <c r="Z42" s="2185"/>
      <c r="AA42" s="2185"/>
      <c r="AB42" s="2185"/>
      <c r="AC42" s="2185"/>
      <c r="AD42" s="2185"/>
      <c r="AE42" s="2185"/>
      <c r="AF42" s="2185"/>
      <c r="AG42" s="2185"/>
      <c r="AH42" s="2185"/>
      <c r="AI42" s="2185"/>
      <c r="AJ42" s="2185"/>
      <c r="AK42" s="2185"/>
      <c r="AL42" s="2185"/>
      <c r="AM42" s="2185"/>
      <c r="AN42" s="2185"/>
      <c r="AO42" s="2185"/>
      <c r="AP42" s="2185"/>
      <c r="AQ42" s="2185" t="s">
        <v>301</v>
      </c>
    </row>
    <row customHeight="1" ht="14.25">
      <c r="R43" s="530"/>
      <c r="S43" s="530"/>
      <c r="T43" s="530"/>
      <c r="U43" s="2338" t="s">
        <v>85</v>
      </c>
      <c r="V43" s="2275" t="s">
        <v>426</v>
      </c>
      <c r="W43" s="455"/>
      <c r="X43" s="2339" t="s">
        <v>427</v>
      </c>
      <c r="Y43" s="2361"/>
      <c r="Z43" s="2361"/>
      <c r="AA43" s="2361"/>
      <c r="AB43" s="2361"/>
      <c r="AC43" s="2340"/>
      <c r="AD43" s="2340"/>
      <c r="AE43" s="2341"/>
      <c r="AF43" s="2342" t="s">
        <v>428</v>
      </c>
      <c r="AG43" s="2339" t="s">
        <v>427</v>
      </c>
      <c r="AH43" s="2361"/>
      <c r="AI43" s="2361"/>
      <c r="AJ43" s="2361"/>
      <c r="AK43" s="2361"/>
      <c r="AL43" s="2340"/>
      <c r="AM43" s="2340"/>
      <c r="AN43" s="2341"/>
      <c r="AO43" s="2342" t="s">
        <v>429</v>
      </c>
      <c r="AP43" s="2345" t="s">
        <v>430</v>
      </c>
      <c r="AQ43" s="2185"/>
    </row>
    <row customHeight="1" ht="33.75">
      <c r="R44" s="530"/>
      <c r="S44" s="530"/>
      <c r="T44" s="530"/>
      <c r="U44" s="2338"/>
      <c r="V44" s="2275"/>
      <c r="W44" s="1186"/>
      <c r="X44" s="2359" t="s">
        <v>452</v>
      </c>
      <c r="Y44" s="2368" t="s">
        <v>453</v>
      </c>
      <c r="Z44" s="2368"/>
      <c r="AA44" s="2368"/>
      <c r="AB44" s="2368"/>
      <c r="AC44" s="2359" t="s">
        <v>434</v>
      </c>
      <c r="AD44" s="2377"/>
      <c r="AE44" s="2378"/>
      <c r="AF44" s="2343"/>
      <c r="AG44" s="2359" t="s">
        <v>452</v>
      </c>
      <c r="AH44" s="2368" t="s">
        <v>453</v>
      </c>
      <c r="AI44" s="2368"/>
      <c r="AJ44" s="2368"/>
      <c r="AK44" s="2368"/>
      <c r="AL44" s="2359" t="s">
        <v>434</v>
      </c>
      <c r="AM44" s="2377"/>
      <c r="AN44" s="2378"/>
      <c r="AO44" s="2343"/>
      <c r="AP44" s="2346"/>
      <c r="AQ44" s="2185"/>
    </row>
    <row customHeight="1" ht="14.25">
      <c r="R45" s="530"/>
      <c r="S45" s="530"/>
      <c r="T45" s="530"/>
      <c r="U45" s="2338"/>
      <c r="V45" s="2275"/>
      <c r="W45" s="1186"/>
      <c r="X45" s="2381"/>
      <c r="Y45" s="2369" t="s">
        <v>454</v>
      </c>
      <c r="Z45" s="2334" t="s">
        <v>455</v>
      </c>
      <c r="AA45" s="2372"/>
      <c r="AB45" s="2335"/>
      <c r="AC45" s="2360"/>
      <c r="AD45" s="2379"/>
      <c r="AE45" s="2380"/>
      <c r="AF45" s="2343"/>
      <c r="AG45" s="2381"/>
      <c r="AH45" s="2369" t="s">
        <v>454</v>
      </c>
      <c r="AI45" s="2334" t="s">
        <v>455</v>
      </c>
      <c r="AJ45" s="2372"/>
      <c r="AK45" s="2335"/>
      <c r="AL45" s="2360"/>
      <c r="AM45" s="2379"/>
      <c r="AN45" s="2380"/>
      <c r="AO45" s="2343"/>
      <c r="AP45" s="2346"/>
      <c r="AQ45" s="2185"/>
    </row>
    <row customHeight="1" ht="25.5">
      <c r="R46" s="530"/>
      <c r="S46" s="530"/>
      <c r="T46" s="530"/>
      <c r="U46" s="2338"/>
      <c r="V46" s="2275"/>
      <c r="W46" s="1186"/>
      <c r="X46" s="2381"/>
      <c r="Y46" s="2370"/>
      <c r="Z46" s="2369" t="s">
        <v>456</v>
      </c>
      <c r="AA46" s="2334" t="s">
        <v>457</v>
      </c>
      <c r="AB46" s="2335"/>
      <c r="AC46" s="2369" t="s">
        <v>444</v>
      </c>
      <c r="AD46" s="2373" t="s">
        <v>445</v>
      </c>
      <c r="AE46" s="2374"/>
      <c r="AF46" s="2343"/>
      <c r="AG46" s="2381"/>
      <c r="AH46" s="2370"/>
      <c r="AI46" s="2369" t="s">
        <v>456</v>
      </c>
      <c r="AJ46" s="2334" t="s">
        <v>457</v>
      </c>
      <c r="AK46" s="2335"/>
      <c r="AL46" s="2369" t="s">
        <v>444</v>
      </c>
      <c r="AM46" s="2373" t="s">
        <v>445</v>
      </c>
      <c r="AN46" s="2374"/>
      <c r="AO46" s="2343"/>
      <c r="AP46" s="2346"/>
      <c r="AQ46" s="2185"/>
    </row>
    <row customHeight="1" ht="62.25">
      <c r="A47" s="1418"/>
      <c r="B47" s="1418" t="s">
        <v>132</v>
      </c>
      <c r="C47" s="1418" t="s">
        <v>133</v>
      </c>
      <c r="D47" s="1418" t="s">
        <v>134</v>
      </c>
      <c r="E47" s="1469" t="s">
        <v>435</v>
      </c>
      <c r="F47" s="1469" t="s">
        <v>436</v>
      </c>
      <c r="G47" s="1469" t="s">
        <v>437</v>
      </c>
      <c r="H47" s="1469" t="s">
        <v>438</v>
      </c>
      <c r="I47" s="1469" t="s">
        <v>439</v>
      </c>
      <c r="J47" s="1469" t="s">
        <v>440</v>
      </c>
      <c r="K47" s="1469" t="s">
        <v>441</v>
      </c>
      <c r="L47" s="1469" t="s">
        <v>458</v>
      </c>
      <c r="M47" s="1469" t="s">
        <v>416</v>
      </c>
      <c r="R47" s="530"/>
      <c r="S47" s="530"/>
      <c r="T47" s="530"/>
      <c r="U47" s="2338"/>
      <c r="V47" s="2275"/>
      <c r="W47" s="456"/>
      <c r="X47" s="2360"/>
      <c r="Y47" s="2371"/>
      <c r="Z47" s="2371"/>
      <c r="AA47" s="1380" t="s">
        <v>459</v>
      </c>
      <c r="AB47" s="1380" t="s">
        <v>460</v>
      </c>
      <c r="AC47" s="2371"/>
      <c r="AD47" s="2375"/>
      <c r="AE47" s="2376"/>
      <c r="AF47" s="2344"/>
      <c r="AG47" s="2360"/>
      <c r="AH47" s="2371"/>
      <c r="AI47" s="2371"/>
      <c r="AJ47" s="1380" t="s">
        <v>459</v>
      </c>
      <c r="AK47" s="1380" t="s">
        <v>460</v>
      </c>
      <c r="AL47" s="2371"/>
      <c r="AM47" s="2375"/>
      <c r="AN47" s="2376"/>
      <c r="AO47" s="2344"/>
      <c r="AP47" s="2347"/>
      <c r="AQ47" s="2185"/>
    </row>
    <row s="8552" customFormat="1" customHeight="1" ht="11.25" hidden="1">
      <c r="A48" s="1418"/>
      <c r="B48" s="1418"/>
      <c r="C48" s="1418"/>
      <c r="D48" s="1418"/>
      <c r="E48" s="1418"/>
      <c r="F48" s="1418"/>
      <c r="G48" s="1418"/>
      <c r="H48" s="1418"/>
      <c r="I48" s="1418"/>
      <c r="J48" s="1418"/>
      <c r="K48" s="1418"/>
      <c r="L48" s="1418"/>
      <c r="M48" s="1469"/>
      <c r="N48" s="1487"/>
      <c r="O48" s="1487"/>
      <c r="P48" s="1487"/>
      <c r="Q48" s="1404"/>
      <c r="R48" s="1405"/>
      <c r="S48" s="1412">
        <v>1</v>
      </c>
      <c r="T48" s="1412"/>
      <c r="U48" s="1436" t="s">
        <v>106</v>
      </c>
      <c r="V48" s="1413" t="s">
        <v>107</v>
      </c>
      <c r="W48" s="1403" t="str">
        <f>OFFSET(W48,0,-1)</f>
        <v>2</v>
      </c>
      <c r="X48" s="1494">
        <f>OFFSET(X48,0,-1)+1</f>
        <v>3</v>
      </c>
      <c r="Y48" s="1500"/>
      <c r="Z48" s="1500"/>
      <c r="AA48" s="1500">
        <f>OFFSET(AA48,0,-1)+1</f>
        <v>1</v>
      </c>
      <c r="AB48" s="1500">
        <f>OFFSET(AB48,0,-1)+1</f>
        <v>2</v>
      </c>
      <c r="AC48" s="1494">
        <f>OFFSET(AC48,0,-1)+1</f>
        <v>3</v>
      </c>
      <c r="AD48" s="2336">
        <f>OFFSET(AD48,0,-1)+1</f>
        <v>4</v>
      </c>
      <c r="AE48" s="2336"/>
      <c r="AF48" s="1494">
        <f>OFFSET(AF48,0,-2)+1</f>
        <v>5</v>
      </c>
      <c r="AG48" s="1494">
        <f>OFFSET(AG48,0,-1)+1</f>
        <v>6</v>
      </c>
      <c r="AH48" s="1494"/>
      <c r="AI48" s="1494"/>
      <c r="AJ48" s="1494">
        <f>OFFSET(AJ48,0,-1)+1</f>
        <v>1</v>
      </c>
      <c r="AK48" s="1494">
        <f>OFFSET(AK48,0,-1)+1</f>
        <v>2</v>
      </c>
      <c r="AL48" s="1494">
        <f>OFFSET(AL48,0,-1)+1</f>
        <v>3</v>
      </c>
      <c r="AM48" s="2336">
        <f>OFFSET(AM48,0,-1)+1</f>
        <v>4</v>
      </c>
      <c r="AN48" s="2336"/>
      <c r="AO48" s="1494">
        <f>OFFSET(AO48,0,-2)+1</f>
        <v>5</v>
      </c>
      <c r="AP48" s="1403">
        <f>OFFSET(AP48,0,-1)</f>
        <v>5</v>
      </c>
      <c r="AQ48" s="1494">
        <f>OFFSET(AQ48,0,-1)+1</f>
        <v>6</v>
      </c>
      <c r="AR48" s="665"/>
      <c r="AS48" s="665"/>
      <c r="AT48" s="665"/>
      <c r="AU48" s="665"/>
      <c r="AV48" s="665"/>
    </row>
    <row customHeight="1" ht="21">
      <c r="A49" s="1426" t="s">
        <v>171</v>
      </c>
      <c r="B49" s="1426"/>
      <c r="C49" s="1426"/>
      <c r="D49" s="1426"/>
      <c r="E49" s="2355">
        <v>1</v>
      </c>
      <c r="F49" s="1426"/>
      <c r="G49" s="1426"/>
      <c r="H49" s="1426"/>
      <c r="I49" s="1426"/>
      <c r="J49" s="1426"/>
      <c r="K49" s="1426"/>
      <c r="L49" s="1426"/>
      <c r="M49" s="1469"/>
      <c r="N49" s="842"/>
      <c r="O49" s="842"/>
      <c r="P49" s="842"/>
      <c r="Q49" s="515"/>
      <c r="R49" s="514"/>
      <c r="S49" s="514"/>
      <c r="T49" s="509"/>
      <c r="U49" s="1495">
        <f>INDEX(PT_DIFFERENTIATION_NUM_NTAR,MATCH(A49,PT_DIFFERENTIATION_NTAR_ID,0))</f>
        <v>0</v>
      </c>
      <c r="V49" s="452" t="s">
        <v>120</v>
      </c>
      <c r="W49" s="454"/>
      <c r="X49" s="2314"/>
      <c r="Y49" s="2315"/>
      <c r="Z49" s="2315"/>
      <c r="AA49" s="2315"/>
      <c r="AB49" s="2315"/>
      <c r="AC49" s="2315"/>
      <c r="AD49" s="2315"/>
      <c r="AE49" s="2315"/>
      <c r="AF49" s="2316"/>
      <c r="AG49" s="2314" t="str">
        <f>INDEX(PT_DIFFERENTIATION_NTAR,MATCH(A49,PT_DIFFERENTIATION_NTAR_ID,0))</f>
        <v/>
      </c>
      <c r="AH49" s="2315"/>
      <c r="AI49" s="2315"/>
      <c r="AJ49" s="2315"/>
      <c r="AK49" s="2315"/>
      <c r="AL49" s="2315"/>
      <c r="AM49" s="2315"/>
      <c r="AN49" s="2315"/>
      <c r="AO49" s="2315"/>
      <c r="AP49" s="2316"/>
      <c r="AQ49" s="1416"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реквизиты"&amp;" (дата и номер) решения об установлении цены (тарифа), источник официального опубликования решения об установлении цены (тарифа) в сфере теплоснабжения.","В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теплоснабжения"&amp;" (горячего водоснабжения), установленных в виде формулы двухкомпонентного тарифа "&amp;"с использованием компонента на теплоноситель и компонента на тепловую энергию, в том числе о числовых значениях компонентов указанного тарифа. "&amp;"В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"&amp;"Федерального закона от 27 июля 2010 г.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S49" s="654"/>
      <c r="AT49" s="654" t="str">
        <f>IF(V49="","",V49)</f>
        <v>Наименование тарифа</v>
      </c>
      <c r="AU49" s="654"/>
      <c r="AV49" s="654"/>
    </row>
    <row customHeight="1" ht="21">
      <c r="A50" s="1426" t="s">
        <v>171</v>
      </c>
      <c r="B50" s="1426" t="s">
        <v>172</v>
      </c>
      <c r="C50" s="1426"/>
      <c r="D50" s="1426"/>
      <c r="E50" s="2356"/>
      <c r="F50" s="2355">
        <v>1</v>
      </c>
      <c r="G50" s="1426"/>
      <c r="H50" s="1426"/>
      <c r="I50" s="1426"/>
      <c r="J50" s="1426"/>
      <c r="K50" s="1426"/>
      <c r="L50" s="1426"/>
      <c r="M50" s="1469"/>
      <c r="N50" s="842"/>
      <c r="O50" s="842"/>
      <c r="P50" s="842"/>
      <c r="Q50" s="1491"/>
      <c r="R50" s="506"/>
      <c r="S50" s="663"/>
      <c r="T50" s="507"/>
      <c r="U50" s="1495" t="str">
        <f>INDEX(PT_DIFFERENTIATION_NUM_TER,MATCH(B50,PT_DIFFERENTIATION_TER_ID,0))</f>
        <v>.</v>
      </c>
      <c r="V50" s="462" t="s">
        <v>397</v>
      </c>
      <c r="W50" s="454"/>
      <c r="X50" s="2314"/>
      <c r="Y50" s="2315"/>
      <c r="Z50" s="2315"/>
      <c r="AA50" s="2315"/>
      <c r="AB50" s="2315"/>
      <c r="AC50" s="2315"/>
      <c r="AD50" s="2315"/>
      <c r="AE50" s="2315"/>
      <c r="AF50" s="2316"/>
      <c r="AG50" s="2314" t="str">
        <f>INDEX(PT_DIFFERENTIATION_TER,MATCH(B50,PT_DIFFERENTIATION_TER_ID,0))</f>
        <v/>
      </c>
      <c r="AH50" s="2315"/>
      <c r="AI50" s="2315"/>
      <c r="AJ50" s="2315"/>
      <c r="AK50" s="2315"/>
      <c r="AL50" s="2315"/>
      <c r="AM50" s="2315"/>
      <c r="AN50" s="2315"/>
      <c r="AO50" s="2315"/>
      <c r="AP50" s="2316"/>
      <c r="AQ50" s="1416" t="s">
        <v>398</v>
      </c>
      <c r="AS50" s="654"/>
      <c r="AT50" s="654" t="str">
        <f>IF(V50="","",V50)</f>
        <v>Территория действия тарифа</v>
      </c>
      <c r="AU50" s="654"/>
      <c r="AV50" s="654"/>
    </row>
    <row customHeight="1" ht="22.5">
      <c r="A51" s="1426" t="s">
        <v>171</v>
      </c>
      <c r="B51" s="1426" t="s">
        <v>172</v>
      </c>
      <c r="C51" s="1426" t="s">
        <v>173</v>
      </c>
      <c r="D51" s="1426"/>
      <c r="E51" s="2356"/>
      <c r="F51" s="2356"/>
      <c r="G51" s="2355">
        <v>1</v>
      </c>
      <c r="H51" s="1426"/>
      <c r="I51" s="1426"/>
      <c r="J51" s="1426"/>
      <c r="K51" s="1426"/>
      <c r="L51" s="1426"/>
      <c r="M51" s="1469"/>
      <c r="N51" s="842"/>
      <c r="O51" s="842"/>
      <c r="P51" s="842"/>
      <c r="Q51" s="508"/>
      <c r="R51" s="506"/>
      <c r="S51" s="663"/>
      <c r="T51" s="507"/>
      <c r="U51" s="1495" t="str">
        <f>INDEX(PT_DIFFERENTIATION_NUM_CS,MATCH(C51,PT_DIFFERENTIATION_CS_ID,0))</f>
        <v>..</v>
      </c>
      <c r="V51" s="463" t="s">
        <v>399</v>
      </c>
      <c r="W51" s="454"/>
      <c r="X51" s="2314"/>
      <c r="Y51" s="2315"/>
      <c r="Z51" s="2315"/>
      <c r="AA51" s="2315"/>
      <c r="AB51" s="2315"/>
      <c r="AC51" s="2315"/>
      <c r="AD51" s="2315"/>
      <c r="AE51" s="2315"/>
      <c r="AF51" s="2316"/>
      <c r="AG51" s="2314" t="str">
        <f>INDEX(PT_DIFFERENTIATION_CS,MATCH(C51,PT_DIFFERENTIATION_CS_ID,0))</f>
        <v/>
      </c>
      <c r="AH51" s="2315"/>
      <c r="AI51" s="2315"/>
      <c r="AJ51" s="2315"/>
      <c r="AK51" s="2315"/>
      <c r="AL51" s="2315"/>
      <c r="AM51" s="2315"/>
      <c r="AN51" s="2315"/>
      <c r="AO51" s="2315"/>
      <c r="AP51" s="2316"/>
      <c r="AQ51" s="1416" t="s">
        <v>400</v>
      </c>
      <c r="AS51" s="654"/>
      <c r="AT51" s="654" t="str">
        <f>IF(V51="","",V51)</f>
        <v>Наименование системы теплоснабжения </v>
      </c>
      <c r="AU51" s="654"/>
      <c r="AV51" s="654"/>
    </row>
    <row customHeight="1" ht="21">
      <c r="A52" s="1426" t="s">
        <v>171</v>
      </c>
      <c r="B52" s="1426" t="s">
        <v>172</v>
      </c>
      <c r="C52" s="1426" t="s">
        <v>173</v>
      </c>
      <c r="D52" s="1426" t="s">
        <v>174</v>
      </c>
      <c r="E52" s="2356"/>
      <c r="F52" s="2356"/>
      <c r="G52" s="2356"/>
      <c r="H52" s="2382">
        <v>1</v>
      </c>
      <c r="I52" s="1426"/>
      <c r="J52" s="1426"/>
      <c r="K52" s="1426"/>
      <c r="L52" s="1426"/>
      <c r="M52" s="1469"/>
      <c r="N52" s="842"/>
      <c r="O52" s="842"/>
      <c r="P52" s="842"/>
      <c r="Q52" s="508"/>
      <c r="R52" s="506"/>
      <c r="S52" s="663"/>
      <c r="T52" s="507"/>
      <c r="U52" s="1495" t="str">
        <f>INDEX(PT_DIFFERENTIATION_NUM_IST_TE,MATCH(D52,PT_DIFFERENTIATION_IST_TE_ID,0))</f>
        <v>...</v>
      </c>
      <c r="V52" s="464" t="s">
        <v>401</v>
      </c>
      <c r="W52" s="454"/>
      <c r="X52" s="2314"/>
      <c r="Y52" s="2315"/>
      <c r="Z52" s="2315"/>
      <c r="AA52" s="2315"/>
      <c r="AB52" s="2315"/>
      <c r="AC52" s="2315"/>
      <c r="AD52" s="2315"/>
      <c r="AE52" s="2315"/>
      <c r="AF52" s="2316"/>
      <c r="AG52" s="2314" t="str">
        <f>INDEX(PT_DIFFERENTIATION_IST_TE,MATCH(D52,PT_DIFFERENTIATION_IST_TE_ID,0))</f>
        <v/>
      </c>
      <c r="AH52" s="2315"/>
      <c r="AI52" s="2315"/>
      <c r="AJ52" s="2315"/>
      <c r="AK52" s="2315"/>
      <c r="AL52" s="2315"/>
      <c r="AM52" s="2315"/>
      <c r="AN52" s="2315"/>
      <c r="AO52" s="2315"/>
      <c r="AP52" s="2316"/>
      <c r="AQ52" s="1416" t="s">
        <v>402</v>
      </c>
      <c r="AS52" s="654"/>
      <c r="AT52" s="654" t="str">
        <f>IF(V52="","",V52)</f>
        <v>Источник тепловой энергии  </v>
      </c>
      <c r="AU52" s="654"/>
      <c r="AV52" s="654"/>
    </row>
    <row s="8794" customFormat="1" customHeight="1" ht="0">
      <c r="A53" s="1534" t="s">
        <v>171</v>
      </c>
      <c r="B53" s="1534" t="s">
        <v>172</v>
      </c>
      <c r="C53" s="1534" t="s">
        <v>173</v>
      </c>
      <c r="D53" s="1534" t="s">
        <v>174</v>
      </c>
      <c r="E53" s="2356"/>
      <c r="F53" s="2356"/>
      <c r="G53" s="2356"/>
      <c r="H53" s="2383"/>
      <c r="I53" s="2185" t="str">
        <f>U52&amp;".1"</f>
        <v>....1</v>
      </c>
      <c r="J53" s="1534"/>
      <c r="K53" s="1534"/>
      <c r="L53" s="1534"/>
      <c r="M53" s="1540" t="s">
        <v>403</v>
      </c>
      <c r="N53" s="1404"/>
      <c r="O53" s="1404"/>
      <c r="P53" s="1404"/>
      <c r="Q53" s="2324">
        <v>1</v>
      </c>
      <c r="R53" s="1490"/>
      <c r="S53" s="1490"/>
      <c r="T53" s="510"/>
      <c r="U53" s="1197"/>
      <c r="V53" s="1542"/>
      <c r="W53" s="1543"/>
      <c r="X53" s="2362"/>
      <c r="Y53" s="2363"/>
      <c r="Z53" s="2363"/>
      <c r="AA53" s="2363"/>
      <c r="AB53" s="2363"/>
      <c r="AC53" s="2363"/>
      <c r="AD53" s="2363"/>
      <c r="AE53" s="2363"/>
      <c r="AF53" s="2364"/>
      <c r="AG53" s="2362"/>
      <c r="AH53" s="2363"/>
      <c r="AI53" s="2363"/>
      <c r="AJ53" s="2363"/>
      <c r="AK53" s="2363"/>
      <c r="AL53" s="2363"/>
      <c r="AM53" s="2363"/>
      <c r="AN53" s="2363"/>
      <c r="AO53" s="2363"/>
      <c r="AP53" s="2364"/>
      <c r="AQ53" s="1544"/>
      <c r="AS53" s="654"/>
      <c r="AT53" s="654" t="str">
        <f>IF(V53="","",V53)</f>
        <v/>
      </c>
      <c r="AU53" s="654"/>
      <c r="AV53" s="654"/>
    </row>
    <row customHeight="1" ht="21">
      <c r="A54" s="1426" t="s">
        <v>171</v>
      </c>
      <c r="B54" s="1426" t="s">
        <v>172</v>
      </c>
      <c r="C54" s="1426" t="s">
        <v>173</v>
      </c>
      <c r="D54" s="1426" t="s">
        <v>174</v>
      </c>
      <c r="E54" s="2356"/>
      <c r="F54" s="2356"/>
      <c r="G54" s="2356"/>
      <c r="H54" s="2383"/>
      <c r="I54" s="2169"/>
      <c r="J54" s="2185" t="str">
        <f>I53&amp;".1"</f>
        <v>....1.1</v>
      </c>
      <c r="K54" s="1426"/>
      <c r="L54" s="1426"/>
      <c r="M54" s="1469" t="s">
        <v>406</v>
      </c>
      <c r="Q54" s="2324"/>
      <c r="R54" s="2324">
        <v>1</v>
      </c>
      <c r="S54" s="672"/>
      <c r="T54" s="511"/>
      <c r="U54" s="1495" t="str">
        <f>$J54</f>
        <v>....1.1</v>
      </c>
      <c r="V54" s="440" t="s">
        <v>407</v>
      </c>
      <c r="W54" s="454"/>
      <c r="X54" s="2308"/>
      <c r="Y54" s="2309"/>
      <c r="Z54" s="2309"/>
      <c r="AA54" s="2309"/>
      <c r="AB54" s="2309"/>
      <c r="AC54" s="2301"/>
      <c r="AD54" s="2301"/>
      <c r="AE54" s="2301"/>
      <c r="AF54" s="2384"/>
      <c r="AG54" s="2308"/>
      <c r="AH54" s="2309"/>
      <c r="AI54" s="2309"/>
      <c r="AJ54" s="2309"/>
      <c r="AK54" s="2309"/>
      <c r="AL54" s="2309"/>
      <c r="AM54" s="2309"/>
      <c r="AN54" s="2309"/>
      <c r="AO54" s="2309"/>
      <c r="AP54" s="2310"/>
      <c r="AQ54" s="1416" t="s">
        <v>408</v>
      </c>
      <c r="AS54" s="654"/>
      <c r="AT54" s="654" t="str">
        <f>IF(V54="","",V54)</f>
        <v>Группа потребителей</v>
      </c>
      <c r="AU54" s="654"/>
      <c r="AV54" s="654"/>
    </row>
    <row customHeight="1" ht="21">
      <c r="A55" s="1426" t="s">
        <v>171</v>
      </c>
      <c r="B55" s="1426" t="s">
        <v>172</v>
      </c>
      <c r="C55" s="1426" t="s">
        <v>173</v>
      </c>
      <c r="D55" s="1426" t="s">
        <v>174</v>
      </c>
      <c r="E55" s="2356"/>
      <c r="F55" s="2356"/>
      <c r="G55" s="2356"/>
      <c r="H55" s="2383"/>
      <c r="I55" s="2169"/>
      <c r="J55" s="2169"/>
      <c r="K55" s="2185" t="str">
        <f>J54&amp;".1"</f>
        <v>....1.1.1</v>
      </c>
      <c r="L55" s="294"/>
      <c r="M55" s="1469" t="s">
        <v>409</v>
      </c>
      <c r="Q55" s="2324"/>
      <c r="R55" s="2324"/>
      <c r="S55" s="672">
        <v>1</v>
      </c>
      <c r="T55" s="511"/>
      <c r="U55" s="1495" t="str">
        <f>$K55</f>
        <v>....1.1.1</v>
      </c>
      <c r="V55" s="1506"/>
      <c r="W55" s="454"/>
      <c r="X55" s="905"/>
      <c r="Y55" s="905"/>
      <c r="Z55" s="905"/>
      <c r="AA55" s="905"/>
      <c r="AB55" s="1564"/>
      <c r="AC55" s="2325"/>
      <c r="AD55" s="2195" t="s">
        <v>64</v>
      </c>
      <c r="AE55" s="2325"/>
      <c r="AF55" s="2195" t="s">
        <v>64</v>
      </c>
      <c r="AG55" s="1566"/>
      <c r="AH55" s="905"/>
      <c r="AI55" s="905"/>
      <c r="AJ55" s="905"/>
      <c r="AK55" s="1415"/>
      <c r="AL55" s="2325"/>
      <c r="AM55" s="2195" t="s">
        <v>64</v>
      </c>
      <c r="AN55" s="2325"/>
      <c r="AO55" s="2195" t="s">
        <v>64</v>
      </c>
      <c r="AP55" s="1507"/>
      <c r="AQ55" s="1466" t="s">
        <v>449</v>
      </c>
      <c r="AR55" s="665">
        <f>STRCHECKDATE(X57:AP57)</f>
      </c>
      <c r="AS55" s="654"/>
      <c r="AT55" s="654" t="str">
        <f>IF(V55="","",V55)</f>
        <v/>
      </c>
      <c r="AU55" s="654"/>
      <c r="AV55" s="654"/>
    </row>
    <row customHeight="1" ht="11.25">
      <c r="A56" s="1426" t="s">
        <v>171</v>
      </c>
      <c r="B56" s="1426" t="s">
        <v>172</v>
      </c>
      <c r="C56" s="1426" t="s">
        <v>173</v>
      </c>
      <c r="D56" s="1426" t="s">
        <v>174</v>
      </c>
      <c r="E56" s="2356"/>
      <c r="F56" s="2356"/>
      <c r="G56" s="2356"/>
      <c r="H56" s="2383"/>
      <c r="I56" s="2169"/>
      <c r="J56" s="2169"/>
      <c r="K56" s="2169"/>
      <c r="L56" s="2185" t="str">
        <f>K55&amp;".1"</f>
        <v>....1.1.1.1</v>
      </c>
      <c r="M56" s="1469"/>
      <c r="Q56" s="2324"/>
      <c r="R56" s="2324"/>
      <c r="S56" s="672">
        <v>1</v>
      </c>
      <c r="T56" s="511"/>
      <c r="U56" s="1495" t="str">
        <f>$L56</f>
        <v>....1.1.1.1</v>
      </c>
      <c r="V56" s="1550"/>
      <c r="W56" s="454"/>
      <c r="X56" s="479"/>
      <c r="Y56" s="905"/>
      <c r="Z56" s="905"/>
      <c r="AA56" s="905"/>
      <c r="AB56" s="1564"/>
      <c r="AC56" s="2367"/>
      <c r="AD56" s="2195"/>
      <c r="AE56" s="2367"/>
      <c r="AF56" s="2195"/>
      <c r="AG56" s="1566"/>
      <c r="AH56" s="905"/>
      <c r="AI56" s="905"/>
      <c r="AJ56" s="905"/>
      <c r="AK56" s="1415"/>
      <c r="AL56" s="2367"/>
      <c r="AM56" s="2195"/>
      <c r="AN56" s="2367"/>
      <c r="AO56" s="2195"/>
      <c r="AP56" s="1507"/>
      <c r="AQ56" s="2350" t="s">
        <v>450</v>
      </c>
      <c r="AR56" s="665">
        <f>STRCHECKDATE(X58:AP58)</f>
      </c>
      <c r="AS56" s="654"/>
      <c r="AT56" s="654" t="str">
        <f>IF(V56="","",V56)</f>
        <v/>
      </c>
      <c r="AU56" s="654"/>
      <c r="AV56" s="654"/>
    </row>
    <row customHeight="1" ht="0">
      <c r="A57" s="1426" t="s">
        <v>171</v>
      </c>
      <c r="B57" s="1426" t="s">
        <v>172</v>
      </c>
      <c r="C57" s="1426" t="s">
        <v>173</v>
      </c>
      <c r="D57" s="1426" t="s">
        <v>174</v>
      </c>
      <c r="E57" s="2356"/>
      <c r="F57" s="2356"/>
      <c r="G57" s="2356"/>
      <c r="H57" s="2383"/>
      <c r="I57" s="2169"/>
      <c r="J57" s="2169"/>
      <c r="K57" s="2169"/>
      <c r="L57" s="2185"/>
      <c r="M57" s="1469"/>
      <c r="Q57" s="2324"/>
      <c r="R57" s="2324"/>
      <c r="S57" s="672"/>
      <c r="T57" s="511"/>
      <c r="U57" s="1501"/>
      <c r="V57" s="454"/>
      <c r="W57" s="454"/>
      <c r="X57" s="479"/>
      <c r="Y57" s="479"/>
      <c r="Z57" s="479"/>
      <c r="AA57" s="479"/>
      <c r="AB57" s="1565" t="str">
        <f>AC55&amp;"-"&amp;AE55</f>
        <v>-</v>
      </c>
      <c r="AC57" s="2367"/>
      <c r="AD57" s="2195"/>
      <c r="AE57" s="2367"/>
      <c r="AF57" s="2195"/>
      <c r="AG57" s="1541"/>
      <c r="AH57" s="479"/>
      <c r="AI57" s="479"/>
      <c r="AJ57" s="479"/>
      <c r="AK57" s="482" t="str">
        <f>AL55&amp;"-"&amp;AN55</f>
        <v>-</v>
      </c>
      <c r="AL57" s="2367"/>
      <c r="AM57" s="2195"/>
      <c r="AN57" s="2367"/>
      <c r="AO57" s="2195"/>
      <c r="AP57" s="1508"/>
      <c r="AQ57" s="2351"/>
      <c r="AS57" s="654"/>
      <c r="AT57" s="654" t="str">
        <f>IF(V57="","",V57)</f>
        <v/>
      </c>
      <c r="AU57" s="654"/>
      <c r="AV57" s="654"/>
    </row>
    <row customHeight="1" ht="11.25">
      <c r="A58" s="1426" t="s">
        <v>171</v>
      </c>
      <c r="B58" s="1426" t="s">
        <v>172</v>
      </c>
      <c r="C58" s="1426" t="s">
        <v>173</v>
      </c>
      <c r="D58" s="1426" t="s">
        <v>174</v>
      </c>
      <c r="E58" s="2356"/>
      <c r="F58" s="2356"/>
      <c r="G58" s="2356"/>
      <c r="H58" s="2383"/>
      <c r="I58" s="2169"/>
      <c r="J58" s="2169"/>
      <c r="K58" s="2185"/>
      <c r="L58" s="1426"/>
      <c r="M58" s="1469"/>
      <c r="Q58" s="2324"/>
      <c r="R58" s="2324"/>
      <c r="S58" s="1490"/>
      <c r="T58" s="510"/>
      <c r="U58" s="1437"/>
      <c r="V58" s="442" t="s">
        <v>451</v>
      </c>
      <c r="W58" s="521"/>
      <c r="X58" s="521"/>
      <c r="Y58" s="521"/>
      <c r="Z58" s="521"/>
      <c r="AA58" s="521"/>
      <c r="AB58" s="521"/>
      <c r="AC58" s="2367"/>
      <c r="AD58" s="2195"/>
      <c r="AE58" s="2367"/>
      <c r="AF58" s="2195"/>
      <c r="AG58" s="521"/>
      <c r="AH58" s="521"/>
      <c r="AI58" s="521"/>
      <c r="AJ58" s="521"/>
      <c r="AK58" s="521"/>
      <c r="AL58" s="2367"/>
      <c r="AM58" s="2195"/>
      <c r="AN58" s="2367"/>
      <c r="AO58" s="2195"/>
      <c r="AP58" s="478"/>
      <c r="AQ58" s="2351"/>
      <c r="AS58" s="654"/>
      <c r="AT58" s="654" t="str">
        <f>IF(V58="","",V58)</f>
        <v>Добавить наименование поставщика</v>
      </c>
      <c r="AU58" s="654"/>
      <c r="AV58" s="654"/>
    </row>
    <row customHeight="1" ht="11.25">
      <c r="A59" s="1426" t="s">
        <v>171</v>
      </c>
      <c r="B59" s="1426" t="s">
        <v>172</v>
      </c>
      <c r="C59" s="1426" t="s">
        <v>173</v>
      </c>
      <c r="D59" s="1426" t="s">
        <v>174</v>
      </c>
      <c r="E59" s="2356"/>
      <c r="F59" s="2356"/>
      <c r="G59" s="2356"/>
      <c r="H59" s="2383"/>
      <c r="I59" s="2169"/>
      <c r="J59" s="2185"/>
      <c r="K59" s="1426"/>
      <c r="L59" s="1426"/>
      <c r="M59" s="1469"/>
      <c r="Q59" s="2324"/>
      <c r="R59" s="2324"/>
      <c r="S59" s="1490"/>
      <c r="T59" s="510"/>
      <c r="U59" s="1437"/>
      <c r="V59" s="441" t="s">
        <v>411</v>
      </c>
      <c r="W59" s="521"/>
      <c r="X59" s="521"/>
      <c r="Y59" s="521"/>
      <c r="Z59" s="521"/>
      <c r="AA59" s="521"/>
      <c r="AB59" s="521"/>
      <c r="AC59" s="1567"/>
      <c r="AD59" s="1567"/>
      <c r="AE59" s="1567"/>
      <c r="AF59" s="1567"/>
      <c r="AG59" s="521"/>
      <c r="AH59" s="521"/>
      <c r="AI59" s="521"/>
      <c r="AJ59" s="521"/>
      <c r="AK59" s="521"/>
      <c r="AL59" s="521"/>
      <c r="AM59" s="521"/>
      <c r="AN59" s="521"/>
      <c r="AO59" s="521"/>
      <c r="AP59" s="478"/>
      <c r="AQ59" s="2352"/>
      <c r="AS59" s="654"/>
      <c r="AT59" s="654" t="str">
        <f>IF(V59="","",V59)</f>
        <v>Добавить вид теплоносителя (параметры теплоносителя)</v>
      </c>
      <c r="AU59" s="654"/>
      <c r="AV59" s="654"/>
    </row>
    <row customHeight="1" ht="11.25">
      <c r="A60" s="1426" t="s">
        <v>171</v>
      </c>
      <c r="B60" s="1426" t="s">
        <v>172</v>
      </c>
      <c r="C60" s="1426" t="s">
        <v>173</v>
      </c>
      <c r="D60" s="1426" t="s">
        <v>174</v>
      </c>
      <c r="E60" s="2356"/>
      <c r="F60" s="2356"/>
      <c r="G60" s="2356"/>
      <c r="H60" s="2383"/>
      <c r="I60" s="2185"/>
      <c r="J60" s="1426"/>
      <c r="K60" s="1426"/>
      <c r="L60" s="1426"/>
      <c r="M60" s="1469"/>
      <c r="Q60" s="2324"/>
      <c r="R60" s="1490"/>
      <c r="S60" s="1490"/>
      <c r="T60" s="510"/>
      <c r="U60" s="1437"/>
      <c r="V60" s="519" t="s">
        <v>412</v>
      </c>
      <c r="W60" s="521"/>
      <c r="X60" s="521"/>
      <c r="Y60" s="521"/>
      <c r="Z60" s="521"/>
      <c r="AA60" s="521"/>
      <c r="AB60" s="521"/>
      <c r="AC60" s="521"/>
      <c r="AD60" s="521"/>
      <c r="AE60" s="521"/>
      <c r="AF60" s="520"/>
      <c r="AG60" s="521"/>
      <c r="AH60" s="521"/>
      <c r="AI60" s="521"/>
      <c r="AJ60" s="521"/>
      <c r="AK60" s="521"/>
      <c r="AL60" s="521"/>
      <c r="AM60" s="521"/>
      <c r="AN60" s="521"/>
      <c r="AO60" s="520"/>
      <c r="AP60" s="521"/>
      <c r="AQ60" s="457"/>
      <c r="AS60" s="654"/>
      <c r="AT60" s="654" t="str">
        <f>IF(V60="","",V60)</f>
        <v>Добавить группу потребителей</v>
      </c>
      <c r="AU60" s="654"/>
      <c r="AV60" s="654"/>
    </row>
    <row customHeight="1" ht="0">
      <c r="A61" s="1426" t="s">
        <v>171</v>
      </c>
      <c r="B61" s="1426" t="s">
        <v>172</v>
      </c>
      <c r="C61" s="1426" t="s">
        <v>173</v>
      </c>
      <c r="D61" s="1426" t="s">
        <v>174</v>
      </c>
      <c r="E61" s="2356"/>
      <c r="F61" s="2356"/>
      <c r="G61" s="2356"/>
      <c r="H61" s="2382"/>
      <c r="I61" s="1426"/>
      <c r="J61" s="1426"/>
      <c r="K61" s="1426"/>
      <c r="L61" s="1426"/>
      <c r="M61" s="1469"/>
      <c r="N61" s="842"/>
      <c r="O61" s="842"/>
      <c r="P61" s="663"/>
      <c r="Q61" s="514"/>
      <c r="R61" s="529"/>
      <c r="S61" s="509"/>
      <c r="T61" s="514"/>
      <c r="U61" s="1545"/>
      <c r="V61" s="1546"/>
      <c r="W61" s="1547"/>
      <c r="X61" s="1547"/>
      <c r="Y61" s="1547"/>
      <c r="Z61" s="1547"/>
      <c r="AA61" s="1547"/>
      <c r="AB61" s="1547"/>
      <c r="AC61" s="1547"/>
      <c r="AD61" s="1547"/>
      <c r="AE61" s="1547"/>
      <c r="AF61" s="1547"/>
      <c r="AG61" s="1547"/>
      <c r="AH61" s="1547"/>
      <c r="AI61" s="1547"/>
      <c r="AJ61" s="1547"/>
      <c r="AK61" s="1547"/>
      <c r="AL61" s="1547"/>
      <c r="AM61" s="1547"/>
      <c r="AN61" s="1547"/>
      <c r="AO61" s="1547"/>
      <c r="AP61" s="1547"/>
      <c r="AQ61" s="1548"/>
      <c r="AS61" s="654"/>
      <c r="AT61" s="654" t="str">
        <f>IF(V61="","",V61)</f>
        <v/>
      </c>
      <c r="AU61" s="654"/>
      <c r="AV61" s="654"/>
    </row>
    <row s="8702" customFormat="1" customHeight="1" ht="0">
      <c r="A62" s="1534" t="s">
        <v>171</v>
      </c>
      <c r="B62" s="1534" t="s">
        <v>172</v>
      </c>
      <c r="C62" s="1534" t="s">
        <v>173</v>
      </c>
      <c r="D62" s="1533"/>
      <c r="E62" s="2356"/>
      <c r="F62" s="2356"/>
      <c r="G62" s="2355"/>
      <c r="H62" s="1533"/>
      <c r="I62" s="1533"/>
      <c r="J62" s="1533"/>
      <c r="K62" s="1533"/>
      <c r="L62" s="1533"/>
      <c r="M62" s="1536"/>
      <c r="N62" s="1537"/>
      <c r="O62" s="1537"/>
      <c r="P62" s="505"/>
      <c r="Q62" s="1475"/>
      <c r="R62" s="1476"/>
      <c r="S62" s="1475"/>
      <c r="T62" s="1475"/>
      <c r="U62" s="1481"/>
      <c r="V62" s="1484" t="s">
        <v>414</v>
      </c>
      <c r="W62" s="1483"/>
      <c r="X62" s="1483"/>
      <c r="Y62" s="1483"/>
      <c r="Z62" s="1483"/>
      <c r="AA62" s="1483"/>
      <c r="AB62" s="1483"/>
      <c r="AC62" s="1483"/>
      <c r="AD62" s="1483"/>
      <c r="AE62" s="1483"/>
      <c r="AF62" s="1483"/>
      <c r="AG62" s="1483"/>
      <c r="AH62" s="1483"/>
      <c r="AI62" s="1483"/>
      <c r="AJ62" s="1483"/>
      <c r="AK62" s="1483"/>
      <c r="AL62" s="1483"/>
      <c r="AM62" s="1483"/>
      <c r="AN62" s="1483"/>
      <c r="AO62" s="1483"/>
      <c r="AP62" s="1483"/>
      <c r="AQ62" s="1483"/>
      <c r="AS62" s="943"/>
      <c r="AT62" s="943" t="str">
        <f>IF(V62="","",V62)</f>
        <v>Добавить источник для дифференциации</v>
      </c>
      <c r="AU62" s="943"/>
      <c r="AV62" s="943"/>
    </row>
    <row s="8702" customFormat="1" customHeight="1" ht="0">
      <c r="A63" s="1534" t="s">
        <v>171</v>
      </c>
      <c r="B63" s="1534" t="s">
        <v>172</v>
      </c>
      <c r="C63" s="1533"/>
      <c r="D63" s="1533"/>
      <c r="E63" s="2356"/>
      <c r="F63" s="2355"/>
      <c r="G63" s="1533"/>
      <c r="H63" s="1533"/>
      <c r="I63" s="1533"/>
      <c r="J63" s="1533"/>
      <c r="K63" s="1533"/>
      <c r="L63" s="1533"/>
      <c r="M63" s="1536"/>
      <c r="N63" s="1538"/>
      <c r="O63" s="1538"/>
      <c r="P63" s="505"/>
      <c r="Q63" s="1475"/>
      <c r="R63" s="1476"/>
      <c r="S63" s="1475"/>
      <c r="T63" s="1475"/>
      <c r="U63" s="1481"/>
      <c r="V63" s="1484" t="s">
        <v>251</v>
      </c>
      <c r="W63" s="1483"/>
      <c r="X63" s="1483"/>
      <c r="Y63" s="1483"/>
      <c r="Z63" s="1483"/>
      <c r="AA63" s="1483"/>
      <c r="AB63" s="1483"/>
      <c r="AC63" s="1483"/>
      <c r="AD63" s="1483"/>
      <c r="AE63" s="1483"/>
      <c r="AF63" s="1483"/>
      <c r="AG63" s="1483"/>
      <c r="AH63" s="1483"/>
      <c r="AI63" s="1483"/>
      <c r="AJ63" s="1483"/>
      <c r="AK63" s="1483"/>
      <c r="AL63" s="1483"/>
      <c r="AM63" s="1483"/>
      <c r="AN63" s="1483"/>
      <c r="AO63" s="1483"/>
      <c r="AP63" s="1483"/>
      <c r="AQ63" s="1483"/>
      <c r="AS63" s="943"/>
      <c r="AT63" s="943" t="str">
        <f>IF(V63="","",V63)</f>
        <v>Добавить централизованную систему для дифференциации</v>
      </c>
      <c r="AU63" s="943"/>
      <c r="AV63" s="943"/>
    </row>
    <row s="8794" customFormat="1" customHeight="1" ht="0">
      <c r="A64" s="1534" t="s">
        <v>171</v>
      </c>
      <c r="B64" s="1534"/>
      <c r="C64" s="1534"/>
      <c r="D64" s="1534"/>
      <c r="E64" s="2355"/>
      <c r="F64" s="1534"/>
      <c r="G64" s="1534"/>
      <c r="H64" s="1534"/>
      <c r="I64" s="1534"/>
      <c r="J64" s="1534"/>
      <c r="K64" s="1534"/>
      <c r="L64" s="1534"/>
      <c r="M64" s="1540"/>
      <c r="N64" s="1538"/>
      <c r="O64" s="1538"/>
      <c r="P64" s="505"/>
      <c r="Q64" s="534"/>
      <c r="R64" s="1503"/>
      <c r="S64" s="534"/>
      <c r="T64" s="534"/>
      <c r="U64" s="1481"/>
      <c r="V64" s="1484" t="s">
        <v>252</v>
      </c>
      <c r="W64" s="1483"/>
      <c r="X64" s="1483"/>
      <c r="Y64" s="1483"/>
      <c r="Z64" s="1483"/>
      <c r="AA64" s="1483"/>
      <c r="AB64" s="1483"/>
      <c r="AC64" s="1483"/>
      <c r="AD64" s="1483"/>
      <c r="AE64" s="1483"/>
      <c r="AF64" s="1483"/>
      <c r="AG64" s="1483"/>
      <c r="AH64" s="1483"/>
      <c r="AI64" s="1483"/>
      <c r="AJ64" s="1483"/>
      <c r="AK64" s="1483"/>
      <c r="AL64" s="1483"/>
      <c r="AM64" s="1483"/>
      <c r="AN64" s="1483"/>
      <c r="AO64" s="1483"/>
      <c r="AP64" s="1483"/>
      <c r="AQ64" s="1483"/>
      <c r="AS64" s="654"/>
      <c r="AT64" s="654" t="str">
        <f>IF(V64="","",V64)</f>
        <v>Добавить территорию для дифференциации</v>
      </c>
      <c r="AU64" s="654"/>
      <c r="AV64" s="654"/>
    </row>
    <row s="8702" customFormat="1" customHeight="1" ht="5.25">
      <c r="A65" s="1533"/>
      <c r="B65" s="1533"/>
      <c r="C65" s="1533"/>
      <c r="D65" s="1533"/>
      <c r="E65" s="1534"/>
      <c r="F65" s="1533"/>
      <c r="G65" s="1533"/>
      <c r="H65" s="1533"/>
      <c r="I65" s="1533"/>
      <c r="J65" s="1533"/>
      <c r="K65" s="1533"/>
      <c r="L65" s="1533"/>
      <c r="M65" s="1536"/>
      <c r="N65" s="1538"/>
      <c r="O65" s="1538"/>
      <c r="P65" s="505"/>
      <c r="Q65" s="1475"/>
      <c r="R65" s="1476"/>
      <c r="S65" s="1475"/>
      <c r="T65" s="1475"/>
      <c r="U65" s="1481"/>
      <c r="V65" s="1484" t="s">
        <v>253</v>
      </c>
      <c r="W65" s="1483"/>
      <c r="X65" s="1483"/>
      <c r="Y65" s="1483"/>
      <c r="Z65" s="1483"/>
      <c r="AA65" s="1483"/>
      <c r="AB65" s="1483"/>
      <c r="AC65" s="1483"/>
      <c r="AD65" s="1483"/>
      <c r="AE65" s="1483"/>
      <c r="AF65" s="1483"/>
      <c r="AG65" s="1483"/>
      <c r="AH65" s="1483"/>
      <c r="AI65" s="1483"/>
      <c r="AJ65" s="1483"/>
      <c r="AK65" s="1483"/>
      <c r="AL65" s="1483"/>
      <c r="AM65" s="1483"/>
      <c r="AN65" s="1483"/>
      <c r="AO65" s="1483"/>
      <c r="AP65" s="1483"/>
      <c r="AQ65" s="1483"/>
      <c r="AS65" s="943"/>
      <c r="AT65" s="943" t="str">
        <f>IF(V65="","",V65)</f>
        <v>Добавить наименование тарифа</v>
      </c>
      <c r="AU65" s="943"/>
      <c r="AV65" s="943"/>
    </row>
    <row customHeight="1" ht="11.25">
      <c r="N66" s="1311"/>
      <c r="O66" s="1311"/>
      <c r="P66" s="663"/>
      <c r="Q66" s="1311"/>
      <c r="R66" s="1311"/>
      <c r="S66" s="1311"/>
      <c r="T66" s="1311"/>
      <c r="U66" s="1311"/>
      <c r="AR66" s="1311"/>
      <c r="AS66" s="1311"/>
      <c r="AT66" s="1311"/>
      <c r="AU66" s="1311"/>
      <c r="AV66" s="1311"/>
    </row>
    <row customHeight="1" ht="33.75">
      <c r="P67" s="663"/>
      <c r="U67" s="1411"/>
      <c r="V67" s="2319"/>
      <c r="W67" s="2319"/>
      <c r="X67" s="2319"/>
      <c r="Y67" s="2319"/>
      <c r="Z67" s="2319"/>
      <c r="AA67" s="2319"/>
      <c r="AB67" s="2319"/>
      <c r="AC67" s="2319"/>
      <c r="AD67" s="2319"/>
      <c r="AE67" s="2319"/>
      <c r="AF67" s="2319"/>
      <c r="AG67" s="2319"/>
      <c r="AH67" s="2319"/>
      <c r="AI67" s="2319"/>
      <c r="AJ67" s="2319"/>
      <c r="AK67" s="2319"/>
      <c r="AL67" s="2319"/>
      <c r="AM67" s="2319"/>
      <c r="AN67" s="2319"/>
      <c r="AO67" s="2319"/>
      <c r="AP67" s="2319"/>
      <c r="AQ67" s="2319"/>
    </row>
    <row customHeight="1" ht="19.5">
      <c r="P68" s="663"/>
      <c r="V68" s="2319"/>
      <c r="W68" s="2319"/>
      <c r="X68" s="2319"/>
      <c r="Y68" s="2319"/>
      <c r="Z68" s="2319"/>
      <c r="AA68" s="2319"/>
      <c r="AB68" s="2319"/>
      <c r="AC68" s="2319"/>
      <c r="AD68" s="2319"/>
      <c r="AE68" s="2319"/>
      <c r="AF68" s="2319"/>
      <c r="AG68" s="2319"/>
      <c r="AH68" s="2319"/>
      <c r="AI68" s="2319"/>
      <c r="AJ68" s="2319"/>
      <c r="AK68" s="2319"/>
      <c r="AL68" s="2319"/>
      <c r="AM68" s="2319"/>
      <c r="AN68" s="2319"/>
      <c r="AO68" s="2319"/>
      <c r="AP68" s="2319"/>
      <c r="AQ68" s="2319"/>
    </row>
    <row customHeight="1" ht="14.25">
      <c r="P69" s="663"/>
    </row>
    <row customHeight="1" ht="27">
      <c r="P70" s="663"/>
      <c r="V70" s="2319"/>
      <c r="W70" s="2319"/>
      <c r="X70" s="2319"/>
      <c r="Y70" s="2319"/>
      <c r="Z70" s="2319"/>
      <c r="AA70" s="2319"/>
      <c r="AB70" s="2319"/>
      <c r="AC70" s="2319"/>
      <c r="AD70" s="2319"/>
      <c r="AE70" s="2319"/>
      <c r="AF70" s="2319"/>
      <c r="AG70" s="2319"/>
      <c r="AH70" s="2319"/>
      <c r="AI70" s="2319"/>
      <c r="AJ70" s="2319"/>
      <c r="AK70" s="2319"/>
      <c r="AL70" s="2319"/>
      <c r="AM70" s="2319"/>
      <c r="AN70" s="2319"/>
      <c r="AO70" s="2319"/>
      <c r="AP70" s="2319"/>
      <c r="AQ70" s="2319"/>
    </row>
    <row customHeight="1" ht="18">
      <c r="P71" s="663"/>
      <c r="V71" s="2319"/>
      <c r="W71" s="2319"/>
      <c r="X71" s="2319"/>
      <c r="Y71" s="2319"/>
      <c r="Z71" s="2319"/>
      <c r="AA71" s="2319"/>
      <c r="AB71" s="2319"/>
      <c r="AC71" s="2319"/>
      <c r="AD71" s="2319"/>
      <c r="AE71" s="2319"/>
      <c r="AF71" s="2319"/>
      <c r="AG71" s="2319"/>
      <c r="AH71" s="2319"/>
      <c r="AI71" s="2319"/>
      <c r="AJ71" s="2319"/>
      <c r="AK71" s="2319"/>
      <c r="AL71" s="2319"/>
      <c r="AM71" s="2319"/>
      <c r="AN71" s="2319"/>
      <c r="AO71" s="2319"/>
      <c r="AP71" s="2319"/>
      <c r="AQ71" s="2319"/>
    </row>
  </sheetData>
  <sheetProtection formatColumns="0" formatRows="0" autoFilter="0" sort="0" insertRows="0" insertColumns="1" deleteRows="0" deleteColumns="0"/>
  <mergeCells count="122">
    <mergeCell ref="AN19:AN22"/>
    <mergeCell ref="AO19:AO22"/>
    <mergeCell ref="E2:E17"/>
    <mergeCell ref="X2:AF2"/>
    <mergeCell ref="AG2:AP2"/>
    <mergeCell ref="F3:F16"/>
    <mergeCell ref="X3:AF3"/>
    <mergeCell ref="AG3:AP3"/>
    <mergeCell ref="G4:G15"/>
    <mergeCell ref="X4:AF4"/>
    <mergeCell ref="AG4:AP4"/>
    <mergeCell ref="H5:H14"/>
    <mergeCell ref="X5:AF5"/>
    <mergeCell ref="AG5:AP5"/>
    <mergeCell ref="I6:I13"/>
    <mergeCell ref="Q6:Q13"/>
    <mergeCell ref="X6:AF6"/>
    <mergeCell ref="AG6:AP6"/>
    <mergeCell ref="AQ9:AQ12"/>
    <mergeCell ref="J7:J12"/>
    <mergeCell ref="R7:R12"/>
    <mergeCell ref="X7:AF7"/>
    <mergeCell ref="AG7:AP7"/>
    <mergeCell ref="S8:S11"/>
    <mergeCell ref="U35:V35"/>
    <mergeCell ref="X35:AE35"/>
    <mergeCell ref="AG35:AN35"/>
    <mergeCell ref="K8:K11"/>
    <mergeCell ref="L9:L10"/>
    <mergeCell ref="AC8:AC11"/>
    <mergeCell ref="AE8:AE11"/>
    <mergeCell ref="AD8:AD11"/>
    <mergeCell ref="AF8:AF11"/>
    <mergeCell ref="AL8:AL11"/>
    <mergeCell ref="AM8:AM11"/>
    <mergeCell ref="AN8:AN11"/>
    <mergeCell ref="AO8:AO11"/>
    <mergeCell ref="U30:AN30"/>
    <mergeCell ref="U31:AN31"/>
    <mergeCell ref="U33:V33"/>
    <mergeCell ref="AL19:AL22"/>
    <mergeCell ref="AM19:AM22"/>
    <mergeCell ref="U36:V36"/>
    <mergeCell ref="X36:AE36"/>
    <mergeCell ref="AG36:AN36"/>
    <mergeCell ref="X33:AE33"/>
    <mergeCell ref="AG33:AN33"/>
    <mergeCell ref="U34:V34"/>
    <mergeCell ref="X34:AE34"/>
    <mergeCell ref="AG34:AN34"/>
    <mergeCell ref="J54:J59"/>
    <mergeCell ref="R54:R59"/>
    <mergeCell ref="X54:AF54"/>
    <mergeCell ref="AG54:AP54"/>
    <mergeCell ref="K55:K58"/>
    <mergeCell ref="AD48:AE48"/>
    <mergeCell ref="AM48:AN48"/>
    <mergeCell ref="X41:AF41"/>
    <mergeCell ref="AG41:AO41"/>
    <mergeCell ref="U42:AP42"/>
    <mergeCell ref="U43:U47"/>
    <mergeCell ref="V43:V47"/>
    <mergeCell ref="X43:AE43"/>
    <mergeCell ref="AF43:AF47"/>
    <mergeCell ref="AG43:AN43"/>
    <mergeCell ref="AO43:AO47"/>
    <mergeCell ref="AC55:AC58"/>
    <mergeCell ref="AE55:AE58"/>
    <mergeCell ref="AD55:AD58"/>
    <mergeCell ref="E49:E64"/>
    <mergeCell ref="X49:AF49"/>
    <mergeCell ref="AG49:AP49"/>
    <mergeCell ref="F50:F63"/>
    <mergeCell ref="X50:AF50"/>
    <mergeCell ref="AG50:AP50"/>
    <mergeCell ref="G51:G62"/>
    <mergeCell ref="X51:AF51"/>
    <mergeCell ref="AG51:AP51"/>
    <mergeCell ref="H52:H61"/>
    <mergeCell ref="X52:AF52"/>
    <mergeCell ref="AG52:AP52"/>
    <mergeCell ref="I53:I60"/>
    <mergeCell ref="Q53:Q60"/>
    <mergeCell ref="L56:L57"/>
    <mergeCell ref="AF55:AF58"/>
    <mergeCell ref="AH44:AK44"/>
    <mergeCell ref="AL44:AN45"/>
    <mergeCell ref="AH45:AH47"/>
    <mergeCell ref="X53:AF53"/>
    <mergeCell ref="AG53:AP53"/>
    <mergeCell ref="AI45:AK45"/>
    <mergeCell ref="AI46:AI47"/>
    <mergeCell ref="AJ46:AK46"/>
    <mergeCell ref="AL46:AL47"/>
    <mergeCell ref="AM46:AN47"/>
    <mergeCell ref="AP43:AP47"/>
    <mergeCell ref="X44:X47"/>
    <mergeCell ref="AG44:AG47"/>
    <mergeCell ref="V71:AQ71"/>
    <mergeCell ref="U39:V39"/>
    <mergeCell ref="X39:AE39"/>
    <mergeCell ref="AG39:AN39"/>
    <mergeCell ref="U38:V38"/>
    <mergeCell ref="X38:AE38"/>
    <mergeCell ref="AG38:AN38"/>
    <mergeCell ref="AL55:AL58"/>
    <mergeCell ref="AM55:AM58"/>
    <mergeCell ref="AN55:AN58"/>
    <mergeCell ref="AO55:AO58"/>
    <mergeCell ref="V70:AQ70"/>
    <mergeCell ref="AQ42:AQ47"/>
    <mergeCell ref="AQ56:AQ59"/>
    <mergeCell ref="V67:AQ67"/>
    <mergeCell ref="V68:AQ68"/>
    <mergeCell ref="Y44:AB44"/>
    <mergeCell ref="Y45:Y47"/>
    <mergeCell ref="Z45:AB45"/>
    <mergeCell ref="AA46:AB46"/>
    <mergeCell ref="Z46:Z47"/>
    <mergeCell ref="AC46:AC47"/>
    <mergeCell ref="AD46:AE47"/>
    <mergeCell ref="AC44:AE45"/>
  </mergeCells>
  <dataValidations count="8">
    <dataValidation type="list" allowBlank="1" showInputMessage="1" showErrorMessage="1" errorTitle="Ошибка" error="Выберите значение из списка" sqref="V65592 V131128 V196664 V262200 V327736 V393272 V458808 V524344 V589880 V655416 V720952 V786488 V852024 V917560 V983096">
      <formula1>kind_of_heat_transfer</formula1>
    </dataValidation>
    <dataValidation type="list" allowBlank="1" showInputMessage="1" showErrorMessage="1" errorTitle="Ошибка" error="Выберите значение из списка" sqref="X983094:Z983094 X65590:Z65590 X131126:Z131126 X196662:Z196662 X262198:Z262198 X327734:Z327734 X393270:Z393270 X458806:Z458806 X524342:Z524342 X589878:Z589878 X655414:Z655414 X720950:Z720950 X786486:Z786486 X852022:Z852022 X917558:Z917558 AG983094:AI983094 AG65590:AI65590 AG131126:AI131126 AG196662:AI196662 AG262198:AI262198 AG327734:AI327734 AG393270:AI393270 AG458806:AI458806 AG524342:AI524342 AG589878:AI589878 AG655414:AI655414 AG720950:AI720950 AG786486:AI786486 AG852022:AI852022 AG917558:AI917558">
      <formula1>kind_of_scheme_in</formula1>
    </dataValidation>
    <dataValidation type="list" allowBlank="1" showInputMessage="1" errorTitle="Ошибка" error="Выберите значение из списка" prompt="Выберите значение из списка" sqref="X983095:AP983095 X65591:AP65591 X131127:AP131127 X196663:AP196663 X262199:AP262199 X327735:AP327735 X393271:AP393271 X458807:AP458807 X524343:AP524343 X589879:AP589879 X655415:AP655415 X720951:AP720951 X786487:AP786487 X852023:AP852023 X917559:AP917559">
      <formula1>kind_of_cons</formula1>
    </dataValidation>
    <dataValidation allowBlank="1" sqref="U131130:AQ131136 U196666:AQ196672 U262202:AQ262208 U327738:AQ327744 U393274:AQ393280 U458810:AQ458816 U524346:AQ524352 U589882:AQ589888 U655418:AQ655424 U720954:AQ720960 U786490:AQ786496 U852026:AQ852032 U917562:AQ917568 U983098:AQ983104 U65594:AQ65600"/>
    <dataValidation type="textLength" operator="lessThanOrEqual" allowBlank="1" showInputMessage="1" showErrorMessage="1" errorTitle="Ошибка" error="Допускается ввод не более 900 символов!" sqref="AQ65586:AQ65593 AQ131122:AQ131129 AQ196658:AQ196665 AQ262194:AQ262201 AQ327730:AQ327737 AQ393266:AQ393273 AQ458802:AQ458809 AQ524338:AQ524345 AQ589874:AQ589881 AQ655410:AQ655417 AQ720946:AQ720953 AQ786482:AQ786489 AQ852018:AQ852025 AQ917554:AQ917561 AQ983090:AQ983097">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92 AC131128 AC196664 AC262200 AC327736 AC393272 AC458808 AC524344 AC589880 AC655416 AC720952 AC786488 AC852024 AC917560 AC983096 AE65592 AE131128 AE196664 AE262200 AE327736 AE393272 AE458808 AE524344 AE589880 AE655416 AE720952 AE786488 AE852024 AE917560 AE983096 AN55 AL65592 AL131128 AL196664 AL262200 AL327736 AL393272 AL458808 AL524344 AL589880 AL655416 AL720952 AL786488 AL852024 AL917560 AL983096 AN65592 AN131128 AN196664 AN262200 AN327736 AN393272 AN458808 AN524344 AN589880 AN655416 AN720952 AN786488 AN852024 AN917560 AN983096 AC55 AE55 AL55 AE8 AC8 AL19:AL21 AN19:AN21 AN8 AL8"/>
    <dataValidation allowBlank="1" promptTitle="checkPeriodRange" sqref="AB65593 AB131129 AB196665 AB262201 AB327737 AB393273 AB458809 AB524345 AB589881 AB655417 AB720953 AB786489 AB852025 AB917561 AB983097 AB10:AB11 AK65593 AK131129 AK196665 AK262201 AK327737 AK393273 AK458809 AK524345 AK589881 AK655417 AK720953 AK786489 AK852025 AK917561 AK983097 AK10:AK11 AK57 AK22 AB57"/>
    <dataValidation allowBlank="1" showInputMessage="1" showErrorMessage="1" prompt="Для выбора выполните двойной щелчок левой клавиши мыши по соответствующей ячейке." sqref="AD65592 AD131128 AD196664 AD262200 AD327736 AD393272 AD458808 AD524344 AD589880 AD655416 AD720952 AD786488 AD852024 AD917560 AD983096 AF131128 AF458808 AF196664 AF262200 AF327736 AF393272 AF524344 AF589880 AF655416 AF720952 AF786488 AF852024 AF917560 AF983096 AF65592 AM65592 AM131128 AM196664 AM262200 AM327736 AM393272 AM458808 AM524344 AM589880 AM655416 AM720952 AM786488 AM852024 AM917560 AM983096 AO393272 AO327736 AO524344 AO55 AO589880 AO655416 AO19:AO21 AO720952 AO786488 AO852024 AO917560 AO983096 AO65592 AO131128 AO458808 AF55 AO196664 AF8 AD8 AM55 AM19:AM21 AO262200 AD55 AO8 AM8"/>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BF4C2E5-8CFB-524A-74E8-B2872C050B77}" mc:Ignorable="x14ac xr xr2 xr3">
  <sheetPr>
    <tabColor theme="6" tint="0.4"/>
  </sheetPr>
  <dimension ref="A1:AZ69"/>
  <sheetViews>
    <sheetView topLeftCell="A1" showGridLines="0" zoomScale="90" workbookViewId="0">
      <selection activeCell="T62" sqref="T62"/>
    </sheetView>
  </sheetViews>
  <sheetFormatPr defaultColWidth="10.57421875" customHeight="1" defaultRowHeight="14.25"/>
  <cols>
    <col min="1" max="1" style="8721" width="10.57421875"/>
    <col min="2" max="2" style="8721" width="11.00390625" customWidth="1"/>
    <col min="3" max="3" style="8721" width="10.57421875"/>
    <col min="4" max="4" style="8721" width="11.8515625" customWidth="1"/>
    <col min="5" max="5" style="8721" width="10.00390625" customWidth="1"/>
    <col min="6" max="6" style="8721" width="8.7109375" customWidth="1"/>
    <col min="7" max="7" style="8721" width="7.57421875" customWidth="1"/>
    <col min="8" max="8" style="8721" width="11.421875" customWidth="1"/>
    <col min="9" max="9" style="8721" width="12.00390625" customWidth="1"/>
    <col min="10" max="10" style="8721" width="9.8515625" customWidth="1"/>
    <col min="11" max="11" style="8721" width="11.421875" customWidth="1"/>
    <col min="12" max="12" style="8802" width="19.140625" customWidth="1"/>
    <col min="13" max="14" style="8803" width="12.28125" customWidth="1"/>
    <col min="15" max="15" style="8803" width="23.421875" customWidth="1"/>
    <col min="16" max="16" style="8803" width="3.7109375" customWidth="1"/>
    <col min="17" max="17" style="8976" width="3.7109375" customWidth="1"/>
    <col min="18" max="18" style="8805" width="3.7109375" customWidth="1"/>
    <col min="19" max="19" style="8806" width="12.7109375" customWidth="1"/>
    <col min="20" max="20" style="8807" width="32.00390625" customWidth="1"/>
    <col min="21" max="21" style="8807" width="0.140625" customWidth="1"/>
    <col min="22" max="23" style="8807" width="21.7109375" customWidth="1"/>
    <col min="24" max="24" style="8807" width="11.7109375" customWidth="1"/>
    <col min="25" max="25" style="8807" width="3.7109375" customWidth="1"/>
    <col min="26" max="26" style="8807" width="11.7109375" customWidth="1"/>
    <col min="27" max="27" style="8807" width="8.57421875" customWidth="1"/>
    <col min="28" max="28" style="8807" width="5.421875" customWidth="1"/>
    <col min="29" max="30" style="8807" width="3.7109375" customWidth="1"/>
    <col min="31" max="31" style="8807" width="24.7109375" customWidth="1"/>
    <col min="32" max="34" style="8807" width="3.7109375" customWidth="1"/>
    <col min="35" max="35" style="8807" width="24.7109375" customWidth="1"/>
    <col min="36" max="38" style="8807" width="3.7109375" customWidth="1"/>
    <col min="39" max="39" style="8807" width="18.8515625" customWidth="1"/>
    <col min="40" max="41" style="8807" width="21.7109375" customWidth="1"/>
    <col min="42" max="42" style="8807" width="11.7109375" customWidth="1"/>
    <col min="43" max="43" style="8807" width="3.7109375" customWidth="1"/>
    <col min="44" max="44" style="8807" width="11.7109375" customWidth="1"/>
    <col min="45" max="45" style="8807" width="8.57421875" customWidth="1"/>
    <col min="46" max="46" style="8807" width="4.7109375" customWidth="1"/>
    <col min="47" max="47" style="8807" width="115.7109375" customWidth="1"/>
    <col min="48" max="49" style="8794" width="10.57421875"/>
    <col min="50" max="50" style="8794" width="11.140625" customWidth="1"/>
    <col min="51" max="52" style="8794" width="10.57421875"/>
  </cols>
  <sheetData>
    <row customHeight="1" ht="14.25">
      <c r="W1" s="481"/>
      <c r="X1" s="481"/>
      <c r="AO1" s="481"/>
      <c r="AP1" s="481"/>
    </row>
    <row customHeight="1" ht="21">
      <c r="A2" s="1522"/>
      <c r="B2" s="1522"/>
      <c r="C2" s="1522"/>
      <c r="D2" s="1522"/>
      <c r="E2" s="2320">
        <v>1</v>
      </c>
      <c r="F2" s="1522"/>
      <c r="G2" s="1522"/>
      <c r="H2" s="1522"/>
      <c r="I2" s="1522"/>
      <c r="J2" s="1522"/>
      <c r="K2" s="1522"/>
      <c r="L2" s="1523"/>
      <c r="M2" s="1524"/>
      <c r="N2" s="1524"/>
      <c r="O2" s="1524"/>
      <c r="P2" s="1568"/>
      <c r="Q2" s="1027"/>
      <c r="R2" s="509"/>
      <c r="S2" s="1495">
        <f>INDEX(PT_DIFFERENTIATION_NUM_NTAR,MATCH(A2,PT_DIFFERENTIATION_NTAR_ID,0))</f>
      </c>
      <c r="T2" s="452" t="s">
        <v>120</v>
      </c>
      <c r="U2" s="454"/>
      <c r="V2" s="2315"/>
      <c r="W2" s="2315"/>
      <c r="X2" s="2315"/>
      <c r="Y2" s="2315"/>
      <c r="Z2" s="2315"/>
      <c r="AA2" s="2316"/>
      <c r="AB2" s="2314">
        <f>INDEX(PT_DIFFERENTIATION_NTAR,MATCH(A2,PT_DIFFERENTIATION_NTAR_ID,0))</f>
      </c>
      <c r="AC2" s="2315"/>
      <c r="AD2" s="2315"/>
      <c r="AE2" s="2315"/>
      <c r="AF2" s="2315"/>
      <c r="AG2" s="2315"/>
      <c r="AH2" s="2315"/>
      <c r="AI2" s="2315"/>
      <c r="AJ2" s="2315"/>
      <c r="AK2" s="2315"/>
      <c r="AL2" s="2315"/>
      <c r="AM2" s="2315"/>
      <c r="AN2" s="2315"/>
      <c r="AO2" s="2315"/>
      <c r="AP2" s="2315"/>
      <c r="AQ2" s="2315"/>
      <c r="AR2" s="2315"/>
      <c r="AS2" s="2315"/>
      <c r="AT2" s="2316"/>
      <c r="AU2" s="1416" t="s">
        <v>396</v>
      </c>
      <c r="AW2" s="654"/>
      <c r="AX2" s="654" t="str">
        <f>IF(T2="","",T2)</f>
        <v>Наименование тарифа</v>
      </c>
      <c r="AY2" s="654"/>
      <c r="AZ2" s="654"/>
    </row>
    <row customHeight="1" ht="21">
      <c r="A3" s="1522"/>
      <c r="B3" s="1522"/>
      <c r="C3" s="1522"/>
      <c r="D3" s="1522"/>
      <c r="E3" s="2321"/>
      <c r="F3" s="2320">
        <v>1</v>
      </c>
      <c r="G3" s="1522"/>
      <c r="H3" s="1522"/>
      <c r="I3" s="1522"/>
      <c r="J3" s="1522"/>
      <c r="K3" s="1522"/>
      <c r="L3" s="1523"/>
      <c r="M3" s="1524"/>
      <c r="N3" s="1524"/>
      <c r="O3" s="1524"/>
      <c r="P3" s="1569"/>
      <c r="Q3" s="1570"/>
      <c r="R3" s="507"/>
      <c r="S3" s="1495">
        <f>INDEX(PT_DIFFERENTIATION_NUM_TER,MATCH(B3,PT_DIFFERENTIATION_TER_ID,0))</f>
      </c>
      <c r="T3" s="462" t="s">
        <v>397</v>
      </c>
      <c r="U3" s="454"/>
      <c r="V3" s="2315"/>
      <c r="W3" s="2315"/>
      <c r="X3" s="2315"/>
      <c r="Y3" s="2315"/>
      <c r="Z3" s="2315"/>
      <c r="AA3" s="2316"/>
      <c r="AB3" s="2314">
        <f>INDEX(PT_DIFFERENTIATION_TER,MATCH(B3,PT_DIFFERENTIATION_TER_ID,0))</f>
      </c>
      <c r="AC3" s="2315"/>
      <c r="AD3" s="2315"/>
      <c r="AE3" s="2315"/>
      <c r="AF3" s="2315"/>
      <c r="AG3" s="2315"/>
      <c r="AH3" s="2315"/>
      <c r="AI3" s="2315"/>
      <c r="AJ3" s="2315"/>
      <c r="AK3" s="2315"/>
      <c r="AL3" s="2315"/>
      <c r="AM3" s="2315"/>
      <c r="AN3" s="2315"/>
      <c r="AO3" s="2315"/>
      <c r="AP3" s="2315"/>
      <c r="AQ3" s="2315"/>
      <c r="AR3" s="2315"/>
      <c r="AS3" s="2315"/>
      <c r="AT3" s="2316"/>
      <c r="AU3" s="1416" t="s">
        <v>398</v>
      </c>
      <c r="AW3" s="654"/>
      <c r="AX3" s="654" t="str">
        <f>IF(T3="","",T3)</f>
        <v>Территория действия тарифа</v>
      </c>
      <c r="AY3" s="654"/>
      <c r="AZ3" s="654"/>
    </row>
    <row customHeight="1" ht="22.5">
      <c r="A4" s="1522"/>
      <c r="B4" s="1522"/>
      <c r="C4" s="1522"/>
      <c r="D4" s="1522"/>
      <c r="E4" s="2321"/>
      <c r="F4" s="2321"/>
      <c r="G4" s="2320">
        <v>1</v>
      </c>
      <c r="H4" s="1522"/>
      <c r="I4" s="1522"/>
      <c r="J4" s="1522"/>
      <c r="K4" s="1522"/>
      <c r="L4" s="1523"/>
      <c r="M4" s="1524"/>
      <c r="N4" s="1524"/>
      <c r="O4" s="1524"/>
      <c r="P4" s="1571"/>
      <c r="Q4" s="1570"/>
      <c r="R4" s="507"/>
      <c r="S4" s="1495">
        <f>INDEX(PT_DIFFERENTIATION_NUM_CS,MATCH(C4,PT_DIFFERENTIATION_CS_ID,0))</f>
      </c>
      <c r="T4" s="463" t="s">
        <v>399</v>
      </c>
      <c r="U4" s="454"/>
      <c r="V4" s="2315"/>
      <c r="W4" s="2315"/>
      <c r="X4" s="2315"/>
      <c r="Y4" s="2315"/>
      <c r="Z4" s="2315"/>
      <c r="AA4" s="2316"/>
      <c r="AB4" s="2314">
        <f>INDEX(PT_DIFFERENTIATION_CS,MATCH(C4,PT_DIFFERENTIATION_CS_ID,0))</f>
      </c>
      <c r="AC4" s="2315"/>
      <c r="AD4" s="2315"/>
      <c r="AE4" s="2315"/>
      <c r="AF4" s="2315"/>
      <c r="AG4" s="2315"/>
      <c r="AH4" s="2315"/>
      <c r="AI4" s="2315"/>
      <c r="AJ4" s="2315"/>
      <c r="AK4" s="2315"/>
      <c r="AL4" s="2315"/>
      <c r="AM4" s="2315"/>
      <c r="AN4" s="2315"/>
      <c r="AO4" s="2315"/>
      <c r="AP4" s="2315"/>
      <c r="AQ4" s="2315"/>
      <c r="AR4" s="2315"/>
      <c r="AS4" s="2315"/>
      <c r="AT4" s="2316"/>
      <c r="AU4" s="1416" t="s">
        <v>400</v>
      </c>
      <c r="AW4" s="654"/>
      <c r="AX4" s="654" t="str">
        <f>IF(T4="","",T4)</f>
        <v>Наименование системы теплоснабжения </v>
      </c>
      <c r="AY4" s="654"/>
      <c r="AZ4" s="654"/>
    </row>
    <row customHeight="1" ht="21">
      <c r="A5" s="1522"/>
      <c r="B5" s="1522"/>
      <c r="C5" s="1522"/>
      <c r="D5" s="1522"/>
      <c r="E5" s="2321"/>
      <c r="F5" s="2321"/>
      <c r="G5" s="2321"/>
      <c r="H5" s="2320">
        <v>1</v>
      </c>
      <c r="I5" s="1522"/>
      <c r="J5" s="1522"/>
      <c r="K5" s="1522"/>
      <c r="L5" s="1523"/>
      <c r="M5" s="1524"/>
      <c r="N5" s="1524"/>
      <c r="O5" s="1524"/>
      <c r="P5" s="1571"/>
      <c r="Q5" s="1570"/>
      <c r="R5" s="507"/>
      <c r="S5" s="1495">
        <f>INDEX(PT_DIFFERENTIATION_NUM_IST_TE,MATCH(D5,PT_DIFFERENTIATION_IST_TE_ID,0))</f>
      </c>
      <c r="T5" s="464" t="s">
        <v>401</v>
      </c>
      <c r="U5" s="454"/>
      <c r="V5" s="2315"/>
      <c r="W5" s="2315"/>
      <c r="X5" s="2315"/>
      <c r="Y5" s="2315"/>
      <c r="Z5" s="2315"/>
      <c r="AA5" s="2316"/>
      <c r="AB5" s="2314">
        <f>INDEX(PT_DIFFERENTIATION_IST_TE,MATCH(D5,PT_DIFFERENTIATION_IST_TE_ID,0))</f>
      </c>
      <c r="AC5" s="2315"/>
      <c r="AD5" s="2315"/>
      <c r="AE5" s="2315"/>
      <c r="AF5" s="2315"/>
      <c r="AG5" s="2315"/>
      <c r="AH5" s="2315"/>
      <c r="AI5" s="2315"/>
      <c r="AJ5" s="2315"/>
      <c r="AK5" s="2315"/>
      <c r="AL5" s="2315"/>
      <c r="AM5" s="2315"/>
      <c r="AN5" s="2315"/>
      <c r="AO5" s="2315"/>
      <c r="AP5" s="2315"/>
      <c r="AQ5" s="2315"/>
      <c r="AR5" s="2315"/>
      <c r="AS5" s="2315"/>
      <c r="AT5" s="2316"/>
      <c r="AU5" s="1416" t="s">
        <v>402</v>
      </c>
      <c r="AW5" s="654"/>
      <c r="AX5" s="654" t="str">
        <f>IF(T5="","",T5)</f>
        <v>Источник тепловой энергии  </v>
      </c>
      <c r="AY5" s="654"/>
      <c r="AZ5" s="654"/>
    </row>
    <row s="8794" customFormat="1" customHeight="1" ht="0">
      <c r="A6" s="1502"/>
      <c r="B6" s="1502"/>
      <c r="C6" s="1502"/>
      <c r="D6" s="1502"/>
      <c r="E6" s="2321"/>
      <c r="F6" s="2321"/>
      <c r="G6" s="2321"/>
      <c r="H6" s="2321"/>
      <c r="I6" s="2322">
        <f>S5&amp;".1"</f>
      </c>
      <c r="J6" s="1502"/>
      <c r="K6" s="1502"/>
      <c r="L6" s="1505" t="s">
        <v>403</v>
      </c>
      <c r="M6" s="664"/>
      <c r="N6" s="664"/>
      <c r="O6" s="664"/>
      <c r="P6" s="2324">
        <v>1</v>
      </c>
      <c r="Q6" s="1490"/>
      <c r="R6" s="510"/>
      <c r="S6" s="1197"/>
      <c r="T6" s="1542"/>
      <c r="U6" s="1543"/>
      <c r="V6" s="2363"/>
      <c r="W6" s="2363"/>
      <c r="X6" s="2363"/>
      <c r="Y6" s="2363"/>
      <c r="Z6" s="2363"/>
      <c r="AA6" s="2364"/>
      <c r="AB6" s="2362"/>
      <c r="AC6" s="2363"/>
      <c r="AD6" s="2363"/>
      <c r="AE6" s="2363"/>
      <c r="AF6" s="2363"/>
      <c r="AG6" s="2363"/>
      <c r="AH6" s="2363"/>
      <c r="AI6" s="2363"/>
      <c r="AJ6" s="2363"/>
      <c r="AK6" s="2363"/>
      <c r="AL6" s="2363"/>
      <c r="AM6" s="2363"/>
      <c r="AN6" s="2363"/>
      <c r="AO6" s="2363"/>
      <c r="AP6" s="2363"/>
      <c r="AQ6" s="2363"/>
      <c r="AR6" s="2363"/>
      <c r="AS6" s="2363"/>
      <c r="AT6" s="2364"/>
      <c r="AU6" s="1544"/>
      <c r="AW6" s="654"/>
      <c r="AX6" s="654" t="str">
        <f>IF(T6="","",T6)</f>
        <v/>
      </c>
      <c r="AY6" s="654"/>
      <c r="AZ6" s="654"/>
    </row>
    <row s="8794" customFormat="1" customHeight="1" ht="0">
      <c r="A7" s="1502"/>
      <c r="B7" s="1502"/>
      <c r="C7" s="1502"/>
      <c r="D7" s="1502"/>
      <c r="E7" s="2321"/>
      <c r="F7" s="2321"/>
      <c r="G7" s="2321"/>
      <c r="H7" s="2321"/>
      <c r="I7" s="2323"/>
      <c r="J7" s="2322">
        <f>S5&amp;".1"</f>
      </c>
      <c r="K7" s="1502"/>
      <c r="L7" s="1505"/>
      <c r="M7" s="664"/>
      <c r="N7" s="664"/>
      <c r="O7" s="664"/>
      <c r="P7" s="2324"/>
      <c r="Q7" s="2324">
        <v>1</v>
      </c>
      <c r="R7" s="511"/>
      <c r="S7" s="1197"/>
      <c r="T7" s="1558"/>
      <c r="U7" s="1543"/>
      <c r="V7" s="2363"/>
      <c r="W7" s="2363"/>
      <c r="X7" s="2363"/>
      <c r="Y7" s="2363"/>
      <c r="Z7" s="2363"/>
      <c r="AA7" s="2364"/>
      <c r="AB7" s="2362"/>
      <c r="AC7" s="2363"/>
      <c r="AD7" s="2363"/>
      <c r="AE7" s="2363"/>
      <c r="AF7" s="2363"/>
      <c r="AG7" s="2363"/>
      <c r="AH7" s="2363"/>
      <c r="AI7" s="2363"/>
      <c r="AJ7" s="2363"/>
      <c r="AK7" s="2363"/>
      <c r="AL7" s="2363"/>
      <c r="AM7" s="2363"/>
      <c r="AN7" s="2363"/>
      <c r="AO7" s="2363"/>
      <c r="AP7" s="2363"/>
      <c r="AQ7" s="2363"/>
      <c r="AR7" s="2363"/>
      <c r="AS7" s="2363"/>
      <c r="AT7" s="2364"/>
      <c r="AU7" s="1544"/>
      <c r="AW7" s="654"/>
      <c r="AX7" s="654" t="str">
        <f>IF(T7="","",T7)</f>
        <v/>
      </c>
      <c r="AY7" s="654"/>
      <c r="AZ7" s="654"/>
    </row>
    <row customHeight="1" ht="21">
      <c r="A8" s="1522"/>
      <c r="B8" s="1522"/>
      <c r="C8" s="1522"/>
      <c r="D8" s="1522"/>
      <c r="E8" s="2321"/>
      <c r="F8" s="2321"/>
      <c r="G8" s="2321"/>
      <c r="H8" s="2321"/>
      <c r="I8" s="2323"/>
      <c r="J8" s="2323"/>
      <c r="K8" s="2322">
        <f>S5&amp;".1"</f>
      </c>
      <c r="L8" s="1523"/>
      <c r="P8" s="2324"/>
      <c r="Q8" s="2324"/>
      <c r="R8" s="2400">
        <v>1</v>
      </c>
      <c r="S8" s="2397">
        <f>$K8</f>
      </c>
      <c r="T8" s="2394"/>
      <c r="U8" s="454"/>
      <c r="V8" s="905"/>
      <c r="W8" s="1415"/>
      <c r="X8" s="2325"/>
      <c r="Y8" s="2195" t="s">
        <v>64</v>
      </c>
      <c r="Z8" s="2325"/>
      <c r="AA8" s="2195" t="s">
        <v>64</v>
      </c>
      <c r="AB8" s="2195" t="s">
        <v>54</v>
      </c>
      <c r="AC8" s="2393"/>
      <c r="AD8" s="2271">
        <v>1</v>
      </c>
      <c r="AE8" s="2406"/>
      <c r="AF8" s="2195" t="s">
        <v>54</v>
      </c>
      <c r="AG8" s="2393"/>
      <c r="AH8" s="2271">
        <v>1</v>
      </c>
      <c r="AI8" s="2406"/>
      <c r="AJ8" s="2195" t="s">
        <v>54</v>
      </c>
      <c r="AK8" s="465"/>
      <c r="AL8" s="1496">
        <v>1</v>
      </c>
      <c r="AM8" s="1557"/>
      <c r="AN8" s="905"/>
      <c r="AO8" s="1415"/>
      <c r="AP8" s="1893"/>
      <c r="AQ8" s="1618" t="s">
        <v>64</v>
      </c>
      <c r="AR8" s="1893"/>
      <c r="AS8" s="1618" t="s">
        <v>64</v>
      </c>
      <c r="AT8" s="1507"/>
      <c r="AU8" s="2350" t="s">
        <v>461</v>
      </c>
      <c r="AV8" s="665">
        <f>STRCHECKDATE(V11:AT11)</f>
      </c>
      <c r="AW8" s="654"/>
      <c r="AX8" s="654" t="str">
        <f>IF(T8="","",T8)</f>
        <v/>
      </c>
      <c r="AY8" s="654"/>
      <c r="AZ8" s="654"/>
    </row>
    <row customHeight="1" ht="11.25">
      <c r="A9" s="1522"/>
      <c r="B9" s="1522"/>
      <c r="C9" s="1522"/>
      <c r="D9" s="1522"/>
      <c r="E9" s="2321"/>
      <c r="F9" s="2321"/>
      <c r="G9" s="2321"/>
      <c r="H9" s="2321"/>
      <c r="I9" s="2323"/>
      <c r="J9" s="2323"/>
      <c r="K9" s="2322"/>
      <c r="L9" s="1523"/>
      <c r="P9" s="2324"/>
      <c r="Q9" s="2324"/>
      <c r="R9" s="2400"/>
      <c r="S9" s="2398"/>
      <c r="T9" s="2395"/>
      <c r="U9" s="454"/>
      <c r="V9" s="1552"/>
      <c r="W9" s="1556"/>
      <c r="X9" s="2325"/>
      <c r="Y9" s="2195"/>
      <c r="Z9" s="2325"/>
      <c r="AA9" s="2195"/>
      <c r="AB9" s="2195"/>
      <c r="AC9" s="2393"/>
      <c r="AD9" s="2271"/>
      <c r="AE9" s="2406"/>
      <c r="AF9" s="2195"/>
      <c r="AG9" s="2393"/>
      <c r="AH9" s="2271"/>
      <c r="AI9" s="2406"/>
      <c r="AJ9" s="2195"/>
      <c r="AK9" s="470"/>
      <c r="AL9" s="570"/>
      <c r="AM9" s="569" t="s">
        <v>462</v>
      </c>
      <c r="AN9" s="1552"/>
      <c r="AO9" s="1655"/>
      <c r="AP9" s="1552"/>
      <c r="AQ9" s="1552"/>
      <c r="AR9" s="1552"/>
      <c r="AS9" s="1552"/>
      <c r="AT9" s="1549"/>
      <c r="AU9" s="2351"/>
      <c r="AW9" s="654"/>
      <c r="AX9" s="654"/>
      <c r="AY9" s="654"/>
      <c r="AZ9" s="654"/>
    </row>
    <row customHeight="1" ht="11.25">
      <c r="A10" s="1522"/>
      <c r="B10" s="1522"/>
      <c r="C10" s="1522"/>
      <c r="D10" s="1522"/>
      <c r="E10" s="2321"/>
      <c r="F10" s="2321"/>
      <c r="G10" s="2321"/>
      <c r="H10" s="2321"/>
      <c r="I10" s="2323"/>
      <c r="J10" s="2323"/>
      <c r="K10" s="2322"/>
      <c r="L10" s="1523"/>
      <c r="P10" s="2324"/>
      <c r="Q10" s="2324"/>
      <c r="R10" s="2400"/>
      <c r="S10" s="2398"/>
      <c r="T10" s="2395"/>
      <c r="U10" s="454"/>
      <c r="V10" s="1552"/>
      <c r="W10" s="1556"/>
      <c r="X10" s="2325"/>
      <c r="Y10" s="2195"/>
      <c r="Z10" s="2325"/>
      <c r="AA10" s="2195"/>
      <c r="AB10" s="2195"/>
      <c r="AC10" s="2393"/>
      <c r="AD10" s="2271"/>
      <c r="AE10" s="2406"/>
      <c r="AF10" s="2195"/>
      <c r="AG10" s="448"/>
      <c r="AH10" s="569"/>
      <c r="AI10" s="569" t="s">
        <v>463</v>
      </c>
      <c r="AJ10" s="1552"/>
      <c r="AK10" s="1552"/>
      <c r="AL10" s="1552"/>
      <c r="AM10" s="1552"/>
      <c r="AN10" s="1552"/>
      <c r="AO10" s="1655"/>
      <c r="AP10" s="1552"/>
      <c r="AQ10" s="1552"/>
      <c r="AR10" s="1552"/>
      <c r="AS10" s="1552"/>
      <c r="AT10" s="1549"/>
      <c r="AU10" s="2351"/>
      <c r="AW10" s="654"/>
      <c r="AX10" s="654"/>
      <c r="AY10" s="654"/>
      <c r="AZ10" s="654"/>
    </row>
    <row customHeight="1" ht="11.25">
      <c r="A11" s="1522"/>
      <c r="B11" s="1522"/>
      <c r="C11" s="1522"/>
      <c r="D11" s="1522"/>
      <c r="E11" s="2321"/>
      <c r="F11" s="2321"/>
      <c r="G11" s="2321"/>
      <c r="H11" s="2321"/>
      <c r="I11" s="2323"/>
      <c r="J11" s="2323"/>
      <c r="K11" s="2322"/>
      <c r="L11" s="1523"/>
      <c r="P11" s="2324"/>
      <c r="Q11" s="2324"/>
      <c r="R11" s="2400"/>
      <c r="S11" s="2399"/>
      <c r="T11" s="2396"/>
      <c r="U11" s="454"/>
      <c r="V11" s="1552"/>
      <c r="W11" s="1555" t="str">
        <f>X8&amp;"-"&amp;Z8</f>
        <v>-</v>
      </c>
      <c r="X11" s="2326"/>
      <c r="Y11" s="2195"/>
      <c r="Z11" s="2326"/>
      <c r="AA11" s="2195"/>
      <c r="AB11" s="2195"/>
      <c r="AC11" s="466"/>
      <c r="AD11" s="468"/>
      <c r="AE11" s="569" t="s">
        <v>464</v>
      </c>
      <c r="AF11" s="1552"/>
      <c r="AG11" s="1552"/>
      <c r="AH11" s="1552"/>
      <c r="AI11" s="1552"/>
      <c r="AJ11" s="1552"/>
      <c r="AK11" s="1552"/>
      <c r="AL11" s="1552"/>
      <c r="AM11" s="1552"/>
      <c r="AN11" s="1552"/>
      <c r="AO11" s="1553" t="str">
        <f>AP8&amp;"-"&amp;AR8</f>
        <v>-</v>
      </c>
      <c r="AP11" s="1552"/>
      <c r="AQ11" s="1552"/>
      <c r="AR11" s="1552"/>
      <c r="AS11" s="1552"/>
      <c r="AT11" s="1508"/>
      <c r="AU11" s="2351"/>
      <c r="AW11" s="654"/>
      <c r="AX11" s="654" t="str">
        <f>IF(T11="","",T11)</f>
        <v/>
      </c>
      <c r="AY11" s="654"/>
      <c r="AZ11" s="654"/>
    </row>
    <row customHeight="1" ht="11.25">
      <c r="A12" s="1522"/>
      <c r="B12" s="1522"/>
      <c r="C12" s="1522"/>
      <c r="D12" s="1522"/>
      <c r="E12" s="2321"/>
      <c r="F12" s="2321"/>
      <c r="G12" s="2321"/>
      <c r="H12" s="2321"/>
      <c r="I12" s="2323"/>
      <c r="J12" s="2322"/>
      <c r="K12" s="1522"/>
      <c r="L12" s="1523"/>
      <c r="P12" s="2324"/>
      <c r="Q12" s="2324"/>
      <c r="R12" s="510"/>
      <c r="S12" s="1437"/>
      <c r="T12" s="441" t="s">
        <v>465</v>
      </c>
      <c r="U12" s="521"/>
      <c r="V12" s="521"/>
      <c r="W12" s="521"/>
      <c r="X12" s="521"/>
      <c r="Y12" s="521"/>
      <c r="Z12" s="521"/>
      <c r="AA12" s="521"/>
      <c r="AB12" s="521"/>
      <c r="AC12" s="521"/>
      <c r="AD12" s="521"/>
      <c r="AE12" s="521"/>
      <c r="AF12" s="521"/>
      <c r="AG12" s="521"/>
      <c r="AH12" s="521"/>
      <c r="AI12" s="521"/>
      <c r="AJ12" s="521"/>
      <c r="AK12" s="521"/>
      <c r="AL12" s="521"/>
      <c r="AM12" s="521"/>
      <c r="AN12" s="521"/>
      <c r="AO12" s="521"/>
      <c r="AP12" s="521"/>
      <c r="AQ12" s="521"/>
      <c r="AR12" s="521"/>
      <c r="AS12" s="521"/>
      <c r="AT12" s="478"/>
      <c r="AU12" s="2352"/>
      <c r="AW12" s="654"/>
      <c r="AX12" s="654" t="str">
        <f>IF(T12="","",T12)</f>
        <v>Добавить строку</v>
      </c>
      <c r="AY12" s="654"/>
      <c r="AZ12" s="654"/>
    </row>
    <row s="8794" customFormat="1" customHeight="1" ht="0">
      <c r="A13" s="1502"/>
      <c r="B13" s="1502"/>
      <c r="C13" s="1502"/>
      <c r="D13" s="1502"/>
      <c r="E13" s="2321"/>
      <c r="F13" s="2321"/>
      <c r="G13" s="2321"/>
      <c r="H13" s="2321"/>
      <c r="I13" s="2322"/>
      <c r="J13" s="1502"/>
      <c r="K13" s="1502"/>
      <c r="L13" s="1505"/>
      <c r="M13" s="664"/>
      <c r="N13" s="664"/>
      <c r="O13" s="664"/>
      <c r="P13" s="2324"/>
      <c r="Q13" s="1490"/>
      <c r="R13" s="510"/>
      <c r="S13" s="1545"/>
      <c r="T13" s="1546"/>
      <c r="U13" s="1547"/>
      <c r="V13" s="1547"/>
      <c r="W13" s="1547"/>
      <c r="X13" s="1547"/>
      <c r="Y13" s="1547"/>
      <c r="Z13" s="1547"/>
      <c r="AA13" s="1547"/>
      <c r="AB13" s="1547"/>
      <c r="AC13" s="1547"/>
      <c r="AD13" s="1547"/>
      <c r="AE13" s="1547"/>
      <c r="AF13" s="1547"/>
      <c r="AG13" s="1547"/>
      <c r="AH13" s="1547"/>
      <c r="AI13" s="1547"/>
      <c r="AJ13" s="1547"/>
      <c r="AK13" s="1547"/>
      <c r="AL13" s="1547"/>
      <c r="AM13" s="1547"/>
      <c r="AN13" s="1547"/>
      <c r="AO13" s="1547"/>
      <c r="AP13" s="1547"/>
      <c r="AQ13" s="1547"/>
      <c r="AR13" s="1547"/>
      <c r="AS13" s="1547"/>
      <c r="AT13" s="1547"/>
      <c r="AU13" s="1548"/>
      <c r="AW13" s="654"/>
      <c r="AX13" s="654" t="str">
        <f>IF(T13="","",T13)</f>
        <v/>
      </c>
      <c r="AY13" s="654"/>
      <c r="AZ13" s="654"/>
    </row>
    <row s="8794" customFormat="1" customHeight="1" ht="0">
      <c r="A14" s="1502"/>
      <c r="B14" s="1502"/>
      <c r="C14" s="1502"/>
      <c r="D14" s="1502"/>
      <c r="E14" s="2321"/>
      <c r="F14" s="2321"/>
      <c r="G14" s="2321"/>
      <c r="H14" s="2320"/>
      <c r="I14" s="1502"/>
      <c r="J14" s="1502"/>
      <c r="K14" s="1502"/>
      <c r="L14" s="1505"/>
      <c r="M14" s="1474"/>
      <c r="N14" s="1474"/>
      <c r="O14" s="672"/>
      <c r="P14" s="534"/>
      <c r="Q14" s="1503"/>
      <c r="R14" s="1560"/>
      <c r="S14" s="1545"/>
      <c r="T14" s="1546"/>
      <c r="U14" s="1547"/>
      <c r="V14" s="1547"/>
      <c r="W14" s="1547"/>
      <c r="X14" s="1547"/>
      <c r="Y14" s="1547"/>
      <c r="Z14" s="1547"/>
      <c r="AA14" s="1547"/>
      <c r="AB14" s="1547"/>
      <c r="AC14" s="1547"/>
      <c r="AD14" s="1547"/>
      <c r="AE14" s="1547"/>
      <c r="AF14" s="1547"/>
      <c r="AG14" s="1547"/>
      <c r="AH14" s="1547"/>
      <c r="AI14" s="1547"/>
      <c r="AJ14" s="1547"/>
      <c r="AK14" s="1547"/>
      <c r="AL14" s="1547"/>
      <c r="AM14" s="1547"/>
      <c r="AN14" s="1547"/>
      <c r="AO14" s="1547"/>
      <c r="AP14" s="1547"/>
      <c r="AQ14" s="1547"/>
      <c r="AR14" s="1547"/>
      <c r="AS14" s="1547"/>
      <c r="AT14" s="1547"/>
      <c r="AU14" s="1548"/>
      <c r="AW14" s="654"/>
      <c r="AX14" s="654" t="str">
        <f>IF(T14="","",T14)</f>
        <v/>
      </c>
      <c r="AY14" s="654"/>
      <c r="AZ14" s="654"/>
    </row>
    <row s="8702" customFormat="1" customHeight="1" ht="0">
      <c r="A15" s="1502"/>
      <c r="B15" s="1502"/>
      <c r="C15" s="1502"/>
      <c r="D15" s="1473"/>
      <c r="E15" s="2321"/>
      <c r="F15" s="2321"/>
      <c r="G15" s="2320"/>
      <c r="H15" s="1473"/>
      <c r="I15" s="1473"/>
      <c r="J15" s="1473"/>
      <c r="K15" s="1473"/>
      <c r="L15" s="1498"/>
      <c r="M15" s="1474"/>
      <c r="N15" s="1474"/>
      <c r="P15" s="1475"/>
      <c r="Q15" s="1476"/>
      <c r="R15" s="1475"/>
      <c r="S15" s="1481"/>
      <c r="T15" s="1484" t="s">
        <v>414</v>
      </c>
      <c r="U15" s="1483"/>
      <c r="V15" s="1483"/>
      <c r="W15" s="1483"/>
      <c r="X15" s="1483"/>
      <c r="Y15" s="1483"/>
      <c r="Z15" s="1483"/>
      <c r="AA15" s="1483"/>
      <c r="AB15" s="1483"/>
      <c r="AC15" s="1483"/>
      <c r="AD15" s="1483"/>
      <c r="AE15" s="1483"/>
      <c r="AF15" s="1483"/>
      <c r="AG15" s="1483"/>
      <c r="AH15" s="1483"/>
      <c r="AI15" s="1483"/>
      <c r="AJ15" s="1483"/>
      <c r="AK15" s="1483"/>
      <c r="AL15" s="1483"/>
      <c r="AM15" s="1483"/>
      <c r="AN15" s="1483"/>
      <c r="AO15" s="1483"/>
      <c r="AP15" s="1483"/>
      <c r="AQ15" s="1483"/>
      <c r="AR15" s="1483"/>
      <c r="AS15" s="1483"/>
      <c r="AT15" s="1483"/>
      <c r="AU15" s="1483"/>
      <c r="AW15" s="943"/>
      <c r="AX15" s="943" t="str">
        <f>IF(T15="","",T15)</f>
        <v>Добавить источник для дифференциации</v>
      </c>
      <c r="AY15" s="943"/>
      <c r="AZ15" s="943"/>
    </row>
    <row s="8702" customFormat="1" customHeight="1" ht="0">
      <c r="A16" s="1502"/>
      <c r="B16" s="1502"/>
      <c r="C16" s="1473"/>
      <c r="D16" s="1473"/>
      <c r="E16" s="2321"/>
      <c r="F16" s="2320"/>
      <c r="G16" s="1473"/>
      <c r="H16" s="1473"/>
      <c r="I16" s="1473"/>
      <c r="J16" s="1473"/>
      <c r="K16" s="1473"/>
      <c r="L16" s="1498"/>
      <c r="M16" s="1480"/>
      <c r="N16" s="1480"/>
      <c r="P16" s="1475"/>
      <c r="Q16" s="1476"/>
      <c r="R16" s="1475"/>
      <c r="S16" s="1481"/>
      <c r="T16" s="1484" t="s">
        <v>251</v>
      </c>
      <c r="U16" s="1483"/>
      <c r="V16" s="1483"/>
      <c r="W16" s="1483"/>
      <c r="X16" s="1483"/>
      <c r="Y16" s="1483"/>
      <c r="Z16" s="1483"/>
      <c r="AA16" s="1483"/>
      <c r="AB16" s="1483"/>
      <c r="AC16" s="1483"/>
      <c r="AD16" s="1483"/>
      <c r="AE16" s="1483"/>
      <c r="AF16" s="1483"/>
      <c r="AG16" s="1483"/>
      <c r="AH16" s="1483"/>
      <c r="AI16" s="1483"/>
      <c r="AJ16" s="1483"/>
      <c r="AK16" s="1483"/>
      <c r="AL16" s="1483"/>
      <c r="AM16" s="1483"/>
      <c r="AN16" s="1483"/>
      <c r="AO16" s="1483"/>
      <c r="AP16" s="1483"/>
      <c r="AQ16" s="1483"/>
      <c r="AR16" s="1483"/>
      <c r="AS16" s="1483"/>
      <c r="AT16" s="1483"/>
      <c r="AU16" s="1483"/>
      <c r="AW16" s="943"/>
      <c r="AX16" s="943" t="str">
        <f>IF(T16="","",T16)</f>
        <v>Добавить централизованную систему для дифференциации</v>
      </c>
      <c r="AY16" s="943"/>
      <c r="AZ16" s="943"/>
    </row>
    <row s="8794" customFormat="1" customHeight="1" ht="0">
      <c r="A17" s="1502"/>
      <c r="B17" s="1502"/>
      <c r="C17" s="1502"/>
      <c r="D17" s="1502"/>
      <c r="E17" s="2320"/>
      <c r="F17" s="1502"/>
      <c r="G17" s="1502"/>
      <c r="H17" s="1502"/>
      <c r="I17" s="1502"/>
      <c r="J17" s="1502"/>
      <c r="K17" s="1502"/>
      <c r="L17" s="1505"/>
      <c r="M17" s="1480"/>
      <c r="N17" s="1480"/>
      <c r="O17" s="672"/>
      <c r="P17" s="534"/>
      <c r="Q17" s="1503"/>
      <c r="R17" s="534"/>
      <c r="S17" s="1481"/>
      <c r="T17" s="1484" t="s">
        <v>252</v>
      </c>
      <c r="U17" s="1483"/>
      <c r="V17" s="1483"/>
      <c r="W17" s="1483"/>
      <c r="X17" s="1483"/>
      <c r="Y17" s="1483"/>
      <c r="Z17" s="1483"/>
      <c r="AA17" s="1483"/>
      <c r="AB17" s="1483"/>
      <c r="AC17" s="1483"/>
      <c r="AD17" s="1483"/>
      <c r="AE17" s="1483"/>
      <c r="AF17" s="1483"/>
      <c r="AG17" s="1483"/>
      <c r="AH17" s="1483"/>
      <c r="AI17" s="1483"/>
      <c r="AJ17" s="1483"/>
      <c r="AK17" s="1483"/>
      <c r="AL17" s="1483"/>
      <c r="AM17" s="1483"/>
      <c r="AN17" s="1483"/>
      <c r="AO17" s="1483"/>
      <c r="AP17" s="1483"/>
      <c r="AQ17" s="1483"/>
      <c r="AR17" s="1483"/>
      <c r="AS17" s="1483"/>
      <c r="AT17" s="1483"/>
      <c r="AU17" s="1483"/>
      <c r="AW17" s="654"/>
      <c r="AX17" s="654" t="str">
        <f>IF(T17="","",T17)</f>
        <v>Добавить территорию для дифференциации</v>
      </c>
      <c r="AY17" s="654"/>
      <c r="AZ17" s="654"/>
    </row>
    <row customHeight="1" ht="14.25">
      <c r="AA18" s="481"/>
      <c r="AS18" s="481"/>
    </row>
    <row customHeight="1" ht="14.25">
      <c r="AB19" s="1483" t="s">
        <v>54</v>
      </c>
      <c r="AC19" s="1660"/>
      <c r="AD19" s="702">
        <v>1</v>
      </c>
      <c r="AE19" s="1661"/>
      <c r="AF19" s="1483" t="s">
        <v>54</v>
      </c>
      <c r="AG19" s="1660"/>
      <c r="AH19" s="702">
        <v>1</v>
      </c>
      <c r="AI19" s="1661"/>
      <c r="AJ19" s="1483" t="s">
        <v>54</v>
      </c>
      <c r="AK19" s="1662"/>
      <c r="AL19" s="702">
        <v>1</v>
      </c>
      <c r="AM19" s="1665"/>
      <c r="AN19" s="1562"/>
      <c r="AO19" s="1563"/>
      <c r="AP19" s="1895"/>
      <c r="AQ19" s="1619" t="s">
        <v>64</v>
      </c>
      <c r="AR19" s="1895"/>
      <c r="AS19" s="1619" t="s">
        <v>64</v>
      </c>
    </row>
    <row customHeight="1" ht="14.25">
      <c r="AV20" s="650"/>
      <c r="AW20" s="650"/>
      <c r="AX20" s="650"/>
      <c r="AY20" s="650"/>
      <c r="AZ20" s="650"/>
    </row>
    <row customHeight="1" ht="14.25">
      <c r="O21" s="1526" t="s">
        <v>415</v>
      </c>
      <c r="X21" s="1504"/>
      <c r="Z21" s="1504"/>
      <c r="AA21" s="481"/>
      <c r="AP21" s="1504"/>
      <c r="AR21" s="1504"/>
      <c r="AS21" s="481"/>
      <c r="AV21" s="650"/>
      <c r="AW21" s="650"/>
      <c r="AX21" s="650"/>
      <c r="AY21" s="650"/>
      <c r="AZ21" s="650"/>
    </row>
    <row customHeight="1" ht="14.25">
      <c r="AA22" s="481"/>
      <c r="AS22" s="481"/>
      <c r="AV22" s="650"/>
      <c r="AW22" s="650"/>
      <c r="AX22" s="650"/>
      <c r="AY22" s="650"/>
      <c r="AZ22" s="650"/>
    </row>
    <row s="8950" customFormat="1" customHeight="1" ht="14.25">
      <c r="M23" s="1667"/>
      <c r="N23" s="1667"/>
      <c r="O23" s="1668" t="s">
        <v>416</v>
      </c>
      <c r="P23" s="1667"/>
      <c r="Q23" s="1669"/>
      <c r="R23" s="1669"/>
      <c r="Y23" s="1666" t="s">
        <v>418</v>
      </c>
      <c r="AA23" s="1666" t="s">
        <v>419</v>
      </c>
      <c r="AB23" s="1666" t="s">
        <v>466</v>
      </c>
      <c r="AE23" s="1666" t="s">
        <v>467</v>
      </c>
      <c r="AF23" s="1666" t="s">
        <v>466</v>
      </c>
      <c r="AI23" s="1666" t="s">
        <v>468</v>
      </c>
      <c r="AJ23" s="1666" t="s">
        <v>466</v>
      </c>
      <c r="AM23" s="1666" t="s">
        <v>469</v>
      </c>
      <c r="AQ23" s="1666" t="s">
        <v>418</v>
      </c>
      <c r="AS23" s="1666" t="s">
        <v>419</v>
      </c>
      <c r="AV23" s="1670"/>
      <c r="AW23" s="1670"/>
      <c r="AX23" s="1670"/>
      <c r="AY23" s="1670"/>
      <c r="AZ23" s="1670"/>
    </row>
    <row customHeight="1" ht="14.25">
      <c r="O24" s="1523"/>
      <c r="AV24" s="650"/>
      <c r="AW24" s="650"/>
      <c r="AX24" s="650"/>
      <c r="AY24" s="650"/>
      <c r="AZ24" s="650"/>
    </row>
    <row customHeight="1" ht="14.25">
      <c r="O25" s="1523"/>
      <c r="AV25" s="650"/>
      <c r="AW25" s="650"/>
      <c r="AX25" s="650"/>
      <c r="AY25" s="650"/>
      <c r="AZ25" s="650"/>
    </row>
    <row customHeight="1" ht="14.25">
      <c r="Q26" s="445"/>
      <c r="R26" s="530"/>
      <c r="S26" s="1434"/>
      <c r="T26" s="517"/>
      <c r="U26" s="517"/>
      <c r="V26" s="663"/>
      <c r="W26" s="663"/>
      <c r="X26" s="663"/>
      <c r="Y26" s="663"/>
      <c r="Z26" s="663"/>
      <c r="AA26" s="663"/>
      <c r="AB26" s="663"/>
      <c r="AC26" s="663"/>
      <c r="AD26" s="663"/>
      <c r="AE26" s="663"/>
      <c r="AF26" s="663"/>
      <c r="AG26" s="663"/>
      <c r="AH26" s="663"/>
      <c r="AI26" s="663"/>
      <c r="AJ26" s="663"/>
      <c r="AK26" s="663"/>
      <c r="AL26" s="663"/>
      <c r="AM26" s="663"/>
      <c r="AN26" s="663"/>
      <c r="AO26" s="663"/>
      <c r="AP26" s="663"/>
      <c r="AQ26" s="663"/>
      <c r="AR26" s="663"/>
      <c r="AS26" s="663"/>
    </row>
    <row customHeight="1" ht="26.25">
      <c r="Q27" s="445"/>
      <c r="R27" s="530"/>
      <c r="S27" s="2353" t="str">
        <f>IF(TEMPLATE_GROUP="P",PT_P_FORM_HEAT_7_NAME_FORM,PT_R_FORM_HEAT_24_NAME_FORM)</f>
        <v>Форма 6. Информация об установленной плате за подключение (технологическое присоединение) к системе теплоснабжения,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7" s="2353"/>
      <c r="U27" s="2353"/>
      <c r="V27" s="2353"/>
      <c r="W27" s="2353"/>
      <c r="X27" s="2353"/>
      <c r="Y27" s="2353"/>
      <c r="Z27" s="2353"/>
      <c r="AA27" s="2353"/>
      <c r="AB27" s="2353"/>
      <c r="AC27" s="2353"/>
      <c r="AD27" s="2353"/>
      <c r="AE27" s="2353"/>
      <c r="AF27" s="2353"/>
      <c r="AG27" s="2353"/>
      <c r="AH27" s="2353"/>
      <c r="AI27" s="2353"/>
      <c r="AJ27" s="2353"/>
      <c r="AK27" s="2353"/>
      <c r="AL27" s="2353"/>
      <c r="AM27" s="2353"/>
      <c r="AN27" s="2353"/>
      <c r="AO27" s="2353"/>
      <c r="AP27" s="2353"/>
      <c r="AQ27" s="2353"/>
      <c r="AR27" s="2353"/>
      <c r="AS27" s="1401"/>
    </row>
    <row customHeight="1" ht="14.25">
      <c r="Q28" s="445"/>
      <c r="R28" s="530"/>
      <c r="S28" s="2354" t="str">
        <f>IF(org=0,"Не определено",org)</f>
        <v>АО "Теплокоммунэнерго"</v>
      </c>
      <c r="T28" s="2354"/>
      <c r="U28" s="2354"/>
      <c r="V28" s="2354"/>
      <c r="W28" s="2354"/>
      <c r="X28" s="2354"/>
      <c r="Y28" s="2354"/>
      <c r="Z28" s="2354"/>
      <c r="AA28" s="2354"/>
      <c r="AB28" s="2354"/>
      <c r="AC28" s="2354"/>
      <c r="AD28" s="2354"/>
      <c r="AE28" s="2354"/>
      <c r="AF28" s="2354"/>
      <c r="AG28" s="2354"/>
      <c r="AH28" s="2354"/>
      <c r="AI28" s="2354"/>
      <c r="AJ28" s="2354"/>
      <c r="AK28" s="2354"/>
      <c r="AL28" s="2354"/>
      <c r="AM28" s="2354"/>
      <c r="AN28" s="2354"/>
      <c r="AO28" s="2354"/>
      <c r="AP28" s="2354"/>
      <c r="AQ28" s="2354"/>
      <c r="AR28" s="2354"/>
      <c r="AS28" s="1401"/>
    </row>
    <row customHeight="1" ht="14.25">
      <c r="Q29" s="445"/>
      <c r="R29" s="530"/>
      <c r="S29" s="1434"/>
      <c r="T29" s="517"/>
      <c r="U29" s="517"/>
      <c r="V29" s="476"/>
      <c r="W29" s="476"/>
      <c r="X29" s="476"/>
      <c r="Y29" s="476"/>
      <c r="Z29" s="476"/>
      <c r="AA29" s="476"/>
      <c r="AB29" s="476"/>
      <c r="AC29" s="476"/>
      <c r="AD29" s="476"/>
      <c r="AE29" s="476"/>
      <c r="AF29" s="476"/>
      <c r="AG29" s="476"/>
      <c r="AH29" s="476"/>
      <c r="AI29" s="476"/>
      <c r="AJ29" s="476"/>
      <c r="AK29" s="476"/>
      <c r="AL29" s="476"/>
      <c r="AM29" s="476"/>
      <c r="AN29" s="476"/>
      <c r="AO29" s="476"/>
      <c r="AP29" s="476"/>
      <c r="AQ29" s="476"/>
      <c r="AR29" s="476"/>
      <c r="AS29" s="476"/>
      <c r="AT29" s="663"/>
    </row>
    <row s="8735" customFormat="1" customHeight="1" ht="25.5">
      <c r="A30" s="1527"/>
      <c r="B30" s="1527"/>
      <c r="C30" s="1527"/>
      <c r="D30" s="1527"/>
      <c r="E30" s="1527"/>
      <c r="F30" s="1527"/>
      <c r="G30" s="1527"/>
      <c r="H30" s="1527"/>
      <c r="I30" s="1527"/>
      <c r="J30" s="1527"/>
      <c r="K30" s="1527"/>
      <c r="L30" s="1528"/>
      <c r="M30" s="1527"/>
      <c r="N30" s="1527"/>
      <c r="O30" s="1527"/>
      <c r="P30" s="1527"/>
      <c r="Q30" s="1527"/>
      <c r="S30" s="2311" t="s">
        <v>38</v>
      </c>
      <c r="T30" s="2311"/>
      <c r="U30" s="1531"/>
      <c r="V30" s="2313" t="str">
        <f>IF(TITLE_NAME_OR_PR_CHANGE="",IF(TITLE_NAME_OR_PR="","",TITLE_NAME_OR_PR),TITLE_NAME_OR_PR_CHANGE)</f>
        <v>Региональная служба по тарифам Ростовской области</v>
      </c>
      <c r="W30" s="2313"/>
      <c r="X30" s="2313"/>
      <c r="Y30" s="2313"/>
      <c r="Z30" s="2313"/>
      <c r="AA30" s="480"/>
      <c r="AB30" s="2313" t="str">
        <f>IF(TITLE_NAME_OR_PR_CHANGE="",IF(TITLE_NAME_OR_PR="","",TITLE_NAME_OR_PR),TITLE_NAME_OR_PR_CHANGE)</f>
        <v>Региональная служба по тарифам Ростовской области</v>
      </c>
      <c r="AC30" s="2313"/>
      <c r="AD30" s="2313"/>
      <c r="AE30" s="2313"/>
      <c r="AF30" s="2313"/>
      <c r="AG30" s="2313"/>
      <c r="AH30" s="2313"/>
      <c r="AI30" s="2313"/>
      <c r="AJ30" s="2313"/>
      <c r="AK30" s="2313"/>
      <c r="AL30" s="2313"/>
      <c r="AM30" s="2313"/>
      <c r="AN30" s="2313"/>
      <c r="AO30" s="2313"/>
      <c r="AP30" s="2313"/>
      <c r="AQ30" s="2313"/>
      <c r="AR30" s="2313"/>
      <c r="AS30" s="480"/>
      <c r="AT30" s="480"/>
      <c r="AU30" s="434"/>
      <c r="AV30" s="522"/>
      <c r="AW30" s="522"/>
      <c r="AX30" s="522"/>
      <c r="AY30" s="522"/>
      <c r="AZ30" s="522"/>
    </row>
    <row s="8735" customFormat="1" customHeight="1" ht="18.75">
      <c r="A31" s="1527"/>
      <c r="B31" s="1527"/>
      <c r="C31" s="1527"/>
      <c r="D31" s="1527"/>
      <c r="E31" s="1527"/>
      <c r="F31" s="1527"/>
      <c r="G31" s="1527"/>
      <c r="H31" s="1527"/>
      <c r="I31" s="1527"/>
      <c r="J31" s="1527"/>
      <c r="K31" s="1527"/>
      <c r="L31" s="1528"/>
      <c r="M31" s="1527"/>
      <c r="N31" s="1527"/>
      <c r="O31" s="1527"/>
      <c r="P31" s="1527"/>
      <c r="Q31" s="1527"/>
      <c r="S31" s="2311" t="s">
        <v>421</v>
      </c>
      <c r="T31" s="2311"/>
      <c r="U31" s="1531"/>
      <c r="V31" s="2312" t="str">
        <f>IF(TITLE_DATE_PR_CHANGE="",IF(TITLE_DATE_PR="","",TITLE_DATE_PR),TITLE_DATE_PR_CHANGE)</f>
        <v>45279</v>
      </c>
      <c r="W31" s="2312"/>
      <c r="X31" s="2312"/>
      <c r="Y31" s="2312"/>
      <c r="Z31" s="2312"/>
      <c r="AA31" s="480"/>
      <c r="AB31" s="2312" t="str">
        <f>IF(TITLE_DATE_PR_CHANGE="",IF(TITLE_DATE_PR="","",TITLE_DATE_PR),TITLE_DATE_PR_CHANGE)</f>
        <v>45279</v>
      </c>
      <c r="AC31" s="2312"/>
      <c r="AD31" s="2312"/>
      <c r="AE31" s="2312"/>
      <c r="AF31" s="2312"/>
      <c r="AG31" s="2312"/>
      <c r="AH31" s="2312"/>
      <c r="AI31" s="2312"/>
      <c r="AJ31" s="2312"/>
      <c r="AK31" s="2312"/>
      <c r="AL31" s="2312"/>
      <c r="AM31" s="2312"/>
      <c r="AN31" s="2312"/>
      <c r="AO31" s="2312"/>
      <c r="AP31" s="2312"/>
      <c r="AQ31" s="2312"/>
      <c r="AR31" s="2312"/>
      <c r="AS31" s="480"/>
      <c r="AT31" s="480"/>
      <c r="AU31" s="434"/>
      <c r="AV31" s="522"/>
      <c r="AW31" s="522"/>
      <c r="AX31" s="522"/>
      <c r="AY31" s="522"/>
      <c r="AZ31" s="522"/>
    </row>
    <row s="8735" customFormat="1" customHeight="1" ht="18.75">
      <c r="A32" s="1527"/>
      <c r="B32" s="1527"/>
      <c r="C32" s="1527"/>
      <c r="D32" s="1527"/>
      <c r="E32" s="1527"/>
      <c r="F32" s="1527"/>
      <c r="G32" s="1527"/>
      <c r="H32" s="1527"/>
      <c r="I32" s="1527"/>
      <c r="J32" s="1527"/>
      <c r="K32" s="1527"/>
      <c r="L32" s="1528"/>
      <c r="M32" s="1527"/>
      <c r="N32" s="1527"/>
      <c r="O32" s="1527"/>
      <c r="P32" s="1527"/>
      <c r="Q32" s="1527"/>
      <c r="S32" s="2311" t="s">
        <v>422</v>
      </c>
      <c r="T32" s="2311"/>
      <c r="U32" s="1531"/>
      <c r="V32" s="2313" t="str">
        <f>IF(TITLE_NUMBER_PR_CHANGE="",IF(TITLE_NUMBER_PR="","",TITLE_NUMBER_PR),TITLE_NUMBER_PR_CHANGE)</f>
        <v>877</v>
      </c>
      <c r="W32" s="2313"/>
      <c r="X32" s="2313"/>
      <c r="Y32" s="2313"/>
      <c r="Z32" s="2313"/>
      <c r="AA32" s="480"/>
      <c r="AB32" s="2313" t="str">
        <f>IF(TITLE_NUMBER_PR_CHANGE="",IF(TITLE_NUMBER_PR="","",TITLE_NUMBER_PR),TITLE_NUMBER_PR_CHANGE)</f>
        <v>877</v>
      </c>
      <c r="AC32" s="2313"/>
      <c r="AD32" s="2313"/>
      <c r="AE32" s="2313"/>
      <c r="AF32" s="2313"/>
      <c r="AG32" s="2313"/>
      <c r="AH32" s="2313"/>
      <c r="AI32" s="2313"/>
      <c r="AJ32" s="2313"/>
      <c r="AK32" s="2313"/>
      <c r="AL32" s="2313"/>
      <c r="AM32" s="2313"/>
      <c r="AN32" s="2313"/>
      <c r="AO32" s="2313"/>
      <c r="AP32" s="2313"/>
      <c r="AQ32" s="2313"/>
      <c r="AR32" s="2313"/>
      <c r="AS32" s="480"/>
      <c r="AT32" s="480"/>
      <c r="AU32" s="434"/>
      <c r="AV32" s="522"/>
      <c r="AW32" s="522"/>
      <c r="AX32" s="522"/>
      <c r="AY32" s="522"/>
      <c r="AZ32" s="522"/>
    </row>
    <row s="8735" customFormat="1" customHeight="1" ht="18.75">
      <c r="A33" s="1527"/>
      <c r="B33" s="1527"/>
      <c r="C33" s="1527"/>
      <c r="D33" s="1527"/>
      <c r="E33" s="1527"/>
      <c r="F33" s="1527"/>
      <c r="G33" s="1527"/>
      <c r="H33" s="1527"/>
      <c r="I33" s="1527"/>
      <c r="J33" s="1527"/>
      <c r="K33" s="1527"/>
      <c r="L33" s="1528"/>
      <c r="M33" s="1527"/>
      <c r="N33" s="1527"/>
      <c r="O33" s="1527"/>
      <c r="P33" s="1527"/>
      <c r="Q33" s="1527"/>
      <c r="S33" s="2311" t="s">
        <v>40</v>
      </c>
      <c r="T33" s="2311"/>
      <c r="U33" s="1531"/>
      <c r="V33" s="2313" t="str">
        <f>IF(TITLE_IST_PUB_CHANGE="",IF(TITLE_IST_PUB="","",TITLE_IST_PUB),TITLE_IST_PUB_CHANGE)</f>
        <v>Официальный портал правовой информации Ростовской области</v>
      </c>
      <c r="W33" s="2313"/>
      <c r="X33" s="2313"/>
      <c r="Y33" s="2313"/>
      <c r="Z33" s="2313"/>
      <c r="AA33" s="480"/>
      <c r="AB33" s="2313" t="str">
        <f>IF(TITLE_IST_PUB_CHANGE="",IF(TITLE_IST_PUB="","",TITLE_IST_PUB),TITLE_IST_PUB_CHANGE)</f>
        <v>Официальный портал правовой информации Ростовской области</v>
      </c>
      <c r="AC33" s="2313"/>
      <c r="AD33" s="2313"/>
      <c r="AE33" s="2313"/>
      <c r="AF33" s="2313"/>
      <c r="AG33" s="2313"/>
      <c r="AH33" s="2313"/>
      <c r="AI33" s="2313"/>
      <c r="AJ33" s="2313"/>
      <c r="AK33" s="2313"/>
      <c r="AL33" s="2313"/>
      <c r="AM33" s="2313"/>
      <c r="AN33" s="2313"/>
      <c r="AO33" s="2313"/>
      <c r="AP33" s="2313"/>
      <c r="AQ33" s="2313"/>
      <c r="AR33" s="2313"/>
      <c r="AS33" s="480"/>
      <c r="AT33" s="480"/>
      <c r="AU33" s="434"/>
      <c r="AV33" s="522"/>
      <c r="AW33" s="522"/>
      <c r="AX33" s="522"/>
      <c r="AY33" s="522"/>
      <c r="AZ33" s="522"/>
    </row>
    <row customHeight="1" ht="14.25" hidden="1">
      <c r="Q34" s="445"/>
      <c r="R34" s="530"/>
      <c r="S34" s="1434"/>
      <c r="T34" s="517"/>
      <c r="U34" s="517"/>
      <c r="V34" s="476"/>
      <c r="W34" s="476"/>
      <c r="X34" s="476"/>
      <c r="Y34" s="476"/>
      <c r="Z34" s="476"/>
      <c r="AA34" s="476"/>
      <c r="AB34" s="476"/>
      <c r="AC34" s="476"/>
      <c r="AD34" s="476"/>
      <c r="AE34" s="476"/>
      <c r="AF34" s="476"/>
      <c r="AG34" s="476"/>
      <c r="AH34" s="476"/>
      <c r="AI34" s="476"/>
      <c r="AJ34" s="476"/>
      <c r="AK34" s="476"/>
      <c r="AL34" s="476"/>
      <c r="AM34" s="476"/>
      <c r="AN34" s="476"/>
      <c r="AO34" s="476"/>
      <c r="AP34" s="476"/>
      <c r="AQ34" s="476"/>
      <c r="AR34" s="476"/>
      <c r="AS34" s="476"/>
      <c r="AT34" s="663"/>
    </row>
    <row s="8735" customFormat="1" customHeight="1" ht="18.75" hidden="1">
      <c r="A35" s="1527"/>
      <c r="B35" s="1527"/>
      <c r="C35" s="1527"/>
      <c r="D35" s="1527"/>
      <c r="E35" s="1527"/>
      <c r="F35" s="1527"/>
      <c r="G35" s="1527"/>
      <c r="H35" s="1527"/>
      <c r="I35" s="1527"/>
      <c r="J35" s="1527"/>
      <c r="K35" s="1527"/>
      <c r="L35" s="1528"/>
      <c r="M35" s="1527"/>
      <c r="N35" s="1527"/>
      <c r="O35" s="1527"/>
      <c r="P35" s="1527"/>
      <c r="Q35" s="1527"/>
      <c r="S35" s="2311" t="s">
        <v>421</v>
      </c>
      <c r="T35" s="2311"/>
      <c r="U35" s="1531"/>
      <c r="V35" s="2312" t="str">
        <f>IF(TITLE_DATE_PR_CHANGE="",IF(TITLE_DATE_PR="","",TITLE_DATE_PR),TITLE_DATE_PR_CHANGE)</f>
        <v>45279</v>
      </c>
      <c r="W35" s="2312"/>
      <c r="X35" s="2312"/>
      <c r="Y35" s="2312"/>
      <c r="Z35" s="2312"/>
      <c r="AA35" s="480"/>
      <c r="AB35" s="2312" t="str">
        <f>IF(TITLE_DATE_PR_CHANGE="",IF(TITLE_DATE_PR="","",TITLE_DATE_PR),TITLE_DATE_PR_CHANGE)</f>
        <v>45279</v>
      </c>
      <c r="AC35" s="2312"/>
      <c r="AD35" s="2312"/>
      <c r="AE35" s="2312"/>
      <c r="AF35" s="2312"/>
      <c r="AG35" s="2312"/>
      <c r="AH35" s="2312"/>
      <c r="AI35" s="2312"/>
      <c r="AJ35" s="2312"/>
      <c r="AK35" s="2312"/>
      <c r="AL35" s="2312"/>
      <c r="AM35" s="2312"/>
      <c r="AN35" s="2312"/>
      <c r="AO35" s="2312"/>
      <c r="AP35" s="2312"/>
      <c r="AQ35" s="2312"/>
      <c r="AR35" s="2312"/>
      <c r="AS35" s="480"/>
      <c r="AT35" s="480"/>
      <c r="AU35" s="434"/>
      <c r="AV35" s="522"/>
      <c r="AW35" s="522"/>
      <c r="AX35" s="522"/>
      <c r="AY35" s="522"/>
      <c r="AZ35" s="522"/>
    </row>
    <row s="8735" customFormat="1" customHeight="1" ht="18" hidden="1">
      <c r="A36" s="1527"/>
      <c r="B36" s="1527"/>
      <c r="C36" s="1527"/>
      <c r="D36" s="1527"/>
      <c r="E36" s="1527"/>
      <c r="F36" s="1527"/>
      <c r="G36" s="1527"/>
      <c r="H36" s="1527"/>
      <c r="I36" s="1527"/>
      <c r="J36" s="1527"/>
      <c r="K36" s="1527"/>
      <c r="L36" s="1528"/>
      <c r="M36" s="1527"/>
      <c r="N36" s="1527"/>
      <c r="O36" s="1527"/>
      <c r="P36" s="1527"/>
      <c r="Q36" s="1527"/>
      <c r="S36" s="2311" t="s">
        <v>422</v>
      </c>
      <c r="T36" s="2311"/>
      <c r="U36" s="1531"/>
      <c r="V36" s="2313" t="str">
        <f>IF(TITLE_NUMBER_PR_CHANGE="",IF(TITLE_NUMBER_PR="","",TITLE_NUMBER_PR),TITLE_NUMBER_PR_CHANGE)</f>
        <v>877</v>
      </c>
      <c r="W36" s="2313"/>
      <c r="X36" s="2313"/>
      <c r="Y36" s="2313"/>
      <c r="Z36" s="2313"/>
      <c r="AA36" s="480"/>
      <c r="AB36" s="2313" t="str">
        <f>IF(TITLE_NUMBER_PR_CHANGE="",IF(TITLE_NUMBER_PR="","",TITLE_NUMBER_PR),TITLE_NUMBER_PR_CHANGE)</f>
        <v>877</v>
      </c>
      <c r="AC36" s="2313"/>
      <c r="AD36" s="2313"/>
      <c r="AE36" s="2313"/>
      <c r="AF36" s="2313"/>
      <c r="AG36" s="2313"/>
      <c r="AH36" s="2313"/>
      <c r="AI36" s="2313"/>
      <c r="AJ36" s="2313"/>
      <c r="AK36" s="2313"/>
      <c r="AL36" s="2313"/>
      <c r="AM36" s="2313"/>
      <c r="AN36" s="2313"/>
      <c r="AO36" s="2313"/>
      <c r="AP36" s="2313"/>
      <c r="AQ36" s="2313"/>
      <c r="AR36" s="2313"/>
      <c r="AS36" s="480"/>
      <c r="AT36" s="480"/>
      <c r="AU36" s="434"/>
      <c r="AV36" s="522"/>
      <c r="AW36" s="522"/>
      <c r="AX36" s="522"/>
      <c r="AY36" s="522"/>
      <c r="AZ36" s="522"/>
    </row>
    <row s="8735" customFormat="1" customHeight="1" ht="0.75">
      <c r="A37" s="1527"/>
      <c r="B37" s="1527"/>
      <c r="C37" s="1527"/>
      <c r="D37" s="1527"/>
      <c r="E37" s="1527"/>
      <c r="F37" s="1527"/>
      <c r="G37" s="1527"/>
      <c r="H37" s="1527"/>
      <c r="I37" s="1527"/>
      <c r="J37" s="1527"/>
      <c r="K37" s="1527"/>
      <c r="L37" s="1528"/>
      <c r="M37" s="1527"/>
      <c r="N37" s="1527"/>
      <c r="O37" s="1527"/>
      <c r="P37" s="1527"/>
      <c r="Q37" s="1527"/>
      <c r="S37" s="477"/>
      <c r="T37" s="477"/>
      <c r="U37" s="1499"/>
      <c r="V37" s="480"/>
      <c r="W37" s="480"/>
      <c r="X37" s="480"/>
      <c r="Y37" s="480"/>
      <c r="Z37" s="480"/>
      <c r="AA37" s="432" t="s">
        <v>425</v>
      </c>
      <c r="AB37" s="480"/>
      <c r="AC37" s="480"/>
      <c r="AD37" s="480"/>
      <c r="AE37" s="480"/>
      <c r="AF37" s="480"/>
      <c r="AG37" s="480"/>
      <c r="AH37" s="480"/>
      <c r="AI37" s="480"/>
      <c r="AJ37" s="480"/>
      <c r="AK37" s="480"/>
      <c r="AL37" s="480"/>
      <c r="AM37" s="480"/>
      <c r="AN37" s="480"/>
      <c r="AO37" s="480"/>
      <c r="AP37" s="480"/>
      <c r="AQ37" s="480"/>
      <c r="AR37" s="480"/>
      <c r="AS37" s="432" t="s">
        <v>425</v>
      </c>
      <c r="AV37" s="522"/>
      <c r="AW37" s="522"/>
      <c r="AX37" s="522"/>
      <c r="AY37" s="522"/>
      <c r="AZ37" s="522"/>
    </row>
    <row customHeight="1" ht="14.25">
      <c r="Q38" s="445"/>
      <c r="R38" s="530"/>
      <c r="S38" s="1434"/>
      <c r="T38" s="517"/>
      <c r="U38" s="1402"/>
      <c r="V38" s="2337"/>
      <c r="W38" s="2337"/>
      <c r="X38" s="2337"/>
      <c r="Y38" s="2337"/>
      <c r="Z38" s="2337"/>
      <c r="AA38" s="2337"/>
      <c r="AB38" s="2337"/>
      <c r="AC38" s="2337"/>
      <c r="AD38" s="2337"/>
      <c r="AE38" s="2337"/>
      <c r="AF38" s="2337"/>
      <c r="AG38" s="2337"/>
      <c r="AH38" s="2337"/>
      <c r="AI38" s="2337"/>
      <c r="AJ38" s="2337"/>
      <c r="AK38" s="2337"/>
      <c r="AL38" s="2337"/>
      <c r="AM38" s="2337"/>
      <c r="AN38" s="2337"/>
      <c r="AO38" s="2337"/>
      <c r="AP38" s="2337"/>
      <c r="AQ38" s="2337"/>
      <c r="AR38" s="2337"/>
      <c r="AS38" s="2337"/>
    </row>
    <row customHeight="1" ht="14.25">
      <c r="Q39" s="445"/>
      <c r="R39" s="530"/>
      <c r="S39" s="2185" t="s">
        <v>300</v>
      </c>
      <c r="T39" s="2185"/>
      <c r="U39" s="2185"/>
      <c r="V39" s="2185"/>
      <c r="W39" s="2185"/>
      <c r="X39" s="2185"/>
      <c r="Y39" s="2185"/>
      <c r="Z39" s="2185"/>
      <c r="AA39" s="2185"/>
      <c r="AB39" s="2242"/>
      <c r="AC39" s="2242"/>
      <c r="AD39" s="2242"/>
      <c r="AE39" s="2242"/>
      <c r="AF39" s="2185"/>
      <c r="AG39" s="2185"/>
      <c r="AH39" s="2185"/>
      <c r="AI39" s="2185"/>
      <c r="AJ39" s="2185"/>
      <c r="AK39" s="2185"/>
      <c r="AL39" s="2185"/>
      <c r="AM39" s="2185"/>
      <c r="AN39" s="2185"/>
      <c r="AO39" s="2185"/>
      <c r="AP39" s="2185"/>
      <c r="AQ39" s="2185"/>
      <c r="AR39" s="2185"/>
      <c r="AS39" s="2185"/>
      <c r="AT39" s="2185"/>
      <c r="AU39" s="2185" t="s">
        <v>301</v>
      </c>
    </row>
    <row customHeight="1" ht="14.25">
      <c r="Q40" s="445"/>
      <c r="R40" s="530"/>
      <c r="S40" s="2338" t="s">
        <v>85</v>
      </c>
      <c r="T40" s="2275" t="s">
        <v>470</v>
      </c>
      <c r="U40" s="455"/>
      <c r="V40" s="2340"/>
      <c r="W40" s="2340"/>
      <c r="X40" s="2340"/>
      <c r="Y40" s="2340"/>
      <c r="Z40" s="2341"/>
      <c r="AA40" s="2402" t="s">
        <v>428</v>
      </c>
      <c r="AB40" s="2386" t="s">
        <v>471</v>
      </c>
      <c r="AC40" s="2361"/>
      <c r="AD40" s="2361"/>
      <c r="AE40" s="2387"/>
      <c r="AF40" s="2361" t="s">
        <v>472</v>
      </c>
      <c r="AG40" s="2361"/>
      <c r="AH40" s="2361"/>
      <c r="AI40" s="2387"/>
      <c r="AJ40" s="2386" t="s">
        <v>473</v>
      </c>
      <c r="AK40" s="2361"/>
      <c r="AL40" s="2361"/>
      <c r="AM40" s="2387"/>
      <c r="AN40" s="2386" t="s">
        <v>427</v>
      </c>
      <c r="AO40" s="2361"/>
      <c r="AP40" s="2340"/>
      <c r="AQ40" s="2340"/>
      <c r="AR40" s="2341"/>
      <c r="AS40" s="2342" t="s">
        <v>428</v>
      </c>
      <c r="AT40" s="2345" t="s">
        <v>430</v>
      </c>
      <c r="AU40" s="2185"/>
    </row>
    <row customHeight="1" ht="33.75">
      <c r="Q41" s="445"/>
      <c r="R41" s="530"/>
      <c r="S41" s="2338"/>
      <c r="T41" s="2275"/>
      <c r="U41" s="1186"/>
      <c r="V41" s="2243" t="s">
        <v>474</v>
      </c>
      <c r="W41" s="2244"/>
      <c r="X41" s="2359" t="s">
        <v>434</v>
      </c>
      <c r="Y41" s="2377"/>
      <c r="Z41" s="2378"/>
      <c r="AA41" s="2403"/>
      <c r="AB41" s="2388"/>
      <c r="AC41" s="2389"/>
      <c r="AD41" s="2389"/>
      <c r="AE41" s="2401"/>
      <c r="AF41" s="2389"/>
      <c r="AG41" s="2389"/>
      <c r="AH41" s="2389"/>
      <c r="AI41" s="2401"/>
      <c r="AJ41" s="2388"/>
      <c r="AK41" s="2389"/>
      <c r="AL41" s="2389"/>
      <c r="AM41" s="2389"/>
      <c r="AN41" s="2185" t="s">
        <v>475</v>
      </c>
      <c r="AO41" s="2185"/>
      <c r="AP41" s="2377" t="s">
        <v>434</v>
      </c>
      <c r="AQ41" s="2377"/>
      <c r="AR41" s="2378"/>
      <c r="AS41" s="2343"/>
      <c r="AT41" s="2346"/>
      <c r="AU41" s="2185"/>
    </row>
    <row customHeight="1" ht="14.25">
      <c r="Q42" s="445"/>
      <c r="R42" s="530"/>
      <c r="S42" s="2338"/>
      <c r="T42" s="2275"/>
      <c r="U42" s="1186"/>
      <c r="V42" s="2251"/>
      <c r="W42" s="2252"/>
      <c r="X42" s="2360"/>
      <c r="Y42" s="2379"/>
      <c r="Z42" s="2380"/>
      <c r="AA42" s="2403"/>
      <c r="AB42" s="2388"/>
      <c r="AC42" s="2389"/>
      <c r="AD42" s="2389"/>
      <c r="AE42" s="2401"/>
      <c r="AF42" s="2389"/>
      <c r="AG42" s="2389"/>
      <c r="AH42" s="2389"/>
      <c r="AI42" s="2401"/>
      <c r="AJ42" s="2388"/>
      <c r="AK42" s="2389"/>
      <c r="AL42" s="2389"/>
      <c r="AM42" s="2389"/>
      <c r="AN42" s="2405"/>
      <c r="AO42" s="2405"/>
      <c r="AP42" s="2379"/>
      <c r="AQ42" s="2379"/>
      <c r="AR42" s="2380"/>
      <c r="AS42" s="2343"/>
      <c r="AT42" s="2346"/>
      <c r="AU42" s="2185"/>
    </row>
    <row customHeight="1" ht="14.25">
      <c r="A43" s="1529"/>
      <c r="B43" s="1529" t="s">
        <v>132</v>
      </c>
      <c r="C43" s="1529" t="s">
        <v>133</v>
      </c>
      <c r="D43" s="1529" t="s">
        <v>134</v>
      </c>
      <c r="E43" s="1523" t="s">
        <v>435</v>
      </c>
      <c r="F43" s="1523" t="s">
        <v>436</v>
      </c>
      <c r="G43" s="1523" t="s">
        <v>437</v>
      </c>
      <c r="H43" s="1523" t="s">
        <v>438</v>
      </c>
      <c r="I43" s="1523" t="s">
        <v>439</v>
      </c>
      <c r="J43" s="1523" t="s">
        <v>440</v>
      </c>
      <c r="K43" s="1523" t="s">
        <v>441</v>
      </c>
      <c r="L43" s="1523" t="s">
        <v>416</v>
      </c>
      <c r="Q43" s="445"/>
      <c r="R43" s="530"/>
      <c r="S43" s="2338"/>
      <c r="T43" s="2275"/>
      <c r="U43" s="456"/>
      <c r="V43" s="1489" t="s">
        <v>476</v>
      </c>
      <c r="W43" s="1489" t="s">
        <v>477</v>
      </c>
      <c r="X43" s="1497" t="s">
        <v>444</v>
      </c>
      <c r="Y43" s="2334" t="s">
        <v>445</v>
      </c>
      <c r="Z43" s="2335"/>
      <c r="AA43" s="2404"/>
      <c r="AB43" s="2390"/>
      <c r="AC43" s="2391"/>
      <c r="AD43" s="2391"/>
      <c r="AE43" s="2392"/>
      <c r="AF43" s="2391"/>
      <c r="AG43" s="2391"/>
      <c r="AH43" s="2391"/>
      <c r="AI43" s="2392"/>
      <c r="AJ43" s="2390"/>
      <c r="AK43" s="2391"/>
      <c r="AL43" s="2391"/>
      <c r="AM43" s="2392"/>
      <c r="AN43" s="2020" t="s">
        <v>476</v>
      </c>
      <c r="AO43" s="2020" t="s">
        <v>477</v>
      </c>
      <c r="AP43" s="1497" t="s">
        <v>444</v>
      </c>
      <c r="AQ43" s="2334" t="s">
        <v>445</v>
      </c>
      <c r="AR43" s="2335"/>
      <c r="AS43" s="2344"/>
      <c r="AT43" s="2347"/>
      <c r="AU43" s="2185"/>
    </row>
    <row s="8552" customFormat="1" customHeight="1" ht="11.25" hidden="1">
      <c r="A44" s="1529"/>
      <c r="B44" s="1529"/>
      <c r="C44" s="1529"/>
      <c r="D44" s="1529"/>
      <c r="E44" s="1529"/>
      <c r="F44" s="1529"/>
      <c r="G44" s="1529"/>
      <c r="H44" s="1529"/>
      <c r="I44" s="1529"/>
      <c r="J44" s="1529"/>
      <c r="K44" s="1529"/>
      <c r="L44" s="1523"/>
      <c r="M44" s="1521"/>
      <c r="N44" s="1521"/>
      <c r="O44" s="1521"/>
      <c r="P44" s="664"/>
      <c r="Q44" s="1412"/>
      <c r="R44" s="1412">
        <v>1</v>
      </c>
      <c r="S44" s="1436" t="s">
        <v>106</v>
      </c>
      <c r="T44" s="1413" t="s">
        <v>107</v>
      </c>
      <c r="U44" s="1403" t="str">
        <f>OFFSET(U44,0,-1)</f>
        <v>2</v>
      </c>
      <c r="V44" s="1494">
        <f>OFFSET(V44,0,-1)+1</f>
        <v>3</v>
      </c>
      <c r="W44" s="1494">
        <f>OFFSET(W44,0,-1)+1</f>
        <v>4</v>
      </c>
      <c r="X44" s="1494">
        <f>OFFSET(X44,0,-1)+1</f>
        <v>5</v>
      </c>
      <c r="Y44" s="2336">
        <f>OFFSET(Y44,0,-1)+1</f>
        <v>6</v>
      </c>
      <c r="Z44" s="2336"/>
      <c r="AA44" s="1494">
        <f>OFFSET(AA44,0,-2)+1</f>
        <v>7</v>
      </c>
      <c r="AB44" s="1500">
        <f>OFFSET(AB44,0,-1)+1</f>
        <v>8</v>
      </c>
      <c r="AC44" s="1500"/>
      <c r="AD44" s="1500"/>
      <c r="AE44" s="1500"/>
      <c r="AF44" s="1494"/>
      <c r="AG44" s="1494"/>
      <c r="AH44" s="1494"/>
      <c r="AI44" s="1494"/>
      <c r="AJ44" s="1494"/>
      <c r="AK44" s="1494"/>
      <c r="AL44" s="1494"/>
      <c r="AM44" s="1494"/>
      <c r="AN44" s="1494">
        <f>OFFSET(AN44,0,-1)+1</f>
        <v>1</v>
      </c>
      <c r="AO44" s="1494">
        <f>OFFSET(AO44,0,-1)+1</f>
        <v>2</v>
      </c>
      <c r="AP44" s="1494">
        <f>OFFSET(AP44,0,-1)+1</f>
        <v>3</v>
      </c>
      <c r="AQ44" s="2336">
        <f>OFFSET(AQ44,0,-1)+1</f>
        <v>4</v>
      </c>
      <c r="AR44" s="2336"/>
      <c r="AS44" s="1494">
        <f>OFFSET(AS44,0,-2)+1</f>
        <v>5</v>
      </c>
      <c r="AT44" s="1403">
        <f>OFFSET(AT44,0,-1)</f>
        <v>5</v>
      </c>
      <c r="AU44" s="1494">
        <f>OFFSET(AU44,0,-1)+1</f>
        <v>6</v>
      </c>
      <c r="AV44" s="665"/>
      <c r="AW44" s="665"/>
      <c r="AX44" s="665"/>
      <c r="AY44" s="665"/>
      <c r="AZ44" s="665"/>
    </row>
    <row customHeight="1" ht="102">
      <c r="A45" s="1522" t="s">
        <v>195</v>
      </c>
      <c r="B45" s="1522"/>
      <c r="C45" s="1522"/>
      <c r="D45" s="1522"/>
      <c r="E45" s="2320">
        <v>1</v>
      </c>
      <c r="F45" s="1522"/>
      <c r="G45" s="1522"/>
      <c r="H45" s="1522"/>
      <c r="I45" s="1522"/>
      <c r="J45" s="1522"/>
      <c r="K45" s="1522"/>
      <c r="L45" s="1523"/>
      <c r="M45" s="1524"/>
      <c r="N45" s="1524"/>
      <c r="O45" s="1524"/>
      <c r="P45" s="1568"/>
      <c r="Q45" s="1027"/>
      <c r="R45" s="509"/>
      <c r="S45" s="1495">
        <f>INDEX(PT_DIFFERENTIATION_NUM_NTAR,MATCH(A45,PT_DIFFERENTIATION_NTAR_ID,0))</f>
        <v>0</v>
      </c>
      <c r="T45" s="452" t="s">
        <v>120</v>
      </c>
      <c r="U45" s="454"/>
      <c r="V45" s="2315"/>
      <c r="W45" s="2315"/>
      <c r="X45" s="2315"/>
      <c r="Y45" s="2315"/>
      <c r="Z45" s="2315"/>
      <c r="AA45" s="2316"/>
      <c r="AB45" s="2314" t="str">
        <f>INDEX(PT_DIFFERENTIATION_NTAR,MATCH(A45,PT_DIFFERENTIATION_NTAR_ID,0))</f>
        <v/>
      </c>
      <c r="AC45" s="2315"/>
      <c r="AD45" s="2315"/>
      <c r="AE45" s="2315"/>
      <c r="AF45" s="2315"/>
      <c r="AG45" s="2315"/>
      <c r="AH45" s="2315"/>
      <c r="AI45" s="2315"/>
      <c r="AJ45" s="2315"/>
      <c r="AK45" s="2315"/>
      <c r="AL45" s="2315"/>
      <c r="AM45" s="2315"/>
      <c r="AN45" s="2315"/>
      <c r="AO45" s="2315"/>
      <c r="AP45" s="2315"/>
      <c r="AQ45" s="2315"/>
      <c r="AR45" s="2315"/>
      <c r="AS45" s="2315"/>
      <c r="AT45" s="2316"/>
      <c r="AU45" s="1416"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W45" s="654"/>
      <c r="AX45" s="654" t="str">
        <f>IF(T45="","",T45)</f>
        <v>Наименование тарифа</v>
      </c>
      <c r="AY45" s="654"/>
      <c r="AZ45" s="654"/>
    </row>
    <row customHeight="1" ht="21">
      <c r="A46" s="1522" t="s">
        <v>195</v>
      </c>
      <c r="B46" s="1522" t="s">
        <v>196</v>
      </c>
      <c r="C46" s="1522"/>
      <c r="D46" s="1522"/>
      <c r="E46" s="2321"/>
      <c r="F46" s="2320">
        <v>1</v>
      </c>
      <c r="G46" s="1522"/>
      <c r="H46" s="1522"/>
      <c r="I46" s="1522"/>
      <c r="J46" s="1522"/>
      <c r="K46" s="1522"/>
      <c r="L46" s="1523"/>
      <c r="M46" s="1524"/>
      <c r="N46" s="1524"/>
      <c r="O46" s="1524"/>
      <c r="P46" s="1569"/>
      <c r="Q46" s="1570"/>
      <c r="R46" s="507"/>
      <c r="S46" s="1495" t="str">
        <f>INDEX(PT_DIFFERENTIATION_NUM_TER,MATCH(B46,PT_DIFFERENTIATION_TER_ID,0))</f>
        <v>.</v>
      </c>
      <c r="T46" s="462" t="s">
        <v>397</v>
      </c>
      <c r="U46" s="454"/>
      <c r="V46" s="2315"/>
      <c r="W46" s="2315"/>
      <c r="X46" s="2315"/>
      <c r="Y46" s="2315"/>
      <c r="Z46" s="2315"/>
      <c r="AA46" s="2316"/>
      <c r="AB46" s="2314" t="str">
        <f>INDEX(PT_DIFFERENTIATION_TER,MATCH(B46,PT_DIFFERENTIATION_TER_ID,0))</f>
        <v/>
      </c>
      <c r="AC46" s="2315"/>
      <c r="AD46" s="2315"/>
      <c r="AE46" s="2315"/>
      <c r="AF46" s="2315"/>
      <c r="AG46" s="2315"/>
      <c r="AH46" s="2315"/>
      <c r="AI46" s="2315"/>
      <c r="AJ46" s="2315"/>
      <c r="AK46" s="2315"/>
      <c r="AL46" s="2315"/>
      <c r="AM46" s="2315"/>
      <c r="AN46" s="2315"/>
      <c r="AO46" s="2315"/>
      <c r="AP46" s="2315"/>
      <c r="AQ46" s="2315"/>
      <c r="AR46" s="2315"/>
      <c r="AS46" s="2315"/>
      <c r="AT46" s="2316"/>
      <c r="AU46" s="1416" t="s">
        <v>398</v>
      </c>
      <c r="AW46" s="654"/>
      <c r="AX46" s="654" t="str">
        <f>IF(T46="","",T46)</f>
        <v>Территория действия тарифа</v>
      </c>
      <c r="AY46" s="654"/>
      <c r="AZ46" s="654"/>
    </row>
    <row customHeight="1" ht="23.25">
      <c r="A47" s="1522" t="s">
        <v>195</v>
      </c>
      <c r="B47" s="1522" t="s">
        <v>196</v>
      </c>
      <c r="C47" s="1522" t="s">
        <v>197</v>
      </c>
      <c r="D47" s="1522"/>
      <c r="E47" s="2321"/>
      <c r="F47" s="2321"/>
      <c r="G47" s="2320">
        <v>1</v>
      </c>
      <c r="H47" s="1522"/>
      <c r="I47" s="1522"/>
      <c r="J47" s="1522"/>
      <c r="K47" s="1522"/>
      <c r="L47" s="1523"/>
      <c r="M47" s="1524"/>
      <c r="N47" s="1524"/>
      <c r="O47" s="1524"/>
      <c r="P47" s="1571"/>
      <c r="Q47" s="1570"/>
      <c r="R47" s="507"/>
      <c r="S47" s="1495" t="str">
        <f>INDEX(PT_DIFFERENTIATION_NUM_CS,MATCH(C47,PT_DIFFERENTIATION_CS_ID,0))</f>
        <v>..</v>
      </c>
      <c r="T47" s="463" t="s">
        <v>399</v>
      </c>
      <c r="U47" s="454"/>
      <c r="V47" s="2315"/>
      <c r="W47" s="2315"/>
      <c r="X47" s="2315"/>
      <c r="Y47" s="2315"/>
      <c r="Z47" s="2315"/>
      <c r="AA47" s="2316"/>
      <c r="AB47" s="2314" t="str">
        <f>INDEX(PT_DIFFERENTIATION_CS,MATCH(C47,PT_DIFFERENTIATION_CS_ID,0))</f>
        <v/>
      </c>
      <c r="AC47" s="2315"/>
      <c r="AD47" s="2315"/>
      <c r="AE47" s="2315"/>
      <c r="AF47" s="2315"/>
      <c r="AG47" s="2315"/>
      <c r="AH47" s="2315"/>
      <c r="AI47" s="2315"/>
      <c r="AJ47" s="2315"/>
      <c r="AK47" s="2315"/>
      <c r="AL47" s="2315"/>
      <c r="AM47" s="2315"/>
      <c r="AN47" s="2315"/>
      <c r="AO47" s="2315"/>
      <c r="AP47" s="2315"/>
      <c r="AQ47" s="2315"/>
      <c r="AR47" s="2315"/>
      <c r="AS47" s="2315"/>
      <c r="AT47" s="2316"/>
      <c r="AU47" s="1416" t="s">
        <v>400</v>
      </c>
      <c r="AW47" s="654"/>
      <c r="AX47" s="654" t="str">
        <f>IF(T47="","",T47)</f>
        <v>Наименование системы теплоснабжения </v>
      </c>
      <c r="AY47" s="654"/>
      <c r="AZ47" s="654"/>
    </row>
    <row customHeight="1" ht="21">
      <c r="A48" s="1522" t="s">
        <v>195</v>
      </c>
      <c r="B48" s="1522" t="s">
        <v>196</v>
      </c>
      <c r="C48" s="1522" t="s">
        <v>197</v>
      </c>
      <c r="D48" s="1522" t="s">
        <v>198</v>
      </c>
      <c r="E48" s="2321"/>
      <c r="F48" s="2321"/>
      <c r="G48" s="2321"/>
      <c r="H48" s="2320">
        <v>1</v>
      </c>
      <c r="I48" s="1522"/>
      <c r="J48" s="1522"/>
      <c r="K48" s="1522"/>
      <c r="L48" s="1523"/>
      <c r="M48" s="1524"/>
      <c r="N48" s="1524"/>
      <c r="O48" s="1524"/>
      <c r="P48" s="1571"/>
      <c r="Q48" s="1570"/>
      <c r="R48" s="507"/>
      <c r="S48" s="1495" t="str">
        <f>INDEX(PT_DIFFERENTIATION_NUM_IST_TE,MATCH(D48,PT_DIFFERENTIATION_IST_TE_ID,0))</f>
        <v>...</v>
      </c>
      <c r="T48" s="464" t="s">
        <v>401</v>
      </c>
      <c r="U48" s="454"/>
      <c r="V48" s="2315"/>
      <c r="W48" s="2315"/>
      <c r="X48" s="2315"/>
      <c r="Y48" s="2315"/>
      <c r="Z48" s="2315"/>
      <c r="AA48" s="2316"/>
      <c r="AB48" s="2314" t="str">
        <f>INDEX(PT_DIFFERENTIATION_IST_TE,MATCH(D48,PT_DIFFERENTIATION_IST_TE_ID,0))</f>
        <v/>
      </c>
      <c r="AC48" s="2315"/>
      <c r="AD48" s="2315"/>
      <c r="AE48" s="2315"/>
      <c r="AF48" s="2315"/>
      <c r="AG48" s="2315"/>
      <c r="AH48" s="2315"/>
      <c r="AI48" s="2315"/>
      <c r="AJ48" s="2315"/>
      <c r="AK48" s="2315"/>
      <c r="AL48" s="2315"/>
      <c r="AM48" s="2315"/>
      <c r="AN48" s="2315"/>
      <c r="AO48" s="2315"/>
      <c r="AP48" s="2315"/>
      <c r="AQ48" s="2315"/>
      <c r="AR48" s="2315"/>
      <c r="AS48" s="2315"/>
      <c r="AT48" s="2316"/>
      <c r="AU48" s="1416" t="s">
        <v>402</v>
      </c>
      <c r="AW48" s="654"/>
      <c r="AX48" s="654" t="str">
        <f>IF(T48="","",T48)</f>
        <v>Источник тепловой энергии  </v>
      </c>
      <c r="AY48" s="654"/>
      <c r="AZ48" s="654"/>
    </row>
    <row s="8794" customFormat="1" customHeight="1" ht="0">
      <c r="A49" s="1502" t="s">
        <v>195</v>
      </c>
      <c r="B49" s="1502" t="s">
        <v>196</v>
      </c>
      <c r="C49" s="1502" t="s">
        <v>197</v>
      </c>
      <c r="D49" s="1502" t="s">
        <v>198</v>
      </c>
      <c r="E49" s="2321"/>
      <c r="F49" s="2321"/>
      <c r="G49" s="2321"/>
      <c r="H49" s="2321"/>
      <c r="I49" s="2322" t="str">
        <f>S48&amp;".1"</f>
        <v>....1</v>
      </c>
      <c r="J49" s="1502"/>
      <c r="K49" s="1502"/>
      <c r="L49" s="1505" t="s">
        <v>403</v>
      </c>
      <c r="M49" s="664"/>
      <c r="N49" s="664"/>
      <c r="O49" s="664"/>
      <c r="P49" s="2324">
        <v>1</v>
      </c>
      <c r="Q49" s="1490"/>
      <c r="R49" s="510"/>
      <c r="S49" s="1197"/>
      <c r="T49" s="1542"/>
      <c r="U49" s="1543"/>
      <c r="V49" s="2363"/>
      <c r="W49" s="2363"/>
      <c r="X49" s="2363"/>
      <c r="Y49" s="2363"/>
      <c r="Z49" s="2363"/>
      <c r="AA49" s="2364"/>
      <c r="AB49" s="2362"/>
      <c r="AC49" s="2363"/>
      <c r="AD49" s="2363"/>
      <c r="AE49" s="2363"/>
      <c r="AF49" s="2363"/>
      <c r="AG49" s="2363"/>
      <c r="AH49" s="2363"/>
      <c r="AI49" s="2363"/>
      <c r="AJ49" s="2363"/>
      <c r="AK49" s="2363"/>
      <c r="AL49" s="2363"/>
      <c r="AM49" s="2363"/>
      <c r="AN49" s="2363"/>
      <c r="AO49" s="2363"/>
      <c r="AP49" s="2363"/>
      <c r="AQ49" s="2363"/>
      <c r="AR49" s="2363"/>
      <c r="AS49" s="2363"/>
      <c r="AT49" s="2364"/>
      <c r="AU49" s="1544"/>
      <c r="AW49" s="654"/>
      <c r="AX49" s="654" t="str">
        <f>IF(T49="","",T49)</f>
        <v/>
      </c>
      <c r="AY49" s="654"/>
      <c r="AZ49" s="654"/>
    </row>
    <row s="8794" customFormat="1" customHeight="1" ht="0">
      <c r="A50" s="1502" t="s">
        <v>195</v>
      </c>
      <c r="B50" s="1502" t="s">
        <v>196</v>
      </c>
      <c r="C50" s="1502" t="s">
        <v>197</v>
      </c>
      <c r="D50" s="1502" t="s">
        <v>198</v>
      </c>
      <c r="E50" s="2321"/>
      <c r="F50" s="2321"/>
      <c r="G50" s="2321"/>
      <c r="H50" s="2321"/>
      <c r="I50" s="2323"/>
      <c r="J50" s="2322" t="str">
        <f>S48&amp;".1"</f>
        <v>....1</v>
      </c>
      <c r="K50" s="1502"/>
      <c r="L50" s="1505"/>
      <c r="M50" s="664"/>
      <c r="N50" s="664"/>
      <c r="O50" s="664"/>
      <c r="P50" s="2324"/>
      <c r="Q50" s="2324">
        <v>1</v>
      </c>
      <c r="R50" s="511"/>
      <c r="S50" s="1197"/>
      <c r="T50" s="1558"/>
      <c r="U50" s="1543"/>
      <c r="V50" s="2363"/>
      <c r="W50" s="2363"/>
      <c r="X50" s="2363"/>
      <c r="Y50" s="2363"/>
      <c r="Z50" s="2363"/>
      <c r="AA50" s="2364"/>
      <c r="AB50" s="2362"/>
      <c r="AC50" s="2363"/>
      <c r="AD50" s="2363"/>
      <c r="AE50" s="2363"/>
      <c r="AF50" s="2363"/>
      <c r="AG50" s="2363"/>
      <c r="AH50" s="2363"/>
      <c r="AI50" s="2363"/>
      <c r="AJ50" s="2363"/>
      <c r="AK50" s="2363"/>
      <c r="AL50" s="2363"/>
      <c r="AM50" s="2363"/>
      <c r="AN50" s="2363"/>
      <c r="AO50" s="2363"/>
      <c r="AP50" s="2363"/>
      <c r="AQ50" s="2363"/>
      <c r="AR50" s="2363"/>
      <c r="AS50" s="2363"/>
      <c r="AT50" s="2364"/>
      <c r="AU50" s="1544"/>
      <c r="AW50" s="654"/>
      <c r="AX50" s="654" t="str">
        <f>IF(T50="","",T50)</f>
        <v/>
      </c>
      <c r="AY50" s="654"/>
      <c r="AZ50" s="654"/>
    </row>
    <row customHeight="1" ht="21">
      <c r="A51" s="1522" t="s">
        <v>195</v>
      </c>
      <c r="B51" s="1522" t="s">
        <v>196</v>
      </c>
      <c r="C51" s="1522" t="s">
        <v>197</v>
      </c>
      <c r="D51" s="1522" t="s">
        <v>198</v>
      </c>
      <c r="E51" s="2321"/>
      <c r="F51" s="2321"/>
      <c r="G51" s="2321"/>
      <c r="H51" s="2321"/>
      <c r="I51" s="2323"/>
      <c r="J51" s="2323"/>
      <c r="K51" s="2322" t="str">
        <f>S48&amp;".1"</f>
        <v>....1</v>
      </c>
      <c r="L51" s="1523"/>
      <c r="P51" s="2324"/>
      <c r="Q51" s="2324"/>
      <c r="R51" s="511">
        <v>1</v>
      </c>
      <c r="S51" s="2397" t="str">
        <f>$K51</f>
        <v>....1</v>
      </c>
      <c r="T51" s="2394"/>
      <c r="U51" s="454"/>
      <c r="V51" s="905"/>
      <c r="W51" s="1415"/>
      <c r="X51" s="1893"/>
      <c r="Y51" s="1618" t="s">
        <v>64</v>
      </c>
      <c r="Z51" s="1893"/>
      <c r="AA51" s="1618" t="s">
        <v>64</v>
      </c>
      <c r="AB51" s="2195" t="s">
        <v>54</v>
      </c>
      <c r="AC51" s="2393"/>
      <c r="AD51" s="2271">
        <v>1</v>
      </c>
      <c r="AE51" s="2385" t="s">
        <v>24</v>
      </c>
      <c r="AF51" s="2195" t="s">
        <v>54</v>
      </c>
      <c r="AG51" s="2393"/>
      <c r="AH51" s="2271">
        <v>1</v>
      </c>
      <c r="AI51" s="2385" t="s">
        <v>24</v>
      </c>
      <c r="AJ51" s="2195" t="s">
        <v>54</v>
      </c>
      <c r="AK51" s="465"/>
      <c r="AL51" s="1496">
        <v>1</v>
      </c>
      <c r="AM51" s="1561"/>
      <c r="AN51" s="905"/>
      <c r="AO51" s="1415"/>
      <c r="AP51" s="1893"/>
      <c r="AQ51" s="1618" t="s">
        <v>64</v>
      </c>
      <c r="AR51" s="1893"/>
      <c r="AS51" s="1618" t="s">
        <v>64</v>
      </c>
      <c r="AT51" s="1507"/>
      <c r="AU51" s="2350" t="s">
        <v>478</v>
      </c>
      <c r="AV51" s="665">
        <f>STRCHECKDATE(V54:AT54)</f>
      </c>
      <c r="AW51" s="654"/>
      <c r="AX51" s="654" t="str">
        <f>IF(T51="","",T51)</f>
        <v/>
      </c>
      <c r="AY51" s="654"/>
      <c r="AZ51" s="654"/>
    </row>
    <row customHeight="1" ht="11.25">
      <c r="A52" s="1522" t="s">
        <v>195</v>
      </c>
      <c r="B52" s="1522"/>
      <c r="C52" s="1522"/>
      <c r="D52" s="1522"/>
      <c r="E52" s="2321"/>
      <c r="F52" s="2321"/>
      <c r="G52" s="2321"/>
      <c r="H52" s="2321"/>
      <c r="I52" s="2323"/>
      <c r="J52" s="2323"/>
      <c r="K52" s="2322"/>
      <c r="L52" s="1523"/>
      <c r="P52" s="2324"/>
      <c r="Q52" s="2324"/>
      <c r="R52" s="511"/>
      <c r="S52" s="2398"/>
      <c r="T52" s="2395"/>
      <c r="U52" s="454"/>
      <c r="V52" s="1552"/>
      <c r="W52" s="1655"/>
      <c r="X52" s="1552"/>
      <c r="Y52" s="1552"/>
      <c r="Z52" s="1552"/>
      <c r="AA52" s="1552"/>
      <c r="AB52" s="2195"/>
      <c r="AC52" s="2393"/>
      <c r="AD52" s="2271"/>
      <c r="AE52" s="2385"/>
      <c r="AF52" s="2195"/>
      <c r="AG52" s="2393"/>
      <c r="AH52" s="2271"/>
      <c r="AI52" s="2385"/>
      <c r="AJ52" s="2195"/>
      <c r="AK52" s="470"/>
      <c r="AL52" s="570"/>
      <c r="AM52" s="569" t="s">
        <v>462</v>
      </c>
      <c r="AN52" s="1552"/>
      <c r="AO52" s="1655"/>
      <c r="AP52" s="1552"/>
      <c r="AQ52" s="1552"/>
      <c r="AR52" s="1552"/>
      <c r="AS52" s="1552"/>
      <c r="AT52" s="1549"/>
      <c r="AU52" s="2351"/>
      <c r="AW52" s="654"/>
      <c r="AX52" s="654"/>
      <c r="AY52" s="654"/>
      <c r="AZ52" s="654"/>
    </row>
    <row customHeight="1" ht="11.25">
      <c r="A53" s="1522" t="s">
        <v>195</v>
      </c>
      <c r="B53" s="1522"/>
      <c r="C53" s="1522"/>
      <c r="D53" s="1522"/>
      <c r="E53" s="2321"/>
      <c r="F53" s="2321"/>
      <c r="G53" s="2321"/>
      <c r="H53" s="2321"/>
      <c r="I53" s="2323"/>
      <c r="J53" s="2323"/>
      <c r="K53" s="2322"/>
      <c r="L53" s="1523"/>
      <c r="P53" s="2324"/>
      <c r="Q53" s="2324"/>
      <c r="R53" s="511"/>
      <c r="S53" s="2398"/>
      <c r="T53" s="2395"/>
      <c r="U53" s="454"/>
      <c r="V53" s="1552"/>
      <c r="W53" s="1655"/>
      <c r="X53" s="1552"/>
      <c r="Y53" s="1552"/>
      <c r="Z53" s="1552"/>
      <c r="AA53" s="1552"/>
      <c r="AB53" s="2195"/>
      <c r="AC53" s="2393"/>
      <c r="AD53" s="2271"/>
      <c r="AE53" s="2385"/>
      <c r="AF53" s="2195"/>
      <c r="AG53" s="448"/>
      <c r="AH53" s="569"/>
      <c r="AI53" s="569" t="s">
        <v>463</v>
      </c>
      <c r="AJ53" s="1552"/>
      <c r="AK53" s="1552"/>
      <c r="AL53" s="1552"/>
      <c r="AM53" s="1552"/>
      <c r="AN53" s="1552"/>
      <c r="AO53" s="1655"/>
      <c r="AP53" s="1552"/>
      <c r="AQ53" s="1552"/>
      <c r="AR53" s="1552"/>
      <c r="AS53" s="1552"/>
      <c r="AT53" s="1549"/>
      <c r="AU53" s="2351"/>
      <c r="AW53" s="654"/>
      <c r="AX53" s="654"/>
      <c r="AY53" s="654"/>
      <c r="AZ53" s="654"/>
    </row>
    <row customHeight="1" ht="11.25">
      <c r="A54" s="1522" t="s">
        <v>195</v>
      </c>
      <c r="B54" s="1522" t="s">
        <v>196</v>
      </c>
      <c r="C54" s="1522" t="s">
        <v>197</v>
      </c>
      <c r="D54" s="1522" t="s">
        <v>198</v>
      </c>
      <c r="E54" s="2321"/>
      <c r="F54" s="2321"/>
      <c r="G54" s="2321"/>
      <c r="H54" s="2321"/>
      <c r="I54" s="2323"/>
      <c r="J54" s="2323"/>
      <c r="K54" s="2322"/>
      <c r="L54" s="1523"/>
      <c r="P54" s="2324"/>
      <c r="Q54" s="2324"/>
      <c r="R54" s="511"/>
      <c r="S54" s="2399"/>
      <c r="T54" s="2396"/>
      <c r="U54" s="454"/>
      <c r="V54" s="1552"/>
      <c r="W54" s="1553" t="str">
        <f>X51&amp;"-"&amp;Z51</f>
        <v>-</v>
      </c>
      <c r="X54" s="1552"/>
      <c r="Y54" s="1552"/>
      <c r="Z54" s="1552"/>
      <c r="AA54" s="1552"/>
      <c r="AB54" s="2195"/>
      <c r="AC54" s="466"/>
      <c r="AD54" s="468"/>
      <c r="AE54" s="569" t="s">
        <v>464</v>
      </c>
      <c r="AF54" s="1552"/>
      <c r="AG54" s="1552"/>
      <c r="AH54" s="1552"/>
      <c r="AI54" s="1552"/>
      <c r="AJ54" s="1552"/>
      <c r="AK54" s="1552"/>
      <c r="AL54" s="1552"/>
      <c r="AM54" s="1552"/>
      <c r="AN54" s="1552"/>
      <c r="AO54" s="1553" t="str">
        <f>AP51&amp;"-"&amp;AR51</f>
        <v>-</v>
      </c>
      <c r="AP54" s="1552"/>
      <c r="AQ54" s="1552"/>
      <c r="AR54" s="1552"/>
      <c r="AS54" s="1552"/>
      <c r="AT54" s="1508"/>
      <c r="AU54" s="2351"/>
      <c r="AW54" s="654"/>
      <c r="AX54" s="654" t="str">
        <f>IF(T54="","",T54)</f>
        <v/>
      </c>
      <c r="AY54" s="654"/>
      <c r="AZ54" s="654"/>
    </row>
    <row customHeight="1" ht="11.25">
      <c r="A55" s="1522" t="s">
        <v>195</v>
      </c>
      <c r="B55" s="1522" t="s">
        <v>196</v>
      </c>
      <c r="C55" s="1522" t="s">
        <v>197</v>
      </c>
      <c r="D55" s="1522" t="s">
        <v>198</v>
      </c>
      <c r="E55" s="2321"/>
      <c r="F55" s="2321"/>
      <c r="G55" s="2321"/>
      <c r="H55" s="2321"/>
      <c r="I55" s="2323"/>
      <c r="J55" s="2322"/>
      <c r="K55" s="1522"/>
      <c r="L55" s="1523"/>
      <c r="P55" s="2324"/>
      <c r="Q55" s="2324"/>
      <c r="R55" s="510"/>
      <c r="S55" s="1437"/>
      <c r="T55" s="441" t="s">
        <v>465</v>
      </c>
      <c r="U55" s="521"/>
      <c r="V55" s="521"/>
      <c r="W55" s="521"/>
      <c r="X55" s="521"/>
      <c r="Y55" s="521"/>
      <c r="Z55" s="521"/>
      <c r="AA55" s="478"/>
      <c r="AB55" s="1664"/>
      <c r="AC55" s="521"/>
      <c r="AD55" s="521"/>
      <c r="AE55" s="521"/>
      <c r="AF55" s="521"/>
      <c r="AG55" s="521"/>
      <c r="AH55" s="521"/>
      <c r="AI55" s="521"/>
      <c r="AJ55" s="521"/>
      <c r="AK55" s="521"/>
      <c r="AL55" s="521"/>
      <c r="AM55" s="521"/>
      <c r="AN55" s="521"/>
      <c r="AO55" s="521"/>
      <c r="AP55" s="521"/>
      <c r="AQ55" s="521"/>
      <c r="AR55" s="521"/>
      <c r="AS55" s="521"/>
      <c r="AT55" s="478"/>
      <c r="AU55" s="2352"/>
      <c r="AW55" s="654"/>
      <c r="AX55" s="654" t="str">
        <f>IF(T55="","",T55)</f>
        <v>Добавить строку</v>
      </c>
      <c r="AY55" s="654"/>
      <c r="AZ55" s="654"/>
    </row>
    <row s="8794" customFormat="1" customHeight="1" ht="5.25">
      <c r="A56" s="1502" t="s">
        <v>195</v>
      </c>
      <c r="B56" s="1502" t="s">
        <v>196</v>
      </c>
      <c r="C56" s="1502" t="s">
        <v>197</v>
      </c>
      <c r="D56" s="1502" t="s">
        <v>198</v>
      </c>
      <c r="E56" s="2321"/>
      <c r="F56" s="2321"/>
      <c r="G56" s="2321"/>
      <c r="H56" s="2321"/>
      <c r="I56" s="2322"/>
      <c r="J56" s="1502"/>
      <c r="K56" s="1502"/>
      <c r="L56" s="1505"/>
      <c r="M56" s="664"/>
      <c r="N56" s="664"/>
      <c r="O56" s="664"/>
      <c r="P56" s="2324"/>
      <c r="Q56" s="1490"/>
      <c r="R56" s="510"/>
      <c r="S56" s="1545"/>
      <c r="T56" s="1546" t="s">
        <v>412</v>
      </c>
      <c r="U56" s="1547"/>
      <c r="V56" s="1547"/>
      <c r="W56" s="1547"/>
      <c r="X56" s="1547"/>
      <c r="Y56" s="1547"/>
      <c r="Z56" s="1547"/>
      <c r="AA56" s="1547"/>
      <c r="AB56" s="1547"/>
      <c r="AC56" s="1547"/>
      <c r="AD56" s="1547"/>
      <c r="AE56" s="1547"/>
      <c r="AF56" s="1547"/>
      <c r="AG56" s="1547"/>
      <c r="AH56" s="1547"/>
      <c r="AI56" s="1547"/>
      <c r="AJ56" s="1547"/>
      <c r="AK56" s="1547"/>
      <c r="AL56" s="1547"/>
      <c r="AM56" s="1547"/>
      <c r="AN56" s="1547"/>
      <c r="AO56" s="1547"/>
      <c r="AP56" s="1547"/>
      <c r="AQ56" s="1547"/>
      <c r="AR56" s="1547"/>
      <c r="AS56" s="1547"/>
      <c r="AT56" s="1547"/>
      <c r="AU56" s="1548"/>
      <c r="AW56" s="654"/>
      <c r="AX56" s="654" t="str">
        <f>IF(T56="","",T56)</f>
        <v>Добавить группу потребителей</v>
      </c>
      <c r="AY56" s="654"/>
      <c r="AZ56" s="654"/>
    </row>
    <row s="8552" customFormat="1" customHeight="1" ht="5.25">
      <c r="A57" s="1502" t="s">
        <v>195</v>
      </c>
      <c r="B57" s="1502" t="s">
        <v>196</v>
      </c>
      <c r="C57" s="1502" t="s">
        <v>197</v>
      </c>
      <c r="D57" s="1502" t="s">
        <v>198</v>
      </c>
      <c r="E57" s="2321"/>
      <c r="F57" s="2321"/>
      <c r="G57" s="2321"/>
      <c r="H57" s="2320"/>
      <c r="I57" s="1502"/>
      <c r="J57" s="1502"/>
      <c r="K57" s="1502"/>
      <c r="L57" s="1505"/>
      <c r="M57" s="1474"/>
      <c r="N57" s="1474"/>
      <c r="O57" s="672"/>
      <c r="P57" s="534"/>
      <c r="Q57" s="1503"/>
      <c r="R57" s="1559"/>
      <c r="S57" s="1545"/>
      <c r="T57" s="1546"/>
      <c r="U57" s="1547"/>
      <c r="V57" s="1547"/>
      <c r="W57" s="1547"/>
      <c r="X57" s="1547"/>
      <c r="Y57" s="1547"/>
      <c r="Z57" s="1547"/>
      <c r="AA57" s="1547"/>
      <c r="AB57" s="1547"/>
      <c r="AC57" s="1547"/>
      <c r="AD57" s="1547"/>
      <c r="AE57" s="1547"/>
      <c r="AF57" s="1547"/>
      <c r="AG57" s="1547"/>
      <c r="AH57" s="1547"/>
      <c r="AI57" s="1547"/>
      <c r="AJ57" s="1547"/>
      <c r="AK57" s="1547"/>
      <c r="AL57" s="1547"/>
      <c r="AM57" s="1547"/>
      <c r="AN57" s="1547"/>
      <c r="AO57" s="1547"/>
      <c r="AP57" s="1547"/>
      <c r="AQ57" s="1547"/>
      <c r="AR57" s="1547"/>
      <c r="AS57" s="1547"/>
      <c r="AT57" s="1547"/>
      <c r="AU57" s="1548"/>
      <c r="AV57" s="665"/>
      <c r="AW57" s="654"/>
      <c r="AX57" s="654" t="str">
        <f>IF(T57="","",T57)</f>
        <v/>
      </c>
      <c r="AY57" s="654"/>
      <c r="AZ57" s="654"/>
    </row>
    <row s="8702" customFormat="1" customHeight="1" ht="5.25">
      <c r="A58" s="1502" t="s">
        <v>195</v>
      </c>
      <c r="B58" s="1502" t="s">
        <v>196</v>
      </c>
      <c r="C58" s="1502" t="s">
        <v>197</v>
      </c>
      <c r="D58" s="1473"/>
      <c r="E58" s="2321"/>
      <c r="F58" s="2321"/>
      <c r="G58" s="2320"/>
      <c r="H58" s="1473"/>
      <c r="I58" s="1473"/>
      <c r="J58" s="1473"/>
      <c r="K58" s="1473"/>
      <c r="L58" s="1498"/>
      <c r="M58" s="1474"/>
      <c r="N58" s="1474"/>
      <c r="P58" s="1475"/>
      <c r="Q58" s="1476"/>
      <c r="R58" s="1475"/>
      <c r="S58" s="1481"/>
      <c r="T58" s="1484" t="s">
        <v>414</v>
      </c>
      <c r="U58" s="1483"/>
      <c r="V58" s="1483"/>
      <c r="W58" s="1483"/>
      <c r="X58" s="1483"/>
      <c r="Y58" s="1483"/>
      <c r="Z58" s="1483"/>
      <c r="AA58" s="1483"/>
      <c r="AB58" s="1483"/>
      <c r="AC58" s="1483"/>
      <c r="AD58" s="1483"/>
      <c r="AE58" s="1483"/>
      <c r="AF58" s="1483"/>
      <c r="AG58" s="1483"/>
      <c r="AH58" s="1483"/>
      <c r="AI58" s="1483"/>
      <c r="AJ58" s="1483"/>
      <c r="AK58" s="1483"/>
      <c r="AL58" s="1483"/>
      <c r="AM58" s="1483"/>
      <c r="AN58" s="1483"/>
      <c r="AO58" s="1483"/>
      <c r="AP58" s="1483"/>
      <c r="AQ58" s="1483"/>
      <c r="AR58" s="1483"/>
      <c r="AS58" s="1483"/>
      <c r="AT58" s="1483"/>
      <c r="AU58" s="1483"/>
      <c r="AW58" s="943"/>
      <c r="AX58" s="943" t="str">
        <f>IF(T58="","",T58)</f>
        <v>Добавить источник для дифференциации</v>
      </c>
      <c r="AY58" s="943"/>
      <c r="AZ58" s="943"/>
    </row>
    <row s="8702" customFormat="1" customHeight="1" ht="5.25">
      <c r="A59" s="1502" t="s">
        <v>195</v>
      </c>
      <c r="B59" s="1502" t="s">
        <v>196</v>
      </c>
      <c r="C59" s="1473"/>
      <c r="D59" s="1473"/>
      <c r="E59" s="2321"/>
      <c r="F59" s="2320"/>
      <c r="G59" s="1473"/>
      <c r="H59" s="1473"/>
      <c r="I59" s="1473"/>
      <c r="J59" s="1473"/>
      <c r="K59" s="1473"/>
      <c r="L59" s="1498"/>
      <c r="M59" s="1480"/>
      <c r="N59" s="1480"/>
      <c r="P59" s="1475"/>
      <c r="Q59" s="1476"/>
      <c r="R59" s="1475"/>
      <c r="S59" s="1481"/>
      <c r="T59" s="1484" t="s">
        <v>251</v>
      </c>
      <c r="U59" s="1483"/>
      <c r="V59" s="1483"/>
      <c r="W59" s="1483"/>
      <c r="X59" s="1483"/>
      <c r="Y59" s="1483"/>
      <c r="Z59" s="1483"/>
      <c r="AA59" s="1483"/>
      <c r="AB59" s="1483"/>
      <c r="AC59" s="1483"/>
      <c r="AD59" s="1483"/>
      <c r="AE59" s="1483"/>
      <c r="AF59" s="1483"/>
      <c r="AG59" s="1483"/>
      <c r="AH59" s="1483"/>
      <c r="AI59" s="1483"/>
      <c r="AJ59" s="1483"/>
      <c r="AK59" s="1483"/>
      <c r="AL59" s="1483"/>
      <c r="AM59" s="1483"/>
      <c r="AN59" s="1483"/>
      <c r="AO59" s="1483"/>
      <c r="AP59" s="1483"/>
      <c r="AQ59" s="1483"/>
      <c r="AR59" s="1483"/>
      <c r="AS59" s="1483"/>
      <c r="AT59" s="1483"/>
      <c r="AU59" s="1483"/>
      <c r="AW59" s="943"/>
      <c r="AX59" s="943" t="str">
        <f>IF(T59="","",T59)</f>
        <v>Добавить централизованную систему для дифференциации</v>
      </c>
      <c r="AY59" s="943"/>
      <c r="AZ59" s="943"/>
    </row>
    <row s="8794" customFormat="1" customHeight="1" ht="5.25">
      <c r="A60" s="1502" t="s">
        <v>195</v>
      </c>
      <c r="B60" s="1502"/>
      <c r="C60" s="1502"/>
      <c r="D60" s="1502"/>
      <c r="E60" s="2321"/>
      <c r="F60" s="1502"/>
      <c r="G60" s="1502"/>
      <c r="H60" s="1502"/>
      <c r="I60" s="1502"/>
      <c r="J60" s="1502"/>
      <c r="K60" s="1502"/>
      <c r="L60" s="1505"/>
      <c r="M60" s="1480"/>
      <c r="N60" s="1480"/>
      <c r="O60" s="672"/>
      <c r="P60" s="534"/>
      <c r="Q60" s="1503"/>
      <c r="R60" s="534"/>
      <c r="S60" s="1481"/>
      <c r="T60" s="1484" t="s">
        <v>252</v>
      </c>
      <c r="U60" s="1483"/>
      <c r="V60" s="1483"/>
      <c r="W60" s="1483"/>
      <c r="X60" s="1483"/>
      <c r="Y60" s="1483"/>
      <c r="Z60" s="1483"/>
      <c r="AA60" s="1483"/>
      <c r="AB60" s="1483"/>
      <c r="AC60" s="1483"/>
      <c r="AD60" s="1483"/>
      <c r="AE60" s="1483"/>
      <c r="AF60" s="1483"/>
      <c r="AG60" s="1483"/>
      <c r="AH60" s="1483"/>
      <c r="AI60" s="1483"/>
      <c r="AJ60" s="1483"/>
      <c r="AK60" s="1483"/>
      <c r="AL60" s="1483"/>
      <c r="AM60" s="1483"/>
      <c r="AN60" s="1483"/>
      <c r="AO60" s="1483"/>
      <c r="AP60" s="1483"/>
      <c r="AQ60" s="1483"/>
      <c r="AR60" s="1483"/>
      <c r="AS60" s="1483"/>
      <c r="AT60" s="1483"/>
      <c r="AU60" s="1483"/>
      <c r="AW60" s="654"/>
      <c r="AX60" s="654" t="str">
        <f>IF(T60="","",T60)</f>
        <v>Добавить территорию для дифференциации</v>
      </c>
      <c r="AY60" s="654"/>
      <c r="AZ60" s="654"/>
    </row>
    <row s="8794" customFormat="1" customHeight="1" ht="5.25">
      <c r="A61" s="1502" t="s">
        <v>195</v>
      </c>
      <c r="B61" s="1502"/>
      <c r="C61" s="1502"/>
      <c r="D61" s="1502"/>
      <c r="E61" s="2320"/>
      <c r="F61" s="1502"/>
      <c r="G61" s="1502"/>
      <c r="H61" s="1502"/>
      <c r="I61" s="1502"/>
      <c r="J61" s="1502"/>
      <c r="K61" s="1502"/>
      <c r="L61" s="1505"/>
      <c r="M61" s="1480"/>
      <c r="N61" s="1480"/>
      <c r="O61" s="672"/>
      <c r="P61" s="534"/>
      <c r="Q61" s="1503"/>
      <c r="R61" s="534"/>
      <c r="S61" s="1481"/>
      <c r="T61" s="1484" t="s">
        <v>252</v>
      </c>
      <c r="U61" s="1483"/>
      <c r="V61" s="1483"/>
      <c r="W61" s="1483"/>
      <c r="X61" s="1483"/>
      <c r="Y61" s="1483"/>
      <c r="Z61" s="1483"/>
      <c r="AA61" s="1483"/>
      <c r="AB61" s="1483"/>
      <c r="AC61" s="1483"/>
      <c r="AD61" s="1483"/>
      <c r="AE61" s="1483"/>
      <c r="AF61" s="1483"/>
      <c r="AG61" s="1483"/>
      <c r="AH61" s="1483"/>
      <c r="AI61" s="1483"/>
      <c r="AJ61" s="1483"/>
      <c r="AK61" s="1483"/>
      <c r="AL61" s="1483"/>
      <c r="AM61" s="1483"/>
      <c r="AN61" s="1483"/>
      <c r="AO61" s="1483"/>
      <c r="AP61" s="1483"/>
      <c r="AQ61" s="1483"/>
      <c r="AR61" s="1483"/>
      <c r="AS61" s="1483"/>
      <c r="AT61" s="1483"/>
      <c r="AU61" s="1483"/>
      <c r="AW61" s="654"/>
      <c r="AX61" s="654" t="str">
        <f>IF(T61="","",T61)</f>
        <v>Добавить территорию для дифференциации</v>
      </c>
      <c r="AY61" s="654"/>
      <c r="AZ61" s="654"/>
    </row>
    <row s="8702" customFormat="1" customHeight="1" ht="5.25">
      <c r="A62" s="1473"/>
      <c r="B62" s="1473"/>
      <c r="C62" s="1473"/>
      <c r="D62" s="1473"/>
      <c r="E62" s="1502"/>
      <c r="F62" s="1473"/>
      <c r="G62" s="1473"/>
      <c r="H62" s="1473"/>
      <c r="I62" s="1473"/>
      <c r="J62" s="1473"/>
      <c r="K62" s="1473"/>
      <c r="L62" s="1498"/>
      <c r="M62" s="1480"/>
      <c r="N62" s="1480"/>
      <c r="P62" s="1475"/>
      <c r="Q62" s="1476"/>
      <c r="R62" s="1475"/>
      <c r="S62" s="1481"/>
      <c r="T62" s="1484" t="s">
        <v>253</v>
      </c>
      <c r="U62" s="1483"/>
      <c r="V62" s="1483"/>
      <c r="W62" s="1483"/>
      <c r="X62" s="1483"/>
      <c r="Y62" s="1483"/>
      <c r="Z62" s="1483"/>
      <c r="AA62" s="1483"/>
      <c r="AB62" s="1483"/>
      <c r="AC62" s="1483"/>
      <c r="AD62" s="1483"/>
      <c r="AE62" s="1483"/>
      <c r="AF62" s="1483"/>
      <c r="AG62" s="1483"/>
      <c r="AH62" s="1483"/>
      <c r="AI62" s="1483"/>
      <c r="AJ62" s="1483"/>
      <c r="AK62" s="1483"/>
      <c r="AL62" s="1483"/>
      <c r="AM62" s="1483"/>
      <c r="AN62" s="1483"/>
      <c r="AO62" s="1483"/>
      <c r="AP62" s="1483"/>
      <c r="AQ62" s="1483"/>
      <c r="AR62" s="1483"/>
      <c r="AS62" s="1483"/>
      <c r="AT62" s="1483"/>
      <c r="AU62" s="1483"/>
      <c r="AW62" s="943"/>
      <c r="AX62" s="943" t="str">
        <f>IF(T62="","",T62)</f>
        <v>Добавить наименование тарифа</v>
      </c>
      <c r="AY62" s="943"/>
      <c r="AZ62" s="943"/>
    </row>
    <row customHeight="1" ht="11.25">
      <c r="M63" s="1316"/>
      <c r="N63" s="1316"/>
      <c r="O63" s="691"/>
      <c r="P63" s="1316"/>
      <c r="Q63" s="1316"/>
      <c r="R63" s="1311"/>
      <c r="S63" s="1311"/>
      <c r="AV63" s="1311"/>
      <c r="AW63" s="1311"/>
      <c r="AX63" s="1311"/>
      <c r="AY63" s="1311"/>
      <c r="AZ63" s="1311"/>
    </row>
    <row customHeight="1" ht="18.75">
      <c r="O64" s="691"/>
      <c r="S64" s="1411"/>
      <c r="T64" s="2319"/>
      <c r="U64" s="2319"/>
      <c r="V64" s="2319"/>
      <c r="W64" s="2319"/>
      <c r="X64" s="2319"/>
      <c r="Y64" s="2319"/>
      <c r="Z64" s="2319"/>
      <c r="AA64" s="2319"/>
      <c r="AB64" s="2319"/>
      <c r="AC64" s="2319"/>
      <c r="AD64" s="2319"/>
      <c r="AE64" s="2319"/>
      <c r="AF64" s="2319"/>
      <c r="AG64" s="2319"/>
      <c r="AH64" s="2319"/>
      <c r="AI64" s="2319"/>
      <c r="AJ64" s="2319"/>
      <c r="AK64" s="2319"/>
      <c r="AL64" s="2319"/>
      <c r="AM64" s="2319"/>
      <c r="AN64" s="2319"/>
      <c r="AO64" s="2319"/>
      <c r="AP64" s="2319"/>
      <c r="AQ64" s="2319"/>
      <c r="AR64" s="2319"/>
      <c r="AS64" s="2319"/>
      <c r="AT64" s="2319"/>
      <c r="AU64" s="2319"/>
    </row>
    <row customHeight="1" ht="19.5">
      <c r="O65" s="691"/>
      <c r="T65" s="2319"/>
      <c r="U65" s="2319"/>
      <c r="V65" s="2319"/>
      <c r="W65" s="2319"/>
      <c r="X65" s="2319"/>
      <c r="Y65" s="2319"/>
      <c r="Z65" s="2319"/>
      <c r="AA65" s="2319"/>
      <c r="AB65" s="2319"/>
      <c r="AC65" s="2319"/>
      <c r="AD65" s="2319"/>
      <c r="AE65" s="2319"/>
      <c r="AF65" s="2319"/>
      <c r="AG65" s="2319"/>
      <c r="AH65" s="2319"/>
      <c r="AI65" s="2319"/>
      <c r="AJ65" s="2319"/>
      <c r="AK65" s="2319"/>
      <c r="AL65" s="2319"/>
      <c r="AM65" s="2319"/>
      <c r="AN65" s="2319"/>
      <c r="AO65" s="2319"/>
      <c r="AP65" s="2319"/>
      <c r="AQ65" s="2319"/>
      <c r="AR65" s="2319"/>
      <c r="AS65" s="2319"/>
      <c r="AT65" s="2319"/>
      <c r="AU65" s="2319"/>
    </row>
    <row customHeight="1" ht="14.25">
      <c r="O66" s="691"/>
      <c r="T66" s="1492"/>
      <c r="U66" s="1492"/>
      <c r="V66" s="1492"/>
      <c r="W66" s="1492"/>
      <c r="X66" s="1492"/>
      <c r="Y66" s="1492"/>
      <c r="Z66" s="1492"/>
      <c r="AA66" s="1492"/>
      <c r="AB66" s="1492"/>
      <c r="AC66" s="1492"/>
      <c r="AD66" s="1492"/>
      <c r="AE66" s="1492"/>
      <c r="AF66" s="1492"/>
      <c r="AG66" s="1492"/>
      <c r="AH66" s="1492"/>
      <c r="AI66" s="1492"/>
      <c r="AJ66" s="1492"/>
      <c r="AK66" s="1492"/>
      <c r="AL66" s="1492"/>
      <c r="AM66" s="1492"/>
      <c r="AN66" s="1492"/>
      <c r="AO66" s="1492"/>
      <c r="AP66" s="1492"/>
      <c r="AQ66" s="1492"/>
      <c r="AR66" s="1492"/>
      <c r="AS66" s="1492"/>
      <c r="AT66" s="1492"/>
      <c r="AU66" s="1492"/>
    </row>
    <row customHeight="1" ht="18.75">
      <c r="O67" s="691"/>
      <c r="T67" s="2319"/>
      <c r="U67" s="2319"/>
      <c r="V67" s="2319"/>
      <c r="W67" s="2319"/>
      <c r="X67" s="2319"/>
      <c r="Y67" s="2319"/>
      <c r="Z67" s="2319"/>
      <c r="AA67" s="2319"/>
      <c r="AB67" s="2319"/>
      <c r="AC67" s="2319"/>
      <c r="AD67" s="2319"/>
      <c r="AE67" s="2319"/>
      <c r="AF67" s="2319"/>
      <c r="AG67" s="2319"/>
      <c r="AH67" s="2319"/>
      <c r="AI67" s="2319"/>
      <c r="AJ67" s="2319"/>
      <c r="AK67" s="2319"/>
      <c r="AL67" s="2319"/>
      <c r="AM67" s="2319"/>
      <c r="AN67" s="2319"/>
      <c r="AO67" s="2319"/>
      <c r="AP67" s="2319"/>
      <c r="AQ67" s="2319"/>
      <c r="AR67" s="2319"/>
      <c r="AS67" s="2319"/>
      <c r="AT67" s="2319"/>
      <c r="AU67" s="2319"/>
    </row>
    <row customHeight="1" ht="15.75">
      <c r="O68" s="691"/>
      <c r="T68" s="2319"/>
      <c r="U68" s="2319"/>
      <c r="V68" s="2319"/>
      <c r="W68" s="2319"/>
      <c r="X68" s="2319"/>
      <c r="Y68" s="2319"/>
      <c r="Z68" s="2319"/>
      <c r="AA68" s="2319"/>
      <c r="AB68" s="2319"/>
      <c r="AC68" s="2319"/>
      <c r="AD68" s="2319"/>
      <c r="AE68" s="2319"/>
      <c r="AF68" s="2319"/>
      <c r="AG68" s="2319"/>
      <c r="AH68" s="2319"/>
      <c r="AI68" s="2319"/>
      <c r="AJ68" s="2319"/>
      <c r="AK68" s="2319"/>
      <c r="AL68" s="2319"/>
      <c r="AM68" s="2319"/>
      <c r="AN68" s="2319"/>
      <c r="AO68" s="2319"/>
      <c r="AP68" s="2319"/>
      <c r="AQ68" s="2319"/>
      <c r="AR68" s="2319"/>
      <c r="AS68" s="2319"/>
      <c r="AT68" s="2319"/>
      <c r="AU68" s="2319"/>
    </row>
    <row customHeight="1" ht="14.25">
      <c r="O69" s="691"/>
    </row>
  </sheetData>
  <sheetProtection formatColumns="0" formatRows="0" autoFilter="0" sort="0" insertRows="0" insertColumns="1" deleteRows="0" deleteColumns="0"/>
  <mergeCells count="118">
    <mergeCell ref="AU8:AU12"/>
    <mergeCell ref="AJ8:AJ9"/>
    <mergeCell ref="AB8:AB11"/>
    <mergeCell ref="AC8:AC10"/>
    <mergeCell ref="AD8:AD10"/>
    <mergeCell ref="AI8:AI9"/>
    <mergeCell ref="S33:T33"/>
    <mergeCell ref="V33:Z33"/>
    <mergeCell ref="AB33:AR33"/>
    <mergeCell ref="S32:T32"/>
    <mergeCell ref="V32:Z32"/>
    <mergeCell ref="AB32:AR32"/>
    <mergeCell ref="AB2:AT2"/>
    <mergeCell ref="V3:AA3"/>
    <mergeCell ref="AB3:AT3"/>
    <mergeCell ref="V4:AA4"/>
    <mergeCell ref="AB4:AT4"/>
    <mergeCell ref="AB5:AT5"/>
    <mergeCell ref="AB6:AT6"/>
    <mergeCell ref="AB7:AT7"/>
    <mergeCell ref="S36:T36"/>
    <mergeCell ref="V36:Z36"/>
    <mergeCell ref="AB36:AR36"/>
    <mergeCell ref="S27:AR27"/>
    <mergeCell ref="S28:AR28"/>
    <mergeCell ref="S30:T30"/>
    <mergeCell ref="V30:Z30"/>
    <mergeCell ref="AB30:AR30"/>
    <mergeCell ref="S31:T31"/>
    <mergeCell ref="V31:Z31"/>
    <mergeCell ref="AB31:AR31"/>
    <mergeCell ref="AE8:AE10"/>
    <mergeCell ref="AF8:AF10"/>
    <mergeCell ref="AG8:AG9"/>
    <mergeCell ref="AH8:AH9"/>
    <mergeCell ref="AQ43:AR43"/>
    <mergeCell ref="AP41:AR42"/>
    <mergeCell ref="S40:S43"/>
    <mergeCell ref="S39:AT39"/>
    <mergeCell ref="AN40:AR40"/>
    <mergeCell ref="AB40:AE43"/>
    <mergeCell ref="AF40:AI43"/>
    <mergeCell ref="S35:T35"/>
    <mergeCell ref="V35:Z35"/>
    <mergeCell ref="AB35:AR35"/>
    <mergeCell ref="V38:AA38"/>
    <mergeCell ref="AB38:AS38"/>
    <mergeCell ref="AA40:AA43"/>
    <mergeCell ref="AS40:AS43"/>
    <mergeCell ref="AT40:AT43"/>
    <mergeCell ref="AN41:AO41"/>
    <mergeCell ref="AN42:AO42"/>
    <mergeCell ref="E45:E61"/>
    <mergeCell ref="V45:AA45"/>
    <mergeCell ref="AB45:AT45"/>
    <mergeCell ref="F46:F59"/>
    <mergeCell ref="V46:AA46"/>
    <mergeCell ref="AB46:AT46"/>
    <mergeCell ref="G47:G58"/>
    <mergeCell ref="V47:AA47"/>
    <mergeCell ref="AB47:AT47"/>
    <mergeCell ref="H48:H57"/>
    <mergeCell ref="V48:AA48"/>
    <mergeCell ref="AB48:AT48"/>
    <mergeCell ref="I49:I56"/>
    <mergeCell ref="P49:P56"/>
    <mergeCell ref="V49:AA49"/>
    <mergeCell ref="AB49:AT49"/>
    <mergeCell ref="J50:J55"/>
    <mergeCell ref="Q50:Q55"/>
    <mergeCell ref="V50:AA50"/>
    <mergeCell ref="AB50:AT50"/>
    <mergeCell ref="K51:K54"/>
    <mergeCell ref="S51:S54"/>
    <mergeCell ref="E2:E17"/>
    <mergeCell ref="F3:F16"/>
    <mergeCell ref="G4:G15"/>
    <mergeCell ref="H5:H14"/>
    <mergeCell ref="V5:AA5"/>
    <mergeCell ref="X8:X11"/>
    <mergeCell ref="Y8:Y11"/>
    <mergeCell ref="Z8:Z11"/>
    <mergeCell ref="AA8:AA11"/>
    <mergeCell ref="V2:AA2"/>
    <mergeCell ref="I6:I13"/>
    <mergeCell ref="P6:P13"/>
    <mergeCell ref="V6:AA6"/>
    <mergeCell ref="J7:J12"/>
    <mergeCell ref="Q7:Q12"/>
    <mergeCell ref="V7:AA7"/>
    <mergeCell ref="K8:K11"/>
    <mergeCell ref="S8:S11"/>
    <mergeCell ref="T8:T11"/>
    <mergeCell ref="R8:R11"/>
    <mergeCell ref="T67:AU67"/>
    <mergeCell ref="T68:AU68"/>
    <mergeCell ref="AI51:AI52"/>
    <mergeCell ref="AJ51:AJ52"/>
    <mergeCell ref="AJ40:AM43"/>
    <mergeCell ref="AD51:AD53"/>
    <mergeCell ref="AE51:AE53"/>
    <mergeCell ref="AF51:AF53"/>
    <mergeCell ref="AG51:AG52"/>
    <mergeCell ref="AH51:AH52"/>
    <mergeCell ref="T64:AU64"/>
    <mergeCell ref="T65:AU65"/>
    <mergeCell ref="T51:T54"/>
    <mergeCell ref="AB51:AB54"/>
    <mergeCell ref="AC51:AC53"/>
    <mergeCell ref="AU39:AU43"/>
    <mergeCell ref="T40:T43"/>
    <mergeCell ref="V40:Z40"/>
    <mergeCell ref="AU51:AU55"/>
    <mergeCell ref="Y44:Z44"/>
    <mergeCell ref="AQ44:AR44"/>
    <mergeCell ref="V41:W42"/>
    <mergeCell ref="X41:Z42"/>
    <mergeCell ref="Y43:Z43"/>
  </mergeCells>
  <dataValidations count="9">
    <dataValidation type="list" allowBlank="1" showInputMessage="1" showErrorMessage="1" errorTitle="Ошибка" error="Выберите значение из списка" prompt="Выберите значение из списка" sqref="AN42:AO42">
      <formula1>UNIT_CONNECT_LIST</formula1>
    </dataValidation>
    <dataValidation type="list" allowBlank="1" showInputMessage="1" errorTitle="Ошибка" error="Выберите значение из списка" prompt="Выберите значение из списка" sqref="V917557:AT917557 V983093:AT983093 V65589:AT65589 V131125:AT131125 V196661:AT196661 V262197:AT262197 V327733:AT327733 V393269:AT393269 V458805:AT458805 V524341:AT524341 V589877:AT589877 V655413:AT655413 V720949:AT720949 V786485:AT786485 V852021:AT852021">
      <formula1>kind_of_cons</formula1>
    </dataValidation>
    <dataValidation allowBlank="1" sqref="S131128:AU131134 S196664:AU196670 S262200:AU262206 S327736:AU327742 S393272:AU393278 S458808:AU458814 S524344:AU524350 S589880:AU589886 S655416:AU655422 S720952:AU720958 S786488:AU786494 S852024:AU852030 S917560:AU917566 S983096:AU983102 S65592:AU65598"/>
    <dataValidation type="list" allowBlank="1" showInputMessage="1" showErrorMessage="1" errorTitle="Ошибка" error="Выберите значение из списка" sqref="T65590 T131126 T196662 T262198 T327734 T393270 T458806 T524342 T589878 T655414 T720950 T786486 T852022 T917558 T983094">
      <formula1>kind_of_heat_transfer</formula1>
    </dataValidation>
    <dataValidation type="list" allowBlank="1" showInputMessage="1" showErrorMessage="1" errorTitle="Ошибка" error="Выберите значение из списка" sqref="AB983092:AM983092 AB65588:AM65588 AB131124:AM131124 AB196660:AM196660 AB262196:AM262196 AB327732:AM327732 AB393268:AM393268 AB458804:AM458804 AB524340:AM524340 AB589876:AM589876 AB655412:AM655412 AB720948:AM720948 AB786484:AM786484 AB852020:AM852020 AB917556:AM917556">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90 X131126 X196662 X262198 X327734 X393270 X458806 X524342 X589878 X655414 X720950 X786486 X852022 X917558 X983094 Z65590 Z131126 Z196662 Z262198 Z327734 Z393270 Z458806 Z524342 Z589878 Z655414 Z720950 Z786486 Z852022 Z917558 Z983094 X8:X10 Z8:Z10 AP65590 AP131126 AP196662 AP262198 AP327734 AP393270 AP458806 AP524342 AP589878 AP655414 AP720950 AP786486 AP852022 AP917558 AP983094 AR65590 AR131126 AR196662 AR262198 AR327734 AR393270 AR458806 AR524342 AR589878 AR655414 AR720950 AR786486 AR852022 AR917558 AR983094 AR8 AR51 AR19 AP19 AP8 AP51 Z51 X51"/>
    <dataValidation allowBlank="1" promptTitle="checkPeriodRange" sqref="W65591 W131127 W196663 W262199 W327735 W393271 W458807 W524343 W589879 W655415 W720951 W786487 W852023 W917559 W983095 AO54 W11 AO65591 AO131127 AO196663 AO262199 AO327735 AO393271 AO458807 AO524343 AO589879 AO655415 AO720951 AO786487 AO852023 AO917559 AO983095 AO11 W54"/>
    <dataValidation type="textLength" operator="lessThanOrEqual" allowBlank="1" showInputMessage="1" showErrorMessage="1" errorTitle="Ошибка" error="Допускается ввод не более 900 символов!" sqref="AU65584:AU65591 AU131120:AU131127 AU196656:AU196663 AU262192:AU262199 AU327728:AU327735 AU393264:AU393271 AU458800:AU458807 AU524336:AU524343 AU589872:AU589879 AU655408:AU655415 AU720944:AU720951 AU786480:AU786487 AU852016:AU852023 AU917552:AU917559 AU983088:AU983095 T8:T11 T51:T54">
      <formula1>900</formula1>
    </dataValidation>
    <dataValidation allowBlank="1" showInputMessage="1" showErrorMessage="1" prompt="Для выбора выполните двойной щелчок левой клавиши мыши по соответствующей ячейке." sqref="Y65590 Y131126 Y196662 Y262198 Y327734 Y393270 Y458806 Y524342 Y589878 Y655414 Y720950 Y786486 Y852022 Y917558 Y983094 AA131126 AA458806 AA196662 AA262198 AA327734 AA393270 AA524342 AA589878 AA655414 AA720950 AA786486 AA852022 AA917558 AA983094 AA65590 AA8:AA10 Y8:Y10 AQ65590 AQ131126 AQ196662 AQ262198 AQ327734 AQ393270 AQ458806 AQ524342 AQ589878 AQ655414 AQ720950 AQ786486 AQ852022 AQ917558 AQ983094 AS131126 AS458806 AS196662 AS262198 AS327734 AS393270 AS524342 AS589878 AS655414 AS720950 AS786486 AS852022 AS917558 AS983094 AS65590 AQ8 AB8 AE8:AF8 AI8:AJ8 AQ19 AS51 AS19 AB19 AE19:AF19 AI19:AJ19 AI51:AJ51 AE51:AF51 AA51:AB51 AS8 AQ51 Y51"/>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622E911-0362-C8A6-90AD-C88970C4CF7D}" mc:Ignorable="x14ac xr xr2 xr3">
  <sheetPr>
    <tabColor theme="6" tint="0.4"/>
  </sheetPr>
  <dimension ref="A1:AP57"/>
  <sheetViews>
    <sheetView topLeftCell="A1" showGridLines="0" zoomScale="90" workbookViewId="0">
      <selection activeCell="A1" sqref="A1"/>
    </sheetView>
  </sheetViews>
  <sheetFormatPr defaultColWidth="10.57421875" customHeight="1" defaultRowHeight="14.25"/>
  <cols>
    <col min="1" max="1" style="8721" width="10.57421875" hidden="1"/>
    <col min="2" max="2" style="8721" width="11.00390625" hidden="1" customWidth="1"/>
    <col min="3" max="3" style="8721" width="10.57421875" hidden="1"/>
    <col min="4" max="4" style="8721" width="11.8515625" hidden="1" customWidth="1"/>
    <col min="5" max="5" style="8721" width="10.00390625" hidden="1" customWidth="1"/>
    <col min="6" max="6" style="8721" width="8.7109375" hidden="1" customWidth="1"/>
    <col min="7" max="7" style="8721" width="7.57421875" hidden="1" customWidth="1"/>
    <col min="8" max="8" style="8721" width="11.421875" hidden="1" customWidth="1"/>
    <col min="9" max="9" style="8721" width="14.140625" hidden="1" customWidth="1"/>
    <col min="10" max="10" style="8721" width="9.8515625" hidden="1" customWidth="1"/>
    <col min="11" max="11" style="8721" width="14.7109375" hidden="1" customWidth="1"/>
    <col min="12" max="12" style="9004" width="19.140625" hidden="1" customWidth="1"/>
    <col min="13" max="14" style="8803" width="12.28125" hidden="1" customWidth="1"/>
    <col min="15" max="15" style="8803" width="23.421875" hidden="1" customWidth="1"/>
    <col min="16" max="16" style="9005" width="3.7109375" customWidth="1"/>
    <col min="17" max="18" style="8805" width="3.7109375" customWidth="1"/>
    <col min="19" max="19" style="8806" width="12.7109375" customWidth="1"/>
    <col min="20" max="20" style="8807" width="35.7109375" customWidth="1"/>
    <col min="21" max="21" style="8807" width="0.140625" customWidth="1"/>
    <col min="22" max="24" style="8807" width="24.7109375" hidden="1" customWidth="1"/>
    <col min="25" max="25" style="8807" width="11.7109375" hidden="1" customWidth="1"/>
    <col min="26" max="26" style="8807" width="3.7109375" hidden="1" customWidth="1"/>
    <col min="27" max="27" style="8807" width="11.7109375" hidden="1" customWidth="1"/>
    <col min="28" max="28" style="8807" width="8.57421875" hidden="1" customWidth="1"/>
    <col min="29" max="31" style="8807" width="24.7109375" customWidth="1"/>
    <col min="32" max="32" style="8807" width="11.7109375" customWidth="1"/>
    <col min="33" max="33" style="8807" width="3.7109375" customWidth="1"/>
    <col min="34" max="34" style="8807" width="11.7109375" customWidth="1"/>
    <col min="35" max="35" style="8807" width="8.57421875" hidden="1" customWidth="1"/>
    <col min="36" max="36" style="8807" width="4.7109375" customWidth="1"/>
    <col min="37" max="37" style="8807" width="115.7109375" customWidth="1"/>
    <col min="38" max="39" style="8794" width="10.57421875"/>
    <col min="40" max="40" style="8794" width="11.140625" customWidth="1"/>
    <col min="41" max="42" style="8794" width="10.57421875"/>
  </cols>
  <sheetData>
    <row customHeight="1" ht="14.25" hidden="1">
      <c r="X1" s="481"/>
      <c r="Y1" s="481"/>
      <c r="AE1" s="481"/>
      <c r="AF1" s="481"/>
    </row>
    <row customHeight="1" ht="23.25" hidden="1">
      <c r="A2" s="1522"/>
      <c r="B2" s="1522"/>
      <c r="C2" s="1522"/>
      <c r="D2" s="1522"/>
      <c r="E2" s="2320">
        <v>1</v>
      </c>
      <c r="F2" s="1522"/>
      <c r="G2" s="1522"/>
      <c r="H2" s="1522"/>
      <c r="I2" s="1522"/>
      <c r="J2" s="1522"/>
      <c r="K2" s="1522"/>
      <c r="L2" s="1523"/>
      <c r="M2" s="1524"/>
      <c r="N2" s="1524"/>
      <c r="O2" s="1524"/>
      <c r="P2" s="515"/>
      <c r="Q2" s="514"/>
      <c r="R2" s="509"/>
      <c r="S2" s="1584">
        <f>INDEX(PT_DIFFERENTIATION_NUM_NTAR,MATCH(A2,PT_DIFFERENTIATION_NTAR_ID,0))</f>
      </c>
      <c r="T2" s="452" t="s">
        <v>120</v>
      </c>
      <c r="U2" s="454"/>
      <c r="V2" s="2314"/>
      <c r="W2" s="2315"/>
      <c r="X2" s="2315"/>
      <c r="Y2" s="2315"/>
      <c r="Z2" s="2315"/>
      <c r="AA2" s="2315"/>
      <c r="AB2" s="2316"/>
      <c r="AC2" s="2314">
        <f>INDEX(PT_DIFFERENTIATION_NTAR,MATCH(A2,PT_DIFFERENTIATION_NTAR_ID,0))</f>
      </c>
      <c r="AD2" s="2315"/>
      <c r="AE2" s="2315"/>
      <c r="AF2" s="2315"/>
      <c r="AG2" s="2315"/>
      <c r="AH2" s="2315"/>
      <c r="AI2" s="2315"/>
      <c r="AJ2" s="2316"/>
      <c r="AK2" s="1416"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2" s="654"/>
      <c r="AN2" s="654" t="str">
        <f>IF(T2="","",T2)</f>
        <v>Наименование тарифа</v>
      </c>
      <c r="AO2" s="654"/>
      <c r="AP2" s="654"/>
    </row>
    <row customHeight="1" ht="23.25" hidden="1">
      <c r="A3" s="1522"/>
      <c r="B3" s="1522"/>
      <c r="C3" s="1522"/>
      <c r="D3" s="1522"/>
      <c r="E3" s="2321"/>
      <c r="F3" s="2320">
        <v>1</v>
      </c>
      <c r="G3" s="1522"/>
      <c r="H3" s="1522"/>
      <c r="I3" s="1522"/>
      <c r="J3" s="1522"/>
      <c r="K3" s="1522"/>
      <c r="L3" s="1523"/>
      <c r="M3" s="1524"/>
      <c r="N3" s="1524"/>
      <c r="O3" s="1524"/>
      <c r="P3" s="1582"/>
      <c r="Q3" s="506"/>
      <c r="R3" s="507"/>
      <c r="S3" s="1584">
        <f>INDEX(PT_DIFFERENTIATION_NUM_TER,MATCH(B3,PT_DIFFERENTIATION_TER_ID,0))</f>
      </c>
      <c r="T3" s="462" t="s">
        <v>397</v>
      </c>
      <c r="U3" s="454"/>
      <c r="V3" s="2314"/>
      <c r="W3" s="2315"/>
      <c r="X3" s="2315"/>
      <c r="Y3" s="2315"/>
      <c r="Z3" s="2315"/>
      <c r="AA3" s="2315"/>
      <c r="AB3" s="2316"/>
      <c r="AC3" s="2314">
        <f>INDEX(PT_DIFFERENTIATION_TER,MATCH(B3,PT_DIFFERENTIATION_TER_ID,0))</f>
      </c>
      <c r="AD3" s="2315"/>
      <c r="AE3" s="2315"/>
      <c r="AF3" s="2315"/>
      <c r="AG3" s="2315"/>
      <c r="AH3" s="2315"/>
      <c r="AI3" s="2315"/>
      <c r="AJ3" s="2316"/>
      <c r="AK3" s="1416" t="s">
        <v>398</v>
      </c>
      <c r="AM3" s="654"/>
      <c r="AN3" s="654" t="str">
        <f>IF(T3="","",T3)</f>
        <v>Территория действия тарифа</v>
      </c>
      <c r="AO3" s="654"/>
      <c r="AP3" s="654"/>
    </row>
    <row customHeight="1" ht="23.25" hidden="1">
      <c r="A4" s="1522"/>
      <c r="B4" s="1522"/>
      <c r="C4" s="1522"/>
      <c r="D4" s="1522"/>
      <c r="E4" s="2321"/>
      <c r="F4" s="2321"/>
      <c r="G4" s="2320">
        <v>1</v>
      </c>
      <c r="H4" s="1522"/>
      <c r="I4" s="1522"/>
      <c r="J4" s="1522"/>
      <c r="K4" s="1522"/>
      <c r="L4" s="1523"/>
      <c r="M4" s="1524"/>
      <c r="N4" s="1524"/>
      <c r="O4" s="1524"/>
      <c r="P4" s="508"/>
      <c r="Q4" s="506"/>
      <c r="R4" s="507"/>
      <c r="S4" s="1584">
        <f>INDEX(PT_DIFFERENTIATION_NUM_CS,MATCH(C4,PT_DIFFERENTIATION_CS_ID,0))</f>
      </c>
      <c r="T4" s="463" t="s">
        <v>479</v>
      </c>
      <c r="U4" s="454"/>
      <c r="V4" s="2314"/>
      <c r="W4" s="2315"/>
      <c r="X4" s="2315"/>
      <c r="Y4" s="2315"/>
      <c r="Z4" s="2315"/>
      <c r="AA4" s="2315"/>
      <c r="AB4" s="2316"/>
      <c r="AC4" s="2314">
        <f>INDEX(PT_DIFFERENTIATION_CS,MATCH(C4,PT_DIFFERENTIATION_CS_ID,0))</f>
      </c>
      <c r="AD4" s="2315"/>
      <c r="AE4" s="2315"/>
      <c r="AF4" s="2315"/>
      <c r="AG4" s="2315"/>
      <c r="AH4" s="2315"/>
      <c r="AI4" s="2315"/>
      <c r="AJ4" s="2316"/>
      <c r="AK4" s="1416" t="s">
        <v>480</v>
      </c>
      <c r="AM4" s="654"/>
      <c r="AN4" s="654" t="str">
        <f>IF(T4="","",T4)</f>
        <v>Наименование централизованной системы холодного водоснабжения</v>
      </c>
      <c r="AO4" s="654"/>
      <c r="AP4" s="654"/>
    </row>
    <row customHeight="1" ht="23.25" hidden="1">
      <c r="A5" s="1522"/>
      <c r="B5" s="1522"/>
      <c r="C5" s="1522"/>
      <c r="D5" s="1522"/>
      <c r="E5" s="2321"/>
      <c r="F5" s="2321"/>
      <c r="G5" s="2321"/>
      <c r="H5" s="2321"/>
      <c r="I5" s="2322">
        <f>S4&amp;".1"</f>
      </c>
      <c r="J5" s="1522"/>
      <c r="K5" s="1522"/>
      <c r="L5" s="1523"/>
      <c r="P5" s="2324">
        <v>1</v>
      </c>
      <c r="Q5" s="1581"/>
      <c r="R5" s="510"/>
      <c r="S5" s="1584">
        <f>$I5</f>
      </c>
      <c r="T5" s="439" t="s">
        <v>481</v>
      </c>
      <c r="U5" s="454"/>
      <c r="V5" s="2407"/>
      <c r="W5" s="2408"/>
      <c r="X5" s="2408"/>
      <c r="Y5" s="2408"/>
      <c r="Z5" s="2408"/>
      <c r="AA5" s="2408"/>
      <c r="AB5" s="2409"/>
      <c r="AC5" s="2410"/>
      <c r="AD5" s="2411"/>
      <c r="AE5" s="2411"/>
      <c r="AF5" s="2411"/>
      <c r="AG5" s="2411"/>
      <c r="AH5" s="2411"/>
      <c r="AI5" s="2411"/>
      <c r="AJ5" s="2412"/>
      <c r="AK5" s="1416" t="s">
        <v>482</v>
      </c>
      <c r="AM5" s="654"/>
      <c r="AN5" s="654" t="str">
        <f>IF(T5="","",T5)</f>
        <v>Наименование признака дифференциации</v>
      </c>
      <c r="AO5" s="654"/>
      <c r="AP5" s="654"/>
    </row>
    <row customHeight="1" ht="23.25" hidden="1">
      <c r="A6" s="1522"/>
      <c r="B6" s="1522"/>
      <c r="C6" s="1522"/>
      <c r="D6" s="1522"/>
      <c r="E6" s="2321"/>
      <c r="F6" s="2321"/>
      <c r="G6" s="2321"/>
      <c r="H6" s="2321"/>
      <c r="I6" s="2323"/>
      <c r="J6" s="2322">
        <f>I5&amp;".1"</f>
      </c>
      <c r="K6" s="1522"/>
      <c r="L6" s="1523" t="s">
        <v>406</v>
      </c>
      <c r="P6" s="2324"/>
      <c r="Q6" s="2324">
        <v>1</v>
      </c>
      <c r="R6" s="511"/>
      <c r="S6" s="1584">
        <f>$J6</f>
      </c>
      <c r="T6" s="440" t="s">
        <v>407</v>
      </c>
      <c r="U6" s="454"/>
      <c r="V6" s="2308"/>
      <c r="W6" s="2309"/>
      <c r="X6" s="2309"/>
      <c r="Y6" s="2309"/>
      <c r="Z6" s="2309"/>
      <c r="AA6" s="2309"/>
      <c r="AB6" s="2310"/>
      <c r="AC6" s="2308"/>
      <c r="AD6" s="2309"/>
      <c r="AE6" s="2309"/>
      <c r="AF6" s="2309"/>
      <c r="AG6" s="2309"/>
      <c r="AH6" s="2309"/>
      <c r="AI6" s="2309"/>
      <c r="AJ6" s="2310"/>
      <c r="AK6" s="1466" t="s">
        <v>483</v>
      </c>
      <c r="AM6" s="654"/>
      <c r="AN6" s="654" t="str">
        <f>IF(T6="","",T6)</f>
        <v>Группа потребителей</v>
      </c>
      <c r="AO6" s="654"/>
      <c r="AP6" s="654"/>
    </row>
    <row customHeight="1" ht="23.25" hidden="1">
      <c r="A7" s="1522"/>
      <c r="B7" s="1522"/>
      <c r="C7" s="1522"/>
      <c r="D7" s="1522"/>
      <c r="E7" s="2321"/>
      <c r="F7" s="2321"/>
      <c r="G7" s="2321"/>
      <c r="H7" s="2321"/>
      <c r="I7" s="2323"/>
      <c r="J7" s="2323"/>
      <c r="K7" s="2322">
        <f>J6&amp;".1"</f>
      </c>
      <c r="L7" s="1523"/>
      <c r="P7" s="2324"/>
      <c r="Q7" s="2324"/>
      <c r="R7" s="511">
        <v>1</v>
      </c>
      <c r="S7" s="1584">
        <f>$K7</f>
      </c>
      <c r="T7" s="1596"/>
      <c r="U7" s="454"/>
      <c r="V7" s="905"/>
      <c r="W7" s="905"/>
      <c r="X7" s="1415"/>
      <c r="Y7" s="2325"/>
      <c r="Z7" s="2195" t="s">
        <v>64</v>
      </c>
      <c r="AA7" s="2325"/>
      <c r="AB7" s="2195" t="s">
        <v>64</v>
      </c>
      <c r="AC7" s="905"/>
      <c r="AD7" s="905"/>
      <c r="AE7" s="1415"/>
      <c r="AF7" s="2325"/>
      <c r="AG7" s="2195" t="s">
        <v>64</v>
      </c>
      <c r="AH7" s="2327"/>
      <c r="AI7" s="2195" t="s">
        <v>64</v>
      </c>
      <c r="AJ7" s="1597"/>
      <c r="AK7" s="241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65">
        <f>STRCHECKDATE(V8:AJ8)</f>
      </c>
      <c r="AM7" s="654"/>
      <c r="AN7" s="654" t="str">
        <f>IF(T7="","",T7)</f>
        <v/>
      </c>
      <c r="AO7" s="654"/>
      <c r="AP7" s="654"/>
    </row>
    <row customHeight="1" ht="14.25" hidden="1">
      <c r="A8" s="1522"/>
      <c r="B8" s="1522"/>
      <c r="C8" s="1522"/>
      <c r="D8" s="1522"/>
      <c r="E8" s="2321"/>
      <c r="F8" s="2321"/>
      <c r="G8" s="2321"/>
      <c r="H8" s="2321"/>
      <c r="I8" s="2323"/>
      <c r="J8" s="2323"/>
      <c r="K8" s="2322"/>
      <c r="L8" s="1523"/>
      <c r="P8" s="2324"/>
      <c r="Q8" s="2324"/>
      <c r="R8" s="511"/>
      <c r="S8" s="1583"/>
      <c r="T8" s="454"/>
      <c r="U8" s="454"/>
      <c r="V8" s="479"/>
      <c r="W8" s="479"/>
      <c r="X8" s="482" t="str">
        <f>Y7&amp;"-"&amp;AA7</f>
        <v>-</v>
      </c>
      <c r="Y8" s="2326"/>
      <c r="Z8" s="2195"/>
      <c r="AA8" s="2326"/>
      <c r="AB8" s="2195"/>
      <c r="AC8" s="479"/>
      <c r="AD8" s="479"/>
      <c r="AE8" s="482" t="str">
        <f>AF7&amp;"-"&amp;AH7</f>
        <v>-</v>
      </c>
      <c r="AF8" s="2326"/>
      <c r="AG8" s="2195"/>
      <c r="AH8" s="2328"/>
      <c r="AI8" s="2195"/>
      <c r="AJ8" s="1598"/>
      <c r="AK8" s="2413"/>
      <c r="AM8" s="654"/>
      <c r="AN8" s="654" t="str">
        <f>IF(T8="","",T8)</f>
        <v/>
      </c>
      <c r="AO8" s="654"/>
      <c r="AP8" s="654"/>
    </row>
    <row customHeight="1" ht="21" hidden="1">
      <c r="A9" s="1522"/>
      <c r="B9" s="1522"/>
      <c r="C9" s="1522"/>
      <c r="D9" s="1522"/>
      <c r="E9" s="2321"/>
      <c r="F9" s="2321"/>
      <c r="G9" s="2321"/>
      <c r="H9" s="2321"/>
      <c r="I9" s="2323"/>
      <c r="J9" s="2322"/>
      <c r="K9" s="1522"/>
      <c r="L9" s="1523"/>
      <c r="P9" s="2324"/>
      <c r="Q9" s="2324"/>
      <c r="R9" s="510"/>
      <c r="S9" s="1437"/>
      <c r="T9" s="441" t="s">
        <v>484</v>
      </c>
      <c r="U9" s="521"/>
      <c r="V9" s="521"/>
      <c r="W9" s="521"/>
      <c r="X9" s="521"/>
      <c r="Y9" s="521"/>
      <c r="Z9" s="521"/>
      <c r="AA9" s="521"/>
      <c r="AB9" s="521"/>
      <c r="AC9" s="521"/>
      <c r="AD9" s="521"/>
      <c r="AE9" s="521"/>
      <c r="AF9" s="521"/>
      <c r="AG9" s="521"/>
      <c r="AH9" s="521"/>
      <c r="AI9" s="521"/>
      <c r="AJ9" s="521"/>
      <c r="AK9" s="1416" t="s">
        <v>485</v>
      </c>
      <c r="AM9" s="654"/>
      <c r="AN9" s="654" t="str">
        <f>IF(T9="","",T9)</f>
        <v>Добавить значение признака дифференциации</v>
      </c>
      <c r="AO9" s="654"/>
      <c r="AP9" s="654"/>
    </row>
    <row customHeight="1" ht="21" hidden="1">
      <c r="A10" s="1522"/>
      <c r="B10" s="1522"/>
      <c r="C10" s="1522"/>
      <c r="D10" s="1522"/>
      <c r="E10" s="2321"/>
      <c r="F10" s="2321"/>
      <c r="G10" s="2321"/>
      <c r="H10" s="2321"/>
      <c r="I10" s="2322"/>
      <c r="J10" s="1522"/>
      <c r="K10" s="1522"/>
      <c r="L10" s="1523"/>
      <c r="P10" s="2324"/>
      <c r="Q10" s="1581"/>
      <c r="R10" s="510"/>
      <c r="S10" s="1437"/>
      <c r="T10" s="519" t="s">
        <v>412</v>
      </c>
      <c r="U10" s="521"/>
      <c r="V10" s="521"/>
      <c r="W10" s="521"/>
      <c r="X10" s="521"/>
      <c r="Y10" s="521"/>
      <c r="Z10" s="521"/>
      <c r="AA10" s="521"/>
      <c r="AB10" s="520"/>
      <c r="AC10" s="521"/>
      <c r="AD10" s="521"/>
      <c r="AE10" s="521"/>
      <c r="AF10" s="521"/>
      <c r="AG10" s="521"/>
      <c r="AH10" s="521"/>
      <c r="AI10" s="520"/>
      <c r="AJ10" s="521"/>
      <c r="AK10" s="1599"/>
      <c r="AM10" s="654"/>
      <c r="AN10" s="654" t="str">
        <f>IF(T10="","",T10)</f>
        <v>Добавить группу потребителей</v>
      </c>
      <c r="AO10" s="654"/>
      <c r="AP10" s="654"/>
    </row>
    <row customHeight="1" ht="14.25" hidden="1">
      <c r="A11" s="1522"/>
      <c r="B11" s="1522"/>
      <c r="C11" s="1522"/>
      <c r="D11" s="1522"/>
      <c r="E11" s="2321"/>
      <c r="F11" s="2321"/>
      <c r="G11" s="2321"/>
      <c r="H11" s="2320"/>
      <c r="I11" s="1522"/>
      <c r="J11" s="1522"/>
      <c r="K11" s="1522"/>
      <c r="L11" s="1523"/>
      <c r="M11" s="1524"/>
      <c r="N11" s="1524"/>
      <c r="O11" s="691"/>
      <c r="P11" s="514"/>
      <c r="Q11" s="529"/>
      <c r="R11" s="509"/>
      <c r="S11" s="1437"/>
      <c r="T11" s="526" t="s">
        <v>486</v>
      </c>
      <c r="U11" s="521"/>
      <c r="V11" s="521"/>
      <c r="W11" s="521"/>
      <c r="X11" s="521"/>
      <c r="Y11" s="521"/>
      <c r="Z11" s="521"/>
      <c r="AA11" s="521"/>
      <c r="AB11" s="520"/>
      <c r="AC11" s="521"/>
      <c r="AD11" s="521"/>
      <c r="AE11" s="521"/>
      <c r="AF11" s="521"/>
      <c r="AG11" s="521"/>
      <c r="AH11" s="521"/>
      <c r="AI11" s="520"/>
      <c r="AJ11" s="521"/>
      <c r="AK11" s="457"/>
      <c r="AM11" s="654"/>
      <c r="AN11" s="654" t="str">
        <f>IF(T11="","",T11)</f>
        <v>Добавить наименование признака дифференциации</v>
      </c>
      <c r="AO11" s="654"/>
      <c r="AP11" s="654"/>
    </row>
    <row s="8702" customFormat="1" customHeight="1" ht="14.25" hidden="1">
      <c r="A12" s="1502"/>
      <c r="B12" s="1502"/>
      <c r="C12" s="1473"/>
      <c r="D12" s="1473"/>
      <c r="E12" s="2321"/>
      <c r="F12" s="2320"/>
      <c r="G12" s="1473"/>
      <c r="H12" s="1473"/>
      <c r="I12" s="1473"/>
      <c r="J12" s="1473"/>
      <c r="K12" s="1473"/>
      <c r="L12" s="1585"/>
      <c r="M12" s="1480"/>
      <c r="N12" s="1480"/>
      <c r="P12" s="1475"/>
      <c r="Q12" s="1476"/>
      <c r="R12" s="1475"/>
      <c r="S12" s="1481"/>
      <c r="T12" s="1484" t="s">
        <v>251</v>
      </c>
      <c r="U12" s="1483"/>
      <c r="V12" s="1483"/>
      <c r="W12" s="1483"/>
      <c r="X12" s="1483"/>
      <c r="Y12" s="1483"/>
      <c r="Z12" s="1483"/>
      <c r="AA12" s="1483"/>
      <c r="AB12" s="1483"/>
      <c r="AC12" s="1483"/>
      <c r="AD12" s="1483"/>
      <c r="AE12" s="1483"/>
      <c r="AF12" s="1483"/>
      <c r="AG12" s="1483"/>
      <c r="AH12" s="1483"/>
      <c r="AI12" s="1483"/>
      <c r="AJ12" s="1483"/>
      <c r="AK12" s="1483"/>
      <c r="AM12" s="943"/>
      <c r="AN12" s="943" t="str">
        <f>IF(T12="","",T12)</f>
        <v>Добавить централизованную систему для дифференциации</v>
      </c>
      <c r="AO12" s="943"/>
      <c r="AP12" s="943"/>
    </row>
    <row s="8794" customFormat="1" customHeight="1" ht="14.25" hidden="1">
      <c r="A13" s="1502"/>
      <c r="B13" s="1502"/>
      <c r="C13" s="1502"/>
      <c r="D13" s="1502"/>
      <c r="E13" s="2320"/>
      <c r="F13" s="1502"/>
      <c r="G13" s="1502"/>
      <c r="H13" s="1502"/>
      <c r="I13" s="1502"/>
      <c r="J13" s="1502"/>
      <c r="K13" s="1502"/>
      <c r="L13" s="1505"/>
      <c r="M13" s="1480"/>
      <c r="N13" s="1480"/>
      <c r="O13" s="672"/>
      <c r="P13" s="534"/>
      <c r="Q13" s="1503"/>
      <c r="R13" s="534"/>
      <c r="S13" s="1481"/>
      <c r="T13" s="1484" t="s">
        <v>252</v>
      </c>
      <c r="U13" s="1483"/>
      <c r="V13" s="1483"/>
      <c r="W13" s="1483"/>
      <c r="X13" s="1483"/>
      <c r="Y13" s="1483"/>
      <c r="Z13" s="1483"/>
      <c r="AA13" s="1483"/>
      <c r="AB13" s="1483"/>
      <c r="AC13" s="1483"/>
      <c r="AD13" s="1483"/>
      <c r="AE13" s="1483"/>
      <c r="AF13" s="1483"/>
      <c r="AG13" s="1483"/>
      <c r="AH13" s="1483"/>
      <c r="AI13" s="1483"/>
      <c r="AJ13" s="1483"/>
      <c r="AK13" s="1483"/>
      <c r="AM13" s="654"/>
      <c r="AN13" s="654" t="str">
        <f>IF(T13="","",T13)</f>
        <v>Добавить территорию для дифференциации</v>
      </c>
      <c r="AO13" s="654"/>
      <c r="AP13" s="654"/>
    </row>
    <row customHeight="1" ht="14.25" hidden="1">
      <c r="AB14" s="481"/>
      <c r="AI14" s="481"/>
    </row>
    <row customHeight="1" ht="14.25" hidden="1">
      <c r="AC15" s="1519"/>
      <c r="AD15" s="1519"/>
      <c r="AE15" s="1520"/>
      <c r="AF15" s="2318"/>
      <c r="AG15" s="2317" t="s">
        <v>64</v>
      </c>
      <c r="AH15" s="2318"/>
      <c r="AI15" s="2317" t="s">
        <v>64</v>
      </c>
    </row>
    <row customHeight="1" ht="14.25" hidden="1">
      <c r="AC16" s="1519"/>
      <c r="AD16" s="1519"/>
      <c r="AE16" s="482" t="str">
        <f>AF15&amp;"-"&amp;AH15</f>
        <v>-</v>
      </c>
      <c r="AF16" s="2317"/>
      <c r="AG16" s="2317"/>
      <c r="AH16" s="2317"/>
      <c r="AI16" s="2317"/>
    </row>
    <row customHeight="1" ht="14.25" hidden="1">
      <c r="AI17" s="481"/>
    </row>
    <row s="8721" customFormat="1" customHeight="1" ht="22.5" hidden="1">
      <c r="L18" s="1580"/>
      <c r="M18" s="1521"/>
      <c r="N18" s="1521"/>
      <c r="O18" s="1526" t="s">
        <v>415</v>
      </c>
      <c r="P18" s="1521"/>
      <c r="Q18" s="1530"/>
      <c r="R18" s="1530"/>
      <c r="S18" s="883"/>
      <c r="Y18" s="1526"/>
      <c r="AA18" s="1526"/>
      <c r="AB18" s="1525"/>
      <c r="AF18" s="1526"/>
      <c r="AH18" s="1526"/>
      <c r="AI18" s="1525"/>
      <c r="AL18" s="665"/>
      <c r="AM18" s="665"/>
      <c r="AN18" s="665"/>
      <c r="AO18" s="665"/>
      <c r="AP18" s="665"/>
    </row>
    <row s="8721" customFormat="1" customHeight="1" ht="14.25" hidden="1">
      <c r="L19" s="1580"/>
      <c r="M19" s="1521"/>
      <c r="N19" s="1521"/>
      <c r="O19" s="1521"/>
      <c r="P19" s="1521"/>
      <c r="Q19" s="1530"/>
      <c r="R19" s="1530"/>
      <c r="S19" s="883"/>
      <c r="AB19" s="1525"/>
      <c r="AI19" s="1525"/>
      <c r="AL19" s="665"/>
      <c r="AM19" s="665"/>
      <c r="AN19" s="665"/>
      <c r="AO19" s="665"/>
      <c r="AP19" s="665"/>
    </row>
    <row s="8721" customFormat="1" customHeight="1" ht="12" hidden="1">
      <c r="L20" s="1580"/>
      <c r="M20" s="1521"/>
      <c r="N20" s="1521"/>
      <c r="O20" s="1523" t="s">
        <v>416</v>
      </c>
      <c r="P20" s="1521"/>
      <c r="Q20" s="1601"/>
      <c r="R20" s="1601"/>
      <c r="S20" s="883"/>
      <c r="T20" s="1316" t="s">
        <v>417</v>
      </c>
      <c r="Z20" s="340" t="s">
        <v>418</v>
      </c>
      <c r="AB20" s="340" t="s">
        <v>419</v>
      </c>
      <c r="AC20" s="1316" t="s">
        <v>417</v>
      </c>
      <c r="AG20" s="340" t="s">
        <v>420</v>
      </c>
      <c r="AI20" s="340" t="s">
        <v>419</v>
      </c>
    </row>
    <row customHeight="1" ht="14.25" hidden="1">
      <c r="O21" s="1523"/>
    </row>
    <row customHeight="1" ht="14.25" hidden="1">
      <c r="O22" s="1523"/>
    </row>
    <row customHeight="1" ht="14.25">
      <c r="Q23" s="530"/>
      <c r="R23" s="530"/>
      <c r="S23" s="1434"/>
      <c r="T23" s="517"/>
      <c r="U23" s="517"/>
      <c r="V23" s="663"/>
      <c r="W23" s="663"/>
      <c r="X23" s="663"/>
      <c r="Y23" s="663"/>
      <c r="Z23" s="663"/>
      <c r="AA23" s="663"/>
      <c r="AB23" s="663"/>
      <c r="AC23" s="663"/>
      <c r="AD23" s="663"/>
      <c r="AE23" s="663"/>
      <c r="AF23" s="663"/>
      <c r="AG23" s="663"/>
      <c r="AH23" s="663"/>
      <c r="AI23" s="663"/>
    </row>
    <row customHeight="1" ht="14.25">
      <c r="Q24" s="530"/>
      <c r="R24" s="530"/>
      <c r="S24" s="2353" t="str">
        <f>IF(TEMPLATE_GROUP="P",PT_P_FORM_COLDVSNA_4_NAME_FORM,PT_R_FORM_COLDVSNA_16_NAME_FORM)</f>
        <v>Форма 2. Информация
о тарифах в сфере холодного водоснабжения на товары (услуги) организации холодного водоснабжения, подлежащих регулированию</v>
      </c>
      <c r="T24" s="2353"/>
      <c r="U24" s="2353"/>
      <c r="V24" s="2353"/>
      <c r="W24" s="2353"/>
      <c r="X24" s="2353"/>
      <c r="Y24" s="2353"/>
      <c r="Z24" s="2353"/>
      <c r="AA24" s="2353"/>
      <c r="AB24" s="2353"/>
      <c r="AC24" s="2353"/>
      <c r="AD24" s="2353"/>
      <c r="AE24" s="2353"/>
      <c r="AF24" s="2353"/>
      <c r="AG24" s="2353"/>
      <c r="AH24" s="2353"/>
      <c r="AI24" s="1401"/>
    </row>
    <row customHeight="1" ht="14.25">
      <c r="Q25" s="530"/>
      <c r="R25" s="530"/>
      <c r="S25" s="2354" t="str">
        <f>IF(org=0,"Не определено",org)</f>
        <v>АО "Теплокоммунэнерго"</v>
      </c>
      <c r="T25" s="2354"/>
      <c r="U25" s="2354"/>
      <c r="V25" s="2354"/>
      <c r="W25" s="2354"/>
      <c r="X25" s="2354"/>
      <c r="Y25" s="2354"/>
      <c r="Z25" s="2354"/>
      <c r="AA25" s="2354"/>
      <c r="AB25" s="2354"/>
      <c r="AC25" s="2354"/>
      <c r="AD25" s="2354"/>
      <c r="AE25" s="2354"/>
      <c r="AF25" s="2354"/>
      <c r="AG25" s="2354"/>
      <c r="AH25" s="2354"/>
      <c r="AI25" s="1401"/>
    </row>
    <row customHeight="1" ht="14.25">
      <c r="Q26" s="530"/>
      <c r="R26" s="530"/>
      <c r="S26" s="1434"/>
      <c r="T26" s="517"/>
      <c r="U26" s="517"/>
      <c r="V26" s="476"/>
      <c r="W26" s="476"/>
      <c r="X26" s="476"/>
      <c r="Y26" s="476"/>
      <c r="Z26" s="476"/>
      <c r="AA26" s="476"/>
      <c r="AB26" s="476"/>
      <c r="AC26" s="476"/>
      <c r="AD26" s="476"/>
      <c r="AE26" s="476"/>
      <c r="AF26" s="476"/>
      <c r="AG26" s="476"/>
      <c r="AH26" s="476"/>
      <c r="AI26" s="476"/>
      <c r="AJ26" s="663"/>
    </row>
    <row s="8735" customFormat="1" customHeight="1" ht="25.5">
      <c r="A27" s="1527"/>
      <c r="B27" s="1527"/>
      <c r="C27" s="1527"/>
      <c r="D27" s="1527"/>
      <c r="E27" s="1527"/>
      <c r="F27" s="1527"/>
      <c r="G27" s="1527"/>
      <c r="H27" s="1527"/>
      <c r="I27" s="1527"/>
      <c r="J27" s="1527"/>
      <c r="K27" s="1527"/>
      <c r="L27" s="1528"/>
      <c r="M27" s="1527"/>
      <c r="N27" s="1527"/>
      <c r="O27" s="1527"/>
      <c r="S27" s="2311" t="s">
        <v>38</v>
      </c>
      <c r="T27" s="2311"/>
      <c r="U27" s="1531"/>
      <c r="V27" s="2313" t="str">
        <f>IF(TITLE_NAME_OR_PR_CHANGE="",IF(TITLE_NAME_OR_PR="","",TITLE_NAME_OR_PR),TITLE_NAME_OR_PR_CHANGE)</f>
        <v>Региональная служба по тарифам Ростовской области</v>
      </c>
      <c r="W27" s="2313"/>
      <c r="X27" s="2313"/>
      <c r="Y27" s="2313"/>
      <c r="Z27" s="2313"/>
      <c r="AA27" s="2313"/>
      <c r="AB27" s="480"/>
      <c r="AC27" s="2313" t="str">
        <f>IF(TITLE_NAME_OR_PR_CHANGE="",IF(TITLE_NAME_OR_PR="","",TITLE_NAME_OR_PR),TITLE_NAME_OR_PR_CHANGE)</f>
        <v>Региональная служба по тарифам Ростовской области</v>
      </c>
      <c r="AD27" s="2313"/>
      <c r="AE27" s="2313"/>
      <c r="AF27" s="2313"/>
      <c r="AG27" s="2313"/>
      <c r="AH27" s="2313"/>
      <c r="AI27" s="480"/>
      <c r="AJ27" s="480"/>
      <c r="AK27" s="434"/>
      <c r="AL27" s="522"/>
      <c r="AM27" s="522"/>
      <c r="AN27" s="522"/>
      <c r="AO27" s="522"/>
      <c r="AP27" s="522"/>
    </row>
    <row s="8735" customFormat="1" customHeight="1" ht="18.75">
      <c r="A28" s="1527"/>
      <c r="B28" s="1527"/>
      <c r="C28" s="1527"/>
      <c r="D28" s="1527"/>
      <c r="E28" s="1527"/>
      <c r="F28" s="1527"/>
      <c r="G28" s="1527"/>
      <c r="H28" s="1527"/>
      <c r="I28" s="1527"/>
      <c r="J28" s="1527"/>
      <c r="K28" s="1527"/>
      <c r="L28" s="1528"/>
      <c r="M28" s="1527"/>
      <c r="N28" s="1527"/>
      <c r="O28" s="1527"/>
      <c r="S28" s="2311" t="s">
        <v>421</v>
      </c>
      <c r="T28" s="2311"/>
      <c r="U28" s="1531"/>
      <c r="V28" s="2312" t="str">
        <f>IF(TITLE_DATE_PR_CHANGE="",IF(TITLE_DATE_PR="","",TITLE_DATE_PR),TITLE_DATE_PR_CHANGE)</f>
        <v>45279</v>
      </c>
      <c r="W28" s="2312"/>
      <c r="X28" s="2312"/>
      <c r="Y28" s="2312"/>
      <c r="Z28" s="2312"/>
      <c r="AA28" s="2312"/>
      <c r="AB28" s="480"/>
      <c r="AC28" s="2312" t="str">
        <f>IF(TITLE_DATE_PR_CHANGE="",IF(TITLE_DATE_PR="","",TITLE_DATE_PR),TITLE_DATE_PR_CHANGE)</f>
        <v>45279</v>
      </c>
      <c r="AD28" s="2312"/>
      <c r="AE28" s="2312"/>
      <c r="AF28" s="2312"/>
      <c r="AG28" s="2312"/>
      <c r="AH28" s="2312"/>
      <c r="AI28" s="480"/>
      <c r="AJ28" s="480"/>
      <c r="AK28" s="434"/>
      <c r="AL28" s="522"/>
      <c r="AM28" s="522"/>
      <c r="AN28" s="522"/>
      <c r="AO28" s="522"/>
      <c r="AP28" s="522"/>
    </row>
    <row s="8735" customFormat="1" customHeight="1" ht="18.75">
      <c r="A29" s="1527"/>
      <c r="B29" s="1527"/>
      <c r="C29" s="1527"/>
      <c r="D29" s="1527"/>
      <c r="E29" s="1527"/>
      <c r="F29" s="1527"/>
      <c r="G29" s="1527"/>
      <c r="H29" s="1527"/>
      <c r="I29" s="1527"/>
      <c r="J29" s="1527"/>
      <c r="K29" s="1527"/>
      <c r="L29" s="1528"/>
      <c r="M29" s="1527"/>
      <c r="N29" s="1527"/>
      <c r="O29" s="1527"/>
      <c r="S29" s="2311" t="s">
        <v>422</v>
      </c>
      <c r="T29" s="2311"/>
      <c r="U29" s="1531"/>
      <c r="V29" s="2313" t="str">
        <f>IF(TITLE_NUMBER_PR_CHANGE="",IF(TITLE_NUMBER_PR="","",TITLE_NUMBER_PR),TITLE_NUMBER_PR_CHANGE)</f>
        <v>877</v>
      </c>
      <c r="W29" s="2313"/>
      <c r="X29" s="2313"/>
      <c r="Y29" s="2313"/>
      <c r="Z29" s="2313"/>
      <c r="AA29" s="2313"/>
      <c r="AB29" s="480"/>
      <c r="AC29" s="2313" t="str">
        <f>IF(TITLE_NUMBER_PR_CHANGE="",IF(TITLE_NUMBER_PR="","",TITLE_NUMBER_PR),TITLE_NUMBER_PR_CHANGE)</f>
        <v>877</v>
      </c>
      <c r="AD29" s="2313"/>
      <c r="AE29" s="2313"/>
      <c r="AF29" s="2313"/>
      <c r="AG29" s="2313"/>
      <c r="AH29" s="2313"/>
      <c r="AI29" s="480"/>
      <c r="AJ29" s="480"/>
      <c r="AK29" s="434"/>
      <c r="AL29" s="522"/>
      <c r="AM29" s="522"/>
      <c r="AN29" s="522"/>
      <c r="AO29" s="522"/>
      <c r="AP29" s="522"/>
    </row>
    <row s="8735" customFormat="1" customHeight="1" ht="18.75">
      <c r="A30" s="1527"/>
      <c r="B30" s="1527"/>
      <c r="C30" s="1527"/>
      <c r="D30" s="1527"/>
      <c r="E30" s="1527"/>
      <c r="F30" s="1527"/>
      <c r="G30" s="1527"/>
      <c r="H30" s="1527"/>
      <c r="I30" s="1527"/>
      <c r="J30" s="1527"/>
      <c r="K30" s="1527"/>
      <c r="L30" s="1528"/>
      <c r="M30" s="1527"/>
      <c r="N30" s="1527"/>
      <c r="O30" s="1527"/>
      <c r="S30" s="2311" t="s">
        <v>40</v>
      </c>
      <c r="T30" s="2311"/>
      <c r="U30" s="1531"/>
      <c r="V30" s="2313" t="str">
        <f>IF(TITLE_IST_PUB_CHANGE="",IF(TITLE_IST_PUB="","",TITLE_IST_PUB),TITLE_IST_PUB_CHANGE)</f>
        <v>Официальный портал правовой информации Ростовской области</v>
      </c>
      <c r="W30" s="2313"/>
      <c r="X30" s="2313"/>
      <c r="Y30" s="2313"/>
      <c r="Z30" s="2313"/>
      <c r="AA30" s="2313"/>
      <c r="AB30" s="480"/>
      <c r="AC30" s="2313" t="str">
        <f>IF(TITLE_IST_PUB_CHANGE="",IF(TITLE_IST_PUB="","",TITLE_IST_PUB),TITLE_IST_PUB_CHANGE)</f>
        <v>Официальный портал правовой информации Ростовской области</v>
      </c>
      <c r="AD30" s="2313"/>
      <c r="AE30" s="2313"/>
      <c r="AF30" s="2313"/>
      <c r="AG30" s="2313"/>
      <c r="AH30" s="2313"/>
      <c r="AI30" s="480"/>
      <c r="AJ30" s="480"/>
      <c r="AK30" s="434"/>
      <c r="AL30" s="522"/>
      <c r="AM30" s="522"/>
      <c r="AN30" s="522"/>
      <c r="AO30" s="522"/>
      <c r="AP30" s="522"/>
    </row>
    <row customHeight="1" ht="14.25" hidden="1">
      <c r="Q31" s="530"/>
      <c r="R31" s="530"/>
      <c r="S31" s="1434"/>
      <c r="T31" s="517"/>
      <c r="U31" s="517"/>
      <c r="V31" s="476"/>
      <c r="W31" s="476"/>
      <c r="X31" s="476"/>
      <c r="Y31" s="476"/>
      <c r="Z31" s="476"/>
      <c r="AA31" s="476"/>
      <c r="AB31" s="476"/>
      <c r="AC31" s="476"/>
      <c r="AD31" s="476"/>
      <c r="AE31" s="476"/>
      <c r="AF31" s="476"/>
      <c r="AG31" s="476"/>
      <c r="AH31" s="476"/>
      <c r="AI31" s="476"/>
      <c r="AJ31" s="663"/>
    </row>
    <row s="8735" customFormat="1" customHeight="1" ht="18.75" hidden="1">
      <c r="A32" s="1527"/>
      <c r="B32" s="1527"/>
      <c r="C32" s="1527"/>
      <c r="D32" s="1527"/>
      <c r="E32" s="1527"/>
      <c r="F32" s="1527"/>
      <c r="G32" s="1527"/>
      <c r="H32" s="1527"/>
      <c r="I32" s="1527"/>
      <c r="J32" s="1527"/>
      <c r="K32" s="1527"/>
      <c r="L32" s="1528"/>
      <c r="M32" s="1527"/>
      <c r="N32" s="1527"/>
      <c r="O32" s="1527"/>
      <c r="S32" s="2311" t="s">
        <v>423</v>
      </c>
      <c r="T32" s="2311"/>
      <c r="U32" s="1531"/>
      <c r="V32" s="2312" t="str">
        <f>IF(TITLE_DATE_PR_CHANGE="",IF(TITLE_DATE_PR="","",TITLE_DATE_PR),TITLE_DATE_PR_CHANGE)</f>
        <v>45279</v>
      </c>
      <c r="W32" s="2312"/>
      <c r="X32" s="2312"/>
      <c r="Y32" s="2312"/>
      <c r="Z32" s="2312"/>
      <c r="AA32" s="2312"/>
      <c r="AB32" s="480"/>
      <c r="AC32" s="2312" t="str">
        <f>IF(TITLE_DATE_PR_CHANGE="",IF(TITLE_DATE_PR="","",TITLE_DATE_PR),TITLE_DATE_PR_CHANGE)</f>
        <v>45279</v>
      </c>
      <c r="AD32" s="2312"/>
      <c r="AE32" s="2312"/>
      <c r="AF32" s="2312"/>
      <c r="AG32" s="2312"/>
      <c r="AH32" s="2312"/>
      <c r="AI32" s="480"/>
      <c r="AJ32" s="480"/>
      <c r="AK32" s="434"/>
      <c r="AL32" s="522"/>
      <c r="AM32" s="522"/>
      <c r="AN32" s="522"/>
      <c r="AO32" s="522"/>
      <c r="AP32" s="522"/>
    </row>
    <row s="8735" customFormat="1" customHeight="1" ht="18.75" hidden="1">
      <c r="A33" s="1527"/>
      <c r="B33" s="1527"/>
      <c r="C33" s="1527"/>
      <c r="D33" s="1527"/>
      <c r="E33" s="1527"/>
      <c r="F33" s="1527"/>
      <c r="G33" s="1527"/>
      <c r="H33" s="1527"/>
      <c r="I33" s="1527"/>
      <c r="J33" s="1527"/>
      <c r="K33" s="1527"/>
      <c r="L33" s="1528"/>
      <c r="M33" s="1527"/>
      <c r="N33" s="1527"/>
      <c r="O33" s="1527"/>
      <c r="S33" s="2311" t="s">
        <v>424</v>
      </c>
      <c r="T33" s="2311"/>
      <c r="U33" s="1531"/>
      <c r="V33" s="2313" t="str">
        <f>IF(TITLE_NUMBER_PR_CHANGE="",IF(TITLE_NUMBER_PR="","",TITLE_NUMBER_PR),TITLE_NUMBER_PR_CHANGE)</f>
        <v>877</v>
      </c>
      <c r="W33" s="2313"/>
      <c r="X33" s="2313"/>
      <c r="Y33" s="2313"/>
      <c r="Z33" s="2313"/>
      <c r="AA33" s="2313"/>
      <c r="AB33" s="480"/>
      <c r="AC33" s="2313" t="str">
        <f>IF(TITLE_NUMBER_PR_CHANGE="",IF(TITLE_NUMBER_PR="","",TITLE_NUMBER_PR),TITLE_NUMBER_PR_CHANGE)</f>
        <v>877</v>
      </c>
      <c r="AD33" s="2313"/>
      <c r="AE33" s="2313"/>
      <c r="AF33" s="2313"/>
      <c r="AG33" s="2313"/>
      <c r="AH33" s="2313"/>
      <c r="AI33" s="480"/>
      <c r="AJ33" s="480"/>
      <c r="AK33" s="434"/>
      <c r="AL33" s="522"/>
      <c r="AM33" s="522"/>
      <c r="AN33" s="522"/>
      <c r="AO33" s="522"/>
      <c r="AP33" s="522"/>
    </row>
    <row s="8735" customFormat="1" customHeight="1" ht="0.75">
      <c r="A34" s="1527"/>
      <c r="B34" s="1527"/>
      <c r="C34" s="1527"/>
      <c r="D34" s="1527"/>
      <c r="E34" s="1527"/>
      <c r="F34" s="1527"/>
      <c r="G34" s="1527"/>
      <c r="H34" s="1527"/>
      <c r="I34" s="1527"/>
      <c r="J34" s="1527"/>
      <c r="K34" s="1527"/>
      <c r="L34" s="1528"/>
      <c r="M34" s="1527"/>
      <c r="N34" s="1527"/>
      <c r="O34" s="1527"/>
      <c r="S34" s="477"/>
      <c r="T34" s="477"/>
      <c r="U34" s="1514"/>
      <c r="V34" s="480"/>
      <c r="W34" s="480"/>
      <c r="X34" s="480"/>
      <c r="Y34" s="480"/>
      <c r="Z34" s="480"/>
      <c r="AA34" s="480"/>
      <c r="AB34" s="432" t="s">
        <v>425</v>
      </c>
      <c r="AC34" s="480"/>
      <c r="AD34" s="480"/>
      <c r="AE34" s="480"/>
      <c r="AF34" s="480"/>
      <c r="AG34" s="480"/>
      <c r="AH34" s="480"/>
      <c r="AI34" s="432" t="s">
        <v>425</v>
      </c>
      <c r="AL34" s="522"/>
      <c r="AM34" s="522"/>
      <c r="AN34" s="522"/>
      <c r="AO34" s="522"/>
      <c r="AP34" s="522"/>
    </row>
    <row customHeight="1" ht="14.25">
      <c r="Q35" s="530"/>
      <c r="R35" s="530"/>
      <c r="S35" s="1434"/>
      <c r="T35" s="517"/>
      <c r="U35" s="1402"/>
      <c r="V35" s="2337"/>
      <c r="W35" s="2337"/>
      <c r="X35" s="2337"/>
      <c r="Y35" s="2337"/>
      <c r="Z35" s="2337"/>
      <c r="AA35" s="2337"/>
      <c r="AB35" s="2337"/>
      <c r="AC35" s="2337"/>
      <c r="AD35" s="2337"/>
      <c r="AE35" s="2337"/>
      <c r="AF35" s="2337"/>
      <c r="AG35" s="2337"/>
      <c r="AH35" s="2337"/>
      <c r="AI35" s="2337"/>
    </row>
    <row customHeight="1" ht="14.25">
      <c r="Q36" s="530"/>
      <c r="R36" s="530"/>
      <c r="S36" s="2185" t="s">
        <v>300</v>
      </c>
      <c r="T36" s="2185"/>
      <c r="U36" s="2185"/>
      <c r="V36" s="2185"/>
      <c r="W36" s="2185"/>
      <c r="X36" s="2185"/>
      <c r="Y36" s="2185"/>
      <c r="Z36" s="2185"/>
      <c r="AA36" s="2185"/>
      <c r="AB36" s="2185"/>
      <c r="AC36" s="2185"/>
      <c r="AD36" s="2185"/>
      <c r="AE36" s="2185"/>
      <c r="AF36" s="2185"/>
      <c r="AG36" s="2185"/>
      <c r="AH36" s="2185"/>
      <c r="AI36" s="2185"/>
      <c r="AJ36" s="2185"/>
      <c r="AK36" s="2185" t="s">
        <v>301</v>
      </c>
    </row>
    <row customHeight="1" ht="14.25">
      <c r="Q37" s="530"/>
      <c r="R37" s="530"/>
      <c r="S37" s="2338" t="s">
        <v>85</v>
      </c>
      <c r="T37" s="2275" t="s">
        <v>426</v>
      </c>
      <c r="U37" s="455"/>
      <c r="V37" s="2339" t="s">
        <v>427</v>
      </c>
      <c r="W37" s="2340"/>
      <c r="X37" s="2340"/>
      <c r="Y37" s="2340"/>
      <c r="Z37" s="2340"/>
      <c r="AA37" s="2341"/>
      <c r="AB37" s="2342" t="s">
        <v>428</v>
      </c>
      <c r="AC37" s="2339" t="s">
        <v>427</v>
      </c>
      <c r="AD37" s="2340"/>
      <c r="AE37" s="2340"/>
      <c r="AF37" s="2340"/>
      <c r="AG37" s="2340"/>
      <c r="AH37" s="2341"/>
      <c r="AI37" s="2342" t="s">
        <v>429</v>
      </c>
      <c r="AJ37" s="2345" t="s">
        <v>430</v>
      </c>
      <c r="AK37" s="2185"/>
    </row>
    <row customHeight="1" ht="33.75">
      <c r="Q38" s="530"/>
      <c r="R38" s="530"/>
      <c r="S38" s="2338"/>
      <c r="T38" s="2275"/>
      <c r="U38" s="1186"/>
      <c r="V38" s="1511" t="s">
        <v>487</v>
      </c>
      <c r="W38" s="2331" t="s">
        <v>433</v>
      </c>
      <c r="X38" s="2333"/>
      <c r="Y38" s="2331" t="s">
        <v>434</v>
      </c>
      <c r="Z38" s="2332"/>
      <c r="AA38" s="2333"/>
      <c r="AB38" s="2343"/>
      <c r="AC38" s="1511" t="s">
        <v>487</v>
      </c>
      <c r="AD38" s="2331" t="s">
        <v>433</v>
      </c>
      <c r="AE38" s="2333"/>
      <c r="AF38" s="2331" t="s">
        <v>434</v>
      </c>
      <c r="AG38" s="2332"/>
      <c r="AH38" s="2333"/>
      <c r="AI38" s="2343"/>
      <c r="AJ38" s="2346"/>
      <c r="AK38" s="2185"/>
    </row>
    <row customHeight="1" ht="33.75">
      <c r="A39" s="1529"/>
      <c r="B39" s="1529" t="s">
        <v>132</v>
      </c>
      <c r="C39" s="1529" t="s">
        <v>133</v>
      </c>
      <c r="D39" s="1529" t="s">
        <v>134</v>
      </c>
      <c r="E39" s="1523" t="s">
        <v>435</v>
      </c>
      <c r="F39" s="1523" t="s">
        <v>436</v>
      </c>
      <c r="G39" s="1523" t="s">
        <v>437</v>
      </c>
      <c r="H39" s="1523"/>
      <c r="I39" s="1523" t="s">
        <v>488</v>
      </c>
      <c r="J39" s="1523" t="s">
        <v>440</v>
      </c>
      <c r="K39" s="1523" t="s">
        <v>489</v>
      </c>
      <c r="L39" s="1523" t="s">
        <v>416</v>
      </c>
      <c r="Q39" s="530"/>
      <c r="R39" s="530"/>
      <c r="S39" s="2338"/>
      <c r="T39" s="2275"/>
      <c r="U39" s="456"/>
      <c r="V39" s="1511" t="s">
        <v>490</v>
      </c>
      <c r="W39" s="1380" t="s">
        <v>491</v>
      </c>
      <c r="X39" s="1380" t="s">
        <v>492</v>
      </c>
      <c r="Y39" s="1516" t="s">
        <v>444</v>
      </c>
      <c r="Z39" s="2334" t="s">
        <v>445</v>
      </c>
      <c r="AA39" s="2335"/>
      <c r="AB39" s="2344"/>
      <c r="AC39" s="1511" t="s">
        <v>490</v>
      </c>
      <c r="AD39" s="1380" t="s">
        <v>491</v>
      </c>
      <c r="AE39" s="1380" t="s">
        <v>492</v>
      </c>
      <c r="AF39" s="1516" t="s">
        <v>444</v>
      </c>
      <c r="AG39" s="2334" t="s">
        <v>445</v>
      </c>
      <c r="AH39" s="2335"/>
      <c r="AI39" s="2344"/>
      <c r="AJ39" s="2347"/>
      <c r="AK39" s="2185"/>
    </row>
    <row s="8552" customFormat="1" customHeight="1" ht="11.25" hidden="1">
      <c r="A40" s="1529"/>
      <c r="B40" s="1529"/>
      <c r="C40" s="1529"/>
      <c r="D40" s="1529"/>
      <c r="E40" s="1529"/>
      <c r="F40" s="1529"/>
      <c r="G40" s="1529"/>
      <c r="H40" s="1529"/>
      <c r="I40" s="1529"/>
      <c r="J40" s="1529"/>
      <c r="K40" s="1529"/>
      <c r="L40" s="1523"/>
      <c r="M40" s="1521"/>
      <c r="N40" s="1521"/>
      <c r="O40" s="1521"/>
      <c r="P40" s="1404"/>
      <c r="Q40" s="1405"/>
      <c r="R40" s="1412">
        <v>1</v>
      </c>
      <c r="S40" s="1436" t="s">
        <v>106</v>
      </c>
      <c r="T40" s="1413" t="s">
        <v>107</v>
      </c>
      <c r="U40" s="1403" t="str">
        <f>OFFSET(U40,0,-1)</f>
        <v>2</v>
      </c>
      <c r="V40" s="1512">
        <f>OFFSET(V40,0,-1)+1</f>
        <v>3</v>
      </c>
      <c r="W40" s="1512">
        <f>OFFSET(W40,0,-1)+1</f>
        <v>4</v>
      </c>
      <c r="X40" s="1512">
        <f>OFFSET(X40,0,-1)+1</f>
        <v>5</v>
      </c>
      <c r="Y40" s="1512">
        <f>OFFSET(Y40,0,-1)+1</f>
        <v>6</v>
      </c>
      <c r="Z40" s="2336">
        <f>OFFSET(Z40,0,-1)+1</f>
        <v>7</v>
      </c>
      <c r="AA40" s="2336"/>
      <c r="AB40" s="1512">
        <f>OFFSET(AB40,0,-2)+1</f>
        <v>8</v>
      </c>
      <c r="AC40" s="1512">
        <f>OFFSET(AC40,0,-1)+1</f>
        <v>9</v>
      </c>
      <c r="AD40" s="1512">
        <f>OFFSET(AD40,0,-1)+1</f>
        <v>10</v>
      </c>
      <c r="AE40" s="1512">
        <f>OFFSET(AE40,0,-1)+1</f>
        <v>11</v>
      </c>
      <c r="AF40" s="1512">
        <f>OFFSET(AF40,0,-1)+1</f>
        <v>12</v>
      </c>
      <c r="AG40" s="2336">
        <f>OFFSET(AG40,0,-1)+1</f>
        <v>13</v>
      </c>
      <c r="AH40" s="2336"/>
      <c r="AI40" s="1512">
        <f>OFFSET(AI40,0,-2)+1</f>
        <v>14</v>
      </c>
      <c r="AJ40" s="1403">
        <f>OFFSET(AJ40,0,-1)</f>
        <v>14</v>
      </c>
      <c r="AK40" s="1512">
        <f>OFFSET(AK40,0,-1)+1</f>
        <v>15</v>
      </c>
      <c r="AL40" s="665"/>
      <c r="AM40" s="665"/>
      <c r="AN40" s="665"/>
      <c r="AO40" s="665"/>
      <c r="AP40" s="665"/>
    </row>
    <row customHeight="1" ht="23.25">
      <c r="A41" s="1522" t="s">
        <v>221</v>
      </c>
      <c r="B41" s="1522"/>
      <c r="C41" s="1522"/>
      <c r="D41" s="1522"/>
      <c r="E41" s="2320">
        <v>1</v>
      </c>
      <c r="F41" s="1522"/>
      <c r="G41" s="1522"/>
      <c r="H41" s="1522"/>
      <c r="I41" s="1522"/>
      <c r="J41" s="1522"/>
      <c r="K41" s="1522"/>
      <c r="L41" s="1523"/>
      <c r="M41" s="1524"/>
      <c r="N41" s="1524"/>
      <c r="O41" s="1524"/>
      <c r="P41" s="515"/>
      <c r="Q41" s="514"/>
      <c r="R41" s="509"/>
      <c r="S41" s="1517">
        <f>INDEX(PT_DIFFERENTIATION_NUM_NTAR,MATCH(A41,PT_DIFFERENTIATION_NTAR_ID,0))</f>
        <v>0</v>
      </c>
      <c r="T41" s="452" t="s">
        <v>120</v>
      </c>
      <c r="U41" s="454"/>
      <c r="V41" s="2314"/>
      <c r="W41" s="2315"/>
      <c r="X41" s="2315"/>
      <c r="Y41" s="2315"/>
      <c r="Z41" s="2315"/>
      <c r="AA41" s="2315"/>
      <c r="AB41" s="2316"/>
      <c r="AC41" s="2314" t="str">
        <f>INDEX(PT_DIFFERENTIATION_NTAR,MATCH(A41,PT_DIFFERENTIATION_NTAR_ID,0))</f>
        <v/>
      </c>
      <c r="AD41" s="2315"/>
      <c r="AE41" s="2315"/>
      <c r="AF41" s="2315"/>
      <c r="AG41" s="2315"/>
      <c r="AH41" s="2315"/>
      <c r="AI41" s="2315"/>
      <c r="AJ41" s="2316"/>
      <c r="AK41" s="1416"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41" s="654"/>
      <c r="AN41" s="654" t="str">
        <f>IF(T41="","",T41)</f>
        <v>Наименование тарифа</v>
      </c>
      <c r="AO41" s="654"/>
      <c r="AP41" s="654"/>
    </row>
    <row customHeight="1" ht="23.25">
      <c r="A42" s="1522" t="s">
        <v>221</v>
      </c>
      <c r="B42" s="1522" t="s">
        <v>222</v>
      </c>
      <c r="C42" s="1522"/>
      <c r="D42" s="1522"/>
      <c r="E42" s="2321"/>
      <c r="F42" s="2320">
        <v>1</v>
      </c>
      <c r="G42" s="1522"/>
      <c r="H42" s="1522"/>
      <c r="I42" s="1522"/>
      <c r="J42" s="1522"/>
      <c r="K42" s="1522"/>
      <c r="L42" s="1523"/>
      <c r="M42" s="1524"/>
      <c r="N42" s="1524"/>
      <c r="O42" s="1524"/>
      <c r="P42" s="1515"/>
      <c r="Q42" s="506"/>
      <c r="R42" s="507"/>
      <c r="S42" s="1517" t="str">
        <f>INDEX(PT_DIFFERENTIATION_NUM_TER,MATCH(B42,PT_DIFFERENTIATION_TER_ID,0))</f>
        <v>.</v>
      </c>
      <c r="T42" s="462" t="s">
        <v>397</v>
      </c>
      <c r="U42" s="454"/>
      <c r="V42" s="2314"/>
      <c r="W42" s="2315"/>
      <c r="X42" s="2315"/>
      <c r="Y42" s="2315"/>
      <c r="Z42" s="2315"/>
      <c r="AA42" s="2315"/>
      <c r="AB42" s="2316"/>
      <c r="AC42" s="2314" t="str">
        <f>INDEX(PT_DIFFERENTIATION_TER,MATCH(B42,PT_DIFFERENTIATION_TER_ID,0))</f>
        <v/>
      </c>
      <c r="AD42" s="2315"/>
      <c r="AE42" s="2315"/>
      <c r="AF42" s="2315"/>
      <c r="AG42" s="2315"/>
      <c r="AH42" s="2315"/>
      <c r="AI42" s="2315"/>
      <c r="AJ42" s="2316"/>
      <c r="AK42" s="1416" t="s">
        <v>398</v>
      </c>
      <c r="AM42" s="654"/>
      <c r="AN42" s="654" t="str">
        <f>IF(T42="","",T42)</f>
        <v>Территория действия тарифа</v>
      </c>
      <c r="AO42" s="654"/>
      <c r="AP42" s="654"/>
    </row>
    <row customHeight="1" ht="23.25">
      <c r="A43" s="1522" t="s">
        <v>221</v>
      </c>
      <c r="B43" s="1522" t="s">
        <v>222</v>
      </c>
      <c r="C43" s="1522" t="s">
        <v>223</v>
      </c>
      <c r="D43" s="1522"/>
      <c r="E43" s="2321"/>
      <c r="F43" s="2321"/>
      <c r="G43" s="2320">
        <v>1</v>
      </c>
      <c r="H43" s="1522"/>
      <c r="I43" s="1522"/>
      <c r="J43" s="1522"/>
      <c r="K43" s="1522"/>
      <c r="L43" s="1523"/>
      <c r="M43" s="1524"/>
      <c r="N43" s="1524"/>
      <c r="O43" s="1524"/>
      <c r="P43" s="508"/>
      <c r="Q43" s="506"/>
      <c r="R43" s="507"/>
      <c r="S43" s="1517" t="str">
        <f>INDEX(PT_DIFFERENTIATION_NUM_CS,MATCH(C43,PT_DIFFERENTIATION_CS_ID,0))</f>
        <v>..</v>
      </c>
      <c r="T43" s="463" t="s">
        <v>479</v>
      </c>
      <c r="U43" s="454"/>
      <c r="V43" s="2314"/>
      <c r="W43" s="2315"/>
      <c r="X43" s="2315"/>
      <c r="Y43" s="2315"/>
      <c r="Z43" s="2315"/>
      <c r="AA43" s="2315"/>
      <c r="AB43" s="2316"/>
      <c r="AC43" s="2314" t="str">
        <f>INDEX(PT_DIFFERENTIATION_CS,MATCH(C43,PT_DIFFERENTIATION_CS_ID,0))</f>
        <v/>
      </c>
      <c r="AD43" s="2315"/>
      <c r="AE43" s="2315"/>
      <c r="AF43" s="2315"/>
      <c r="AG43" s="2315"/>
      <c r="AH43" s="2315"/>
      <c r="AI43" s="2315"/>
      <c r="AJ43" s="2316"/>
      <c r="AK43" s="1416" t="s">
        <v>480</v>
      </c>
      <c r="AM43" s="654"/>
      <c r="AN43" s="654" t="str">
        <f>IF(T43="","",T43)</f>
        <v>Наименование централизованной системы холодного водоснабжения</v>
      </c>
      <c r="AO43" s="654"/>
      <c r="AP43" s="654"/>
    </row>
    <row customHeight="1" ht="23.25">
      <c r="A44" s="1522" t="s">
        <v>221</v>
      </c>
      <c r="B44" s="1522" t="s">
        <v>222</v>
      </c>
      <c r="C44" s="1522" t="s">
        <v>223</v>
      </c>
      <c r="D44" s="1522" t="s">
        <v>493</v>
      </c>
      <c r="E44" s="2321"/>
      <c r="F44" s="2321"/>
      <c r="G44" s="2321"/>
      <c r="H44" s="2321"/>
      <c r="I44" s="2322" t="str">
        <f>S43&amp;".1"</f>
        <v>...1</v>
      </c>
      <c r="J44" s="1522"/>
      <c r="K44" s="1522"/>
      <c r="L44" s="1523"/>
      <c r="P44" s="2324">
        <v>1</v>
      </c>
      <c r="Q44" s="1513"/>
      <c r="R44" s="510"/>
      <c r="S44" s="1517" t="str">
        <f>$I44</f>
        <v>...1</v>
      </c>
      <c r="T44" s="439" t="s">
        <v>481</v>
      </c>
      <c r="U44" s="454"/>
      <c r="V44" s="2407"/>
      <c r="W44" s="2408"/>
      <c r="X44" s="2408"/>
      <c r="Y44" s="2408"/>
      <c r="Z44" s="2408"/>
      <c r="AA44" s="2408"/>
      <c r="AB44" s="2409"/>
      <c r="AC44" s="2410"/>
      <c r="AD44" s="2411"/>
      <c r="AE44" s="2411"/>
      <c r="AF44" s="2411"/>
      <c r="AG44" s="2411"/>
      <c r="AH44" s="2411"/>
      <c r="AI44" s="2411"/>
      <c r="AJ44" s="2412"/>
      <c r="AK44" s="1416" t="s">
        <v>482</v>
      </c>
      <c r="AM44" s="654"/>
      <c r="AN44" s="654" t="str">
        <f>IF(T44="","",T44)</f>
        <v>Наименование признака дифференциации</v>
      </c>
      <c r="AO44" s="654"/>
      <c r="AP44" s="654"/>
    </row>
    <row customHeight="1" ht="23.25">
      <c r="A45" s="1522" t="s">
        <v>221</v>
      </c>
      <c r="B45" s="1522" t="s">
        <v>222</v>
      </c>
      <c r="C45" s="1522" t="s">
        <v>223</v>
      </c>
      <c r="D45" s="1522" t="s">
        <v>493</v>
      </c>
      <c r="E45" s="2321"/>
      <c r="F45" s="2321"/>
      <c r="G45" s="2321"/>
      <c r="H45" s="2321"/>
      <c r="I45" s="2323"/>
      <c r="J45" s="2322" t="str">
        <f>I44&amp;".1"</f>
        <v>...1.1</v>
      </c>
      <c r="K45" s="1522"/>
      <c r="L45" s="1523" t="s">
        <v>406</v>
      </c>
      <c r="P45" s="2324"/>
      <c r="Q45" s="2324">
        <v>1</v>
      </c>
      <c r="R45" s="511"/>
      <c r="S45" s="1517" t="str">
        <f>$J45</f>
        <v>...1.1</v>
      </c>
      <c r="T45" s="440" t="s">
        <v>407</v>
      </c>
      <c r="U45" s="454"/>
      <c r="V45" s="2308"/>
      <c r="W45" s="2309"/>
      <c r="X45" s="2309"/>
      <c r="Y45" s="2309"/>
      <c r="Z45" s="2309"/>
      <c r="AA45" s="2309"/>
      <c r="AB45" s="2310"/>
      <c r="AC45" s="2308"/>
      <c r="AD45" s="2309"/>
      <c r="AE45" s="2309"/>
      <c r="AF45" s="2309"/>
      <c r="AG45" s="2309"/>
      <c r="AH45" s="2309"/>
      <c r="AI45" s="2309"/>
      <c r="AJ45" s="2310"/>
      <c r="AK45" s="1466" t="s">
        <v>483</v>
      </c>
      <c r="AM45" s="654"/>
      <c r="AN45" s="654" t="str">
        <f>IF(T45="","",T45)</f>
        <v>Группа потребителей</v>
      </c>
      <c r="AO45" s="654"/>
      <c r="AP45" s="654"/>
    </row>
    <row customHeight="1" ht="23.25">
      <c r="A46" s="1522" t="s">
        <v>221</v>
      </c>
      <c r="B46" s="1522" t="s">
        <v>222</v>
      </c>
      <c r="C46" s="1522" t="s">
        <v>223</v>
      </c>
      <c r="D46" s="1522" t="s">
        <v>493</v>
      </c>
      <c r="E46" s="2321"/>
      <c r="F46" s="2321"/>
      <c r="G46" s="2321"/>
      <c r="H46" s="2321"/>
      <c r="I46" s="2323"/>
      <c r="J46" s="2323"/>
      <c r="K46" s="2322" t="str">
        <f>J45&amp;".1"</f>
        <v>...1.1.1</v>
      </c>
      <c r="L46" s="1523"/>
      <c r="P46" s="2324"/>
      <c r="Q46" s="2324"/>
      <c r="R46" s="511">
        <v>1</v>
      </c>
      <c r="S46" s="1517" t="str">
        <f>$K46</f>
        <v>...1.1.1</v>
      </c>
      <c r="T46" s="1596"/>
      <c r="U46" s="454"/>
      <c r="V46" s="1519"/>
      <c r="W46" s="1519"/>
      <c r="X46" s="1520"/>
      <c r="Y46" s="2318"/>
      <c r="Z46" s="2317" t="s">
        <v>64</v>
      </c>
      <c r="AA46" s="2318"/>
      <c r="AB46" s="2317" t="s">
        <v>64</v>
      </c>
      <c r="AC46" s="905"/>
      <c r="AD46" s="905"/>
      <c r="AE46" s="1415"/>
      <c r="AF46" s="2325"/>
      <c r="AG46" s="2195" t="s">
        <v>64</v>
      </c>
      <c r="AH46" s="2327"/>
      <c r="AI46" s="2195" t="s">
        <v>54</v>
      </c>
      <c r="AJ46" s="1597"/>
      <c r="AK46" s="241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65">
        <f>STRCHECKDATE(V47:AJ47)</f>
      </c>
      <c r="AM46" s="654"/>
      <c r="AN46" s="654" t="str">
        <f>IF(T46="","",T46)</f>
        <v/>
      </c>
      <c r="AO46" s="654"/>
      <c r="AP46" s="654"/>
    </row>
    <row customHeight="1" ht="0">
      <c r="A47" s="1522" t="s">
        <v>221</v>
      </c>
      <c r="B47" s="1522" t="s">
        <v>222</v>
      </c>
      <c r="C47" s="1522" t="s">
        <v>223</v>
      </c>
      <c r="D47" s="1522" t="s">
        <v>493</v>
      </c>
      <c r="E47" s="2321"/>
      <c r="F47" s="2321"/>
      <c r="G47" s="2321"/>
      <c r="H47" s="2321"/>
      <c r="I47" s="2323"/>
      <c r="J47" s="2323"/>
      <c r="K47" s="2322"/>
      <c r="L47" s="1523"/>
      <c r="P47" s="2324"/>
      <c r="Q47" s="2324"/>
      <c r="R47" s="511"/>
      <c r="S47" s="1518"/>
      <c r="T47" s="454"/>
      <c r="U47" s="454"/>
      <c r="V47" s="1519"/>
      <c r="W47" s="1519"/>
      <c r="X47" s="482" t="str">
        <f>Y46&amp;"-"&amp;AA46</f>
        <v>-</v>
      </c>
      <c r="Y47" s="2317"/>
      <c r="Z47" s="2317"/>
      <c r="AA47" s="2317"/>
      <c r="AB47" s="2317"/>
      <c r="AC47" s="479"/>
      <c r="AD47" s="479"/>
      <c r="AE47" s="482" t="str">
        <f>AF46&amp;"-"&amp;AH46</f>
        <v>-</v>
      </c>
      <c r="AF47" s="2326"/>
      <c r="AG47" s="2195"/>
      <c r="AH47" s="2328"/>
      <c r="AI47" s="2195"/>
      <c r="AJ47" s="1598"/>
      <c r="AK47" s="2413"/>
      <c r="AM47" s="654"/>
      <c r="AN47" s="654" t="str">
        <f>IF(T47="","",T47)</f>
        <v/>
      </c>
      <c r="AO47" s="654"/>
      <c r="AP47" s="654"/>
    </row>
    <row customHeight="1" ht="21">
      <c r="A48" s="1522" t="s">
        <v>221</v>
      </c>
      <c r="B48" s="1522" t="s">
        <v>222</v>
      </c>
      <c r="C48" s="1522" t="s">
        <v>223</v>
      </c>
      <c r="D48" s="1522" t="s">
        <v>493</v>
      </c>
      <c r="E48" s="2321"/>
      <c r="F48" s="2321"/>
      <c r="G48" s="2321"/>
      <c r="H48" s="2321"/>
      <c r="I48" s="2323"/>
      <c r="J48" s="2322"/>
      <c r="K48" s="1522"/>
      <c r="L48" s="1523"/>
      <c r="P48" s="2324"/>
      <c r="Q48" s="2324"/>
      <c r="R48" s="510"/>
      <c r="S48" s="1437"/>
      <c r="T48" s="441" t="s">
        <v>484</v>
      </c>
      <c r="U48" s="521"/>
      <c r="V48" s="521"/>
      <c r="W48" s="521"/>
      <c r="X48" s="521"/>
      <c r="Y48" s="521"/>
      <c r="Z48" s="521"/>
      <c r="AA48" s="521"/>
      <c r="AB48" s="521"/>
      <c r="AC48" s="521"/>
      <c r="AD48" s="521"/>
      <c r="AE48" s="521"/>
      <c r="AF48" s="521"/>
      <c r="AG48" s="521"/>
      <c r="AH48" s="521"/>
      <c r="AI48" s="521"/>
      <c r="AJ48" s="521"/>
      <c r="AK48" s="1416" t="s">
        <v>485</v>
      </c>
      <c r="AM48" s="654"/>
      <c r="AN48" s="654" t="str">
        <f>IF(T48="","",T48)</f>
        <v>Добавить значение признака дифференциации</v>
      </c>
      <c r="AO48" s="654"/>
      <c r="AP48" s="654"/>
    </row>
    <row customHeight="1" ht="21">
      <c r="A49" s="1522" t="s">
        <v>221</v>
      </c>
      <c r="B49" s="1522" t="s">
        <v>222</v>
      </c>
      <c r="C49" s="1522" t="s">
        <v>223</v>
      </c>
      <c r="D49" s="1522" t="s">
        <v>493</v>
      </c>
      <c r="E49" s="2321"/>
      <c r="F49" s="2321"/>
      <c r="G49" s="2321"/>
      <c r="H49" s="2321"/>
      <c r="I49" s="2322"/>
      <c r="J49" s="1522"/>
      <c r="K49" s="1522"/>
      <c r="L49" s="1523"/>
      <c r="P49" s="2324"/>
      <c r="Q49" s="1513"/>
      <c r="R49" s="510"/>
      <c r="S49" s="1437"/>
      <c r="T49" s="519" t="s">
        <v>412</v>
      </c>
      <c r="U49" s="521"/>
      <c r="V49" s="521"/>
      <c r="W49" s="521"/>
      <c r="X49" s="521"/>
      <c r="Y49" s="521"/>
      <c r="Z49" s="521"/>
      <c r="AA49" s="521"/>
      <c r="AB49" s="520"/>
      <c r="AC49" s="521"/>
      <c r="AD49" s="521"/>
      <c r="AE49" s="521"/>
      <c r="AF49" s="521"/>
      <c r="AG49" s="521"/>
      <c r="AH49" s="521"/>
      <c r="AI49" s="520"/>
      <c r="AJ49" s="521"/>
      <c r="AK49" s="1599"/>
      <c r="AM49" s="654"/>
      <c r="AN49" s="654" t="str">
        <f>IF(T49="","",T49)</f>
        <v>Добавить группу потребителей</v>
      </c>
      <c r="AO49" s="654"/>
      <c r="AP49" s="654"/>
    </row>
    <row customHeight="1" ht="21">
      <c r="A50" s="1522" t="s">
        <v>221</v>
      </c>
      <c r="B50" s="1522" t="s">
        <v>222</v>
      </c>
      <c r="C50" s="1522" t="s">
        <v>223</v>
      </c>
      <c r="D50" s="1522" t="s">
        <v>493</v>
      </c>
      <c r="E50" s="2321"/>
      <c r="F50" s="2321"/>
      <c r="G50" s="2321"/>
      <c r="H50" s="2320"/>
      <c r="I50" s="1522"/>
      <c r="J50" s="1522"/>
      <c r="K50" s="1522"/>
      <c r="L50" s="1523"/>
      <c r="M50" s="1524"/>
      <c r="N50" s="1524"/>
      <c r="O50" s="691"/>
      <c r="P50" s="514"/>
      <c r="Q50" s="529"/>
      <c r="R50" s="509"/>
      <c r="S50" s="1437"/>
      <c r="T50" s="526" t="s">
        <v>486</v>
      </c>
      <c r="U50" s="521"/>
      <c r="V50" s="521"/>
      <c r="W50" s="521"/>
      <c r="X50" s="521"/>
      <c r="Y50" s="521"/>
      <c r="Z50" s="521"/>
      <c r="AA50" s="521"/>
      <c r="AB50" s="520"/>
      <c r="AC50" s="521"/>
      <c r="AD50" s="521"/>
      <c r="AE50" s="521"/>
      <c r="AF50" s="521"/>
      <c r="AG50" s="521"/>
      <c r="AH50" s="521"/>
      <c r="AI50" s="520"/>
      <c r="AJ50" s="521"/>
      <c r="AK50" s="457"/>
      <c r="AM50" s="654"/>
      <c r="AN50" s="654" t="str">
        <f>IF(T50="","",T50)</f>
        <v>Добавить наименование признака дифференциации</v>
      </c>
      <c r="AO50" s="654"/>
      <c r="AP50" s="654"/>
    </row>
    <row s="8702" customFormat="1" customHeight="1" ht="0">
      <c r="A51" s="1502" t="s">
        <v>221</v>
      </c>
      <c r="B51" s="1502" t="s">
        <v>222</v>
      </c>
      <c r="C51" s="1473"/>
      <c r="D51" s="1473"/>
      <c r="E51" s="2321"/>
      <c r="F51" s="2320"/>
      <c r="G51" s="1473"/>
      <c r="H51" s="1473"/>
      <c r="I51" s="1473"/>
      <c r="J51" s="1473"/>
      <c r="K51" s="1473"/>
      <c r="L51" s="1585"/>
      <c r="M51" s="1480"/>
      <c r="N51" s="1480"/>
      <c r="P51" s="1475"/>
      <c r="Q51" s="1476"/>
      <c r="R51" s="1475"/>
      <c r="S51" s="1481"/>
      <c r="T51" s="1484" t="s">
        <v>251</v>
      </c>
      <c r="U51" s="1483"/>
      <c r="V51" s="1483"/>
      <c r="W51" s="1483"/>
      <c r="X51" s="1483"/>
      <c r="Y51" s="1483"/>
      <c r="Z51" s="1483"/>
      <c r="AA51" s="1483"/>
      <c r="AB51" s="1483"/>
      <c r="AC51" s="1483"/>
      <c r="AD51" s="1483"/>
      <c r="AE51" s="1483"/>
      <c r="AF51" s="1483"/>
      <c r="AG51" s="1483"/>
      <c r="AH51" s="1483"/>
      <c r="AI51" s="1483"/>
      <c r="AJ51" s="1483"/>
      <c r="AK51" s="1483"/>
      <c r="AM51" s="943"/>
      <c r="AN51" s="943" t="str">
        <f>IF(T51="","",T51)</f>
        <v>Добавить централизованную систему для дифференциации</v>
      </c>
      <c r="AO51" s="943"/>
      <c r="AP51" s="943"/>
    </row>
    <row s="8794" customFormat="1" customHeight="1" ht="0">
      <c r="A52" s="1502" t="s">
        <v>221</v>
      </c>
      <c r="B52" s="1502"/>
      <c r="C52" s="1502"/>
      <c r="D52" s="1502"/>
      <c r="E52" s="2320"/>
      <c r="F52" s="1502"/>
      <c r="G52" s="1502"/>
      <c r="H52" s="1502"/>
      <c r="I52" s="1502"/>
      <c r="J52" s="1502"/>
      <c r="K52" s="1502"/>
      <c r="L52" s="1505"/>
      <c r="M52" s="1480"/>
      <c r="N52" s="1480"/>
      <c r="O52" s="672"/>
      <c r="P52" s="534"/>
      <c r="Q52" s="1503"/>
      <c r="R52" s="534"/>
      <c r="S52" s="1481"/>
      <c r="T52" s="1484" t="s">
        <v>252</v>
      </c>
      <c r="U52" s="1483"/>
      <c r="V52" s="1483"/>
      <c r="W52" s="1483"/>
      <c r="X52" s="1483"/>
      <c r="Y52" s="1483"/>
      <c r="Z52" s="1483"/>
      <c r="AA52" s="1483"/>
      <c r="AB52" s="1483"/>
      <c r="AC52" s="1483"/>
      <c r="AD52" s="1483"/>
      <c r="AE52" s="1483"/>
      <c r="AF52" s="1483"/>
      <c r="AG52" s="1483"/>
      <c r="AH52" s="1483"/>
      <c r="AI52" s="1483"/>
      <c r="AJ52" s="1483"/>
      <c r="AK52" s="1483"/>
      <c r="AM52" s="654"/>
      <c r="AN52" s="654" t="str">
        <f>IF(T52="","",T52)</f>
        <v>Добавить территорию для дифференциации</v>
      </c>
      <c r="AO52" s="654"/>
      <c r="AP52" s="654"/>
    </row>
    <row s="8702" customFormat="1" customHeight="1" ht="0">
      <c r="A53" s="1473"/>
      <c r="B53" s="1473"/>
      <c r="C53" s="1473"/>
      <c r="D53" s="1473"/>
      <c r="E53" s="1502"/>
      <c r="F53" s="1473"/>
      <c r="G53" s="1473"/>
      <c r="H53" s="1473"/>
      <c r="I53" s="1473"/>
      <c r="J53" s="1473"/>
      <c r="K53" s="1473"/>
      <c r="L53" s="1585"/>
      <c r="M53" s="1480"/>
      <c r="N53" s="1480"/>
      <c r="P53" s="1475"/>
      <c r="Q53" s="1476"/>
      <c r="R53" s="1475"/>
      <c r="S53" s="1481"/>
      <c r="T53" s="1484" t="s">
        <v>253</v>
      </c>
      <c r="U53" s="1483"/>
      <c r="V53" s="1483"/>
      <c r="W53" s="1483"/>
      <c r="X53" s="1483"/>
      <c r="Y53" s="1483"/>
      <c r="Z53" s="1483"/>
      <c r="AA53" s="1483"/>
      <c r="AB53" s="1483"/>
      <c r="AC53" s="1483"/>
      <c r="AD53" s="1483"/>
      <c r="AE53" s="1483"/>
      <c r="AF53" s="1483"/>
      <c r="AG53" s="1483"/>
      <c r="AH53" s="1483"/>
      <c r="AI53" s="1483"/>
      <c r="AJ53" s="1483"/>
      <c r="AK53" s="1483"/>
      <c r="AM53" s="943"/>
      <c r="AN53" s="943" t="str">
        <f>IF(T53="","",T53)</f>
        <v>Добавить наименование тарифа</v>
      </c>
      <c r="AO53" s="943"/>
      <c r="AP53" s="943"/>
    </row>
    <row customHeight="1" ht="11.25">
      <c r="M54" s="1316"/>
      <c r="N54" s="1316"/>
      <c r="O54" s="691"/>
      <c r="P54" s="1311"/>
      <c r="Q54" s="1311"/>
      <c r="R54" s="1311"/>
      <c r="S54" s="1311"/>
      <c r="AL54" s="1311"/>
      <c r="AM54" s="1311"/>
      <c r="AN54" s="1311"/>
      <c r="AO54" s="1311"/>
      <c r="AP54" s="1311"/>
    </row>
    <row customHeight="1" ht="14.25">
      <c r="O55" s="691"/>
      <c r="S55" s="1411"/>
      <c r="T55" s="2319"/>
      <c r="U55" s="2319"/>
      <c r="V55" s="2319"/>
      <c r="W55" s="2319"/>
      <c r="X55" s="2319"/>
      <c r="Y55" s="2319"/>
      <c r="Z55" s="2319"/>
      <c r="AA55" s="2319"/>
      <c r="AB55" s="2319"/>
      <c r="AC55" s="2319"/>
      <c r="AD55" s="2319"/>
      <c r="AE55" s="2319"/>
      <c r="AF55" s="2319"/>
      <c r="AG55" s="2319"/>
      <c r="AH55" s="2319"/>
      <c r="AI55" s="2319"/>
      <c r="AJ55" s="2319"/>
      <c r="AK55" s="2319"/>
    </row>
    <row customHeight="1" ht="14.25">
      <c r="O56" s="691"/>
    </row>
    <row customHeight="1" ht="14.25">
      <c r="O57" s="691"/>
      <c r="S57" s="1411"/>
      <c r="T57" s="2319"/>
      <c r="U57" s="2319"/>
      <c r="V57" s="2319"/>
      <c r="W57" s="2319"/>
      <c r="X57" s="2319"/>
      <c r="Y57" s="2319"/>
      <c r="Z57" s="2319"/>
      <c r="AA57" s="2319"/>
      <c r="AB57" s="2319"/>
      <c r="AC57" s="2319"/>
      <c r="AD57" s="2319"/>
      <c r="AE57" s="2319"/>
      <c r="AF57" s="2319"/>
      <c r="AG57" s="2319"/>
      <c r="AH57" s="2319"/>
      <c r="AI57" s="2319"/>
      <c r="AJ57" s="2319"/>
      <c r="AK57" s="2319"/>
    </row>
  </sheetData>
  <sheetProtection formatColumns="0" formatRows="0" autoFilter="0" sort="0" insertRows="0" insertColumns="1" deleteRows="0" deleteColumns="0"/>
  <mergeCells count="101">
    <mergeCell ref="T55:AK55"/>
    <mergeCell ref="T57:AK57"/>
    <mergeCell ref="Q45:Q48"/>
    <mergeCell ref="V45:AB45"/>
    <mergeCell ref="AC45:AJ45"/>
    <mergeCell ref="Z46:Z47"/>
    <mergeCell ref="AA46:AA47"/>
    <mergeCell ref="AB46:AB47"/>
    <mergeCell ref="AF46:AF47"/>
    <mergeCell ref="AG46:AG47"/>
    <mergeCell ref="AK46:AK47"/>
    <mergeCell ref="AH46:AH47"/>
    <mergeCell ref="AI46:AI47"/>
    <mergeCell ref="E41:E52"/>
    <mergeCell ref="V41:AB41"/>
    <mergeCell ref="AC41:AJ41"/>
    <mergeCell ref="F42:F51"/>
    <mergeCell ref="V42:AB42"/>
    <mergeCell ref="AC42:AJ42"/>
    <mergeCell ref="G43:G50"/>
    <mergeCell ref="Y38:AA38"/>
    <mergeCell ref="AD38:AE38"/>
    <mergeCell ref="AF38:AH38"/>
    <mergeCell ref="Z39:AA39"/>
    <mergeCell ref="H44:H50"/>
    <mergeCell ref="I44:I49"/>
    <mergeCell ref="P44:P49"/>
    <mergeCell ref="V44:AB44"/>
    <mergeCell ref="AC44:AJ44"/>
    <mergeCell ref="J45:J48"/>
    <mergeCell ref="AG39:AH39"/>
    <mergeCell ref="Z40:AA40"/>
    <mergeCell ref="AG40:AH40"/>
    <mergeCell ref="K46:K47"/>
    <mergeCell ref="Y46:Y47"/>
    <mergeCell ref="V43:AB43"/>
    <mergeCell ref="AC43:AJ43"/>
    <mergeCell ref="AC29:AH29"/>
    <mergeCell ref="S30:T30"/>
    <mergeCell ref="V30:AA30"/>
    <mergeCell ref="AC30:AH30"/>
    <mergeCell ref="V35:AB35"/>
    <mergeCell ref="AC35:AI35"/>
    <mergeCell ref="S36:AJ36"/>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S29:T29"/>
    <mergeCell ref="V29:AA29"/>
    <mergeCell ref="AJ37:AJ39"/>
    <mergeCell ref="W38:X38"/>
    <mergeCell ref="AK7:AK8"/>
    <mergeCell ref="S24:AH24"/>
    <mergeCell ref="S25:AH25"/>
    <mergeCell ref="S27:T27"/>
    <mergeCell ref="V27:AA27"/>
    <mergeCell ref="AC27:AH27"/>
    <mergeCell ref="S28:T28"/>
    <mergeCell ref="V28:AA28"/>
    <mergeCell ref="AC28:AH28"/>
    <mergeCell ref="AG7:AG8"/>
    <mergeCell ref="AH7:AH8"/>
    <mergeCell ref="AF15:AF16"/>
    <mergeCell ref="AG15:AG16"/>
    <mergeCell ref="AH15:AH16"/>
    <mergeCell ref="AI15:AI16"/>
    <mergeCell ref="AF7:AF8"/>
    <mergeCell ref="E2:E13"/>
    <mergeCell ref="V2:AB2"/>
    <mergeCell ref="AC2:AJ2"/>
    <mergeCell ref="F3:F12"/>
    <mergeCell ref="V3:AB3"/>
    <mergeCell ref="AC3:AJ3"/>
    <mergeCell ref="G4:G11"/>
    <mergeCell ref="V4:AB4"/>
    <mergeCell ref="AC4:AJ4"/>
    <mergeCell ref="H5:H11"/>
    <mergeCell ref="AI7:AI8"/>
    <mergeCell ref="K7:K8"/>
    <mergeCell ref="Y7:Y8"/>
    <mergeCell ref="Z7:Z8"/>
    <mergeCell ref="AA7:AA8"/>
    <mergeCell ref="AB7:AB8"/>
    <mergeCell ref="I5:I10"/>
    <mergeCell ref="P5:P10"/>
    <mergeCell ref="V5:AB5"/>
    <mergeCell ref="AC5:AJ5"/>
    <mergeCell ref="J6:J9"/>
    <mergeCell ref="Q6:Q9"/>
    <mergeCell ref="V6:AB6"/>
    <mergeCell ref="AC6:AJ6"/>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D6912EE-6F78-9B76-6CC3-761F72033C1F}" mc:Ignorable="x14ac xr xr2 xr3">
  <sheetPr>
    <tabColor theme="6" tint="0.4"/>
  </sheetPr>
  <dimension ref="A1:AP57"/>
  <sheetViews>
    <sheetView topLeftCell="A1" showGridLines="0" zoomScale="90" workbookViewId="0">
      <selection activeCell="A1" sqref="A1"/>
    </sheetView>
  </sheetViews>
  <sheetFormatPr defaultColWidth="10.57421875" customHeight="1" defaultRowHeight="14.25"/>
  <cols>
    <col min="1" max="1" style="8721" width="10.57421875" hidden="1"/>
    <col min="2" max="2" style="8721" width="11.00390625" hidden="1" customWidth="1"/>
    <col min="3" max="3" style="8721" width="10.57421875" hidden="1"/>
    <col min="4" max="4" style="8721" width="11.8515625" hidden="1" customWidth="1"/>
    <col min="5" max="5" style="8721" width="10.00390625" hidden="1" customWidth="1"/>
    <col min="6" max="6" style="8721" width="8.7109375" hidden="1" customWidth="1"/>
    <col min="7" max="7" style="8721" width="7.57421875" hidden="1" customWidth="1"/>
    <col min="8" max="8" style="8721" width="11.421875" hidden="1" customWidth="1"/>
    <col min="9" max="9" style="8721" width="14.140625" hidden="1" customWidth="1"/>
    <col min="10" max="10" style="8721" width="9.8515625" hidden="1" customWidth="1"/>
    <col min="11" max="11" style="8721" width="14.7109375" hidden="1" customWidth="1"/>
    <col min="12" max="12" style="9016" width="19.140625" hidden="1" customWidth="1"/>
    <col min="13" max="14" style="8803" width="12.28125" hidden="1" customWidth="1"/>
    <col min="15" max="15" style="8803" width="23.421875" hidden="1" customWidth="1"/>
    <col min="16" max="16" style="9017" width="3.7109375" customWidth="1"/>
    <col min="17" max="18" style="8805" width="3.7109375" customWidth="1"/>
    <col min="19" max="19" style="8806" width="12.7109375" customWidth="1"/>
    <col min="20" max="20" style="8807" width="35.7109375" customWidth="1"/>
    <col min="21" max="21" style="8807" width="0.140625" customWidth="1"/>
    <col min="22" max="24" style="8807" width="24.7109375" hidden="1" customWidth="1"/>
    <col min="25" max="25" style="8807" width="11.7109375" hidden="1" customWidth="1"/>
    <col min="26" max="26" style="8807" width="3.7109375" hidden="1" customWidth="1"/>
    <col min="27" max="27" style="8807" width="11.7109375" hidden="1" customWidth="1"/>
    <col min="28" max="28" style="8807" width="8.57421875" hidden="1" customWidth="1"/>
    <col min="29" max="31" style="8807" width="24.7109375" customWidth="1"/>
    <col min="32" max="32" style="8807" width="11.7109375" customWidth="1"/>
    <col min="33" max="33" style="8807" width="3.7109375" customWidth="1"/>
    <col min="34" max="34" style="8807" width="11.7109375" customWidth="1"/>
    <col min="35" max="35" style="8807" width="8.57421875" hidden="1" customWidth="1"/>
    <col min="36" max="36" style="8807" width="4.7109375" customWidth="1"/>
    <col min="37" max="37" style="8807" width="115.7109375" customWidth="1"/>
    <col min="38" max="39" style="8794" width="10.57421875"/>
    <col min="40" max="40" style="8794" width="11.140625" customWidth="1"/>
    <col min="41" max="42" style="8794" width="10.57421875"/>
  </cols>
  <sheetData>
    <row customHeight="1" ht="14.25" hidden="1">
      <c r="X1" s="481"/>
      <c r="Y1" s="481"/>
      <c r="AE1" s="481"/>
      <c r="AF1" s="481"/>
    </row>
    <row customHeight="1" ht="23.25" hidden="1">
      <c r="A2" s="1522"/>
      <c r="B2" s="1522"/>
      <c r="C2" s="1522"/>
      <c r="D2" s="1522"/>
      <c r="E2" s="2320">
        <v>1</v>
      </c>
      <c r="F2" s="1522"/>
      <c r="G2" s="1522"/>
      <c r="H2" s="1522"/>
      <c r="I2" s="1522"/>
      <c r="J2" s="1522"/>
      <c r="K2" s="1522"/>
      <c r="L2" s="1523"/>
      <c r="M2" s="1524"/>
      <c r="N2" s="1524"/>
      <c r="O2" s="1524"/>
      <c r="P2" s="515"/>
      <c r="Q2" s="514"/>
      <c r="R2" s="509"/>
      <c r="S2" s="1616">
        <f>INDEX(PT_DIFFERENTIATION_NUM_NTAR,MATCH(A2,PT_DIFFERENTIATION_NTAR_ID,0))</f>
      </c>
      <c r="T2" s="452" t="s">
        <v>120</v>
      </c>
      <c r="U2" s="454"/>
      <c r="V2" s="2314"/>
      <c r="W2" s="2315"/>
      <c r="X2" s="2315"/>
      <c r="Y2" s="2315"/>
      <c r="Z2" s="2315"/>
      <c r="AA2" s="2315"/>
      <c r="AB2" s="2316"/>
      <c r="AC2" s="2314">
        <f>INDEX(PT_DIFFERENTIATION_NTAR,MATCH(A2,PT_DIFFERENTIATION_NTAR_ID,0))</f>
      </c>
      <c r="AD2" s="2315"/>
      <c r="AE2" s="2315"/>
      <c r="AF2" s="2315"/>
      <c r="AG2" s="2315"/>
      <c r="AH2" s="2315"/>
      <c r="AI2" s="2315"/>
      <c r="AJ2" s="2316"/>
      <c r="AK2" s="1416"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2" s="654"/>
      <c r="AN2" s="654" t="str">
        <f>IF(T2="","",T2)</f>
        <v>Наименование тарифа</v>
      </c>
      <c r="AO2" s="654"/>
      <c r="AP2" s="654"/>
    </row>
    <row customHeight="1" ht="23.25" hidden="1">
      <c r="A3" s="1522"/>
      <c r="B3" s="1522"/>
      <c r="C3" s="1522"/>
      <c r="D3" s="1522"/>
      <c r="E3" s="2321"/>
      <c r="F3" s="2320">
        <v>1</v>
      </c>
      <c r="G3" s="1522"/>
      <c r="H3" s="1522"/>
      <c r="I3" s="1522"/>
      <c r="J3" s="1522"/>
      <c r="K3" s="1522"/>
      <c r="L3" s="1523"/>
      <c r="M3" s="1524"/>
      <c r="N3" s="1524"/>
      <c r="O3" s="1524"/>
      <c r="P3" s="1612"/>
      <c r="Q3" s="506"/>
      <c r="R3" s="507"/>
      <c r="S3" s="1616">
        <f>INDEX(PT_DIFFERENTIATION_NUM_TER,MATCH(B3,PT_DIFFERENTIATION_TER_ID,0))</f>
      </c>
      <c r="T3" s="462" t="s">
        <v>397</v>
      </c>
      <c r="U3" s="454"/>
      <c r="V3" s="2314"/>
      <c r="W3" s="2315"/>
      <c r="X3" s="2315"/>
      <c r="Y3" s="2315"/>
      <c r="Z3" s="2315"/>
      <c r="AA3" s="2315"/>
      <c r="AB3" s="2316"/>
      <c r="AC3" s="2314">
        <f>INDEX(PT_DIFFERENTIATION_TER,MATCH(B3,PT_DIFFERENTIATION_TER_ID,0))</f>
      </c>
      <c r="AD3" s="2315"/>
      <c r="AE3" s="2315"/>
      <c r="AF3" s="2315"/>
      <c r="AG3" s="2315"/>
      <c r="AH3" s="2315"/>
      <c r="AI3" s="2315"/>
      <c r="AJ3" s="2316"/>
      <c r="AK3" s="1416" t="s">
        <v>398</v>
      </c>
      <c r="AM3" s="654"/>
      <c r="AN3" s="654" t="str">
        <f>IF(T3="","",T3)</f>
        <v>Территория действия тарифа</v>
      </c>
      <c r="AO3" s="654"/>
      <c r="AP3" s="654"/>
    </row>
    <row customHeight="1" ht="23.25" hidden="1">
      <c r="A4" s="1522"/>
      <c r="B4" s="1522"/>
      <c r="C4" s="1522"/>
      <c r="D4" s="1522"/>
      <c r="E4" s="2321"/>
      <c r="F4" s="2321"/>
      <c r="G4" s="2320">
        <v>1</v>
      </c>
      <c r="H4" s="1522"/>
      <c r="I4" s="1522"/>
      <c r="J4" s="1522"/>
      <c r="K4" s="1522"/>
      <c r="L4" s="1523"/>
      <c r="M4" s="1524"/>
      <c r="N4" s="1524"/>
      <c r="O4" s="1524"/>
      <c r="P4" s="508"/>
      <c r="Q4" s="506"/>
      <c r="R4" s="507"/>
      <c r="S4" s="1616">
        <f>INDEX(PT_DIFFERENTIATION_NUM_CS,MATCH(C4,PT_DIFFERENTIATION_CS_ID,0))</f>
      </c>
      <c r="T4" s="463" t="s">
        <v>479</v>
      </c>
      <c r="U4" s="454"/>
      <c r="V4" s="2314"/>
      <c r="W4" s="2315"/>
      <c r="X4" s="2315"/>
      <c r="Y4" s="2315"/>
      <c r="Z4" s="2315"/>
      <c r="AA4" s="2315"/>
      <c r="AB4" s="2316"/>
      <c r="AC4" s="2314">
        <f>INDEX(PT_DIFFERENTIATION_CS,MATCH(C4,PT_DIFFERENTIATION_CS_ID,0))</f>
      </c>
      <c r="AD4" s="2315"/>
      <c r="AE4" s="2315"/>
      <c r="AF4" s="2315"/>
      <c r="AG4" s="2315"/>
      <c r="AH4" s="2315"/>
      <c r="AI4" s="2315"/>
      <c r="AJ4" s="2316"/>
      <c r="AK4" s="1416" t="s">
        <v>480</v>
      </c>
      <c r="AM4" s="654"/>
      <c r="AN4" s="654" t="str">
        <f>IF(T4="","",T4)</f>
        <v>Наименование централизованной системы холодного водоснабжения</v>
      </c>
      <c r="AO4" s="654"/>
      <c r="AP4" s="654"/>
    </row>
    <row customHeight="1" ht="23.25" hidden="1">
      <c r="A5" s="1522"/>
      <c r="B5" s="1522"/>
      <c r="C5" s="1522"/>
      <c r="D5" s="1522"/>
      <c r="E5" s="2321"/>
      <c r="F5" s="2321"/>
      <c r="G5" s="2321"/>
      <c r="H5" s="2321"/>
      <c r="I5" s="2322">
        <f>S4&amp;".1"</f>
      </c>
      <c r="J5" s="1522"/>
      <c r="K5" s="1522"/>
      <c r="L5" s="1523"/>
      <c r="P5" s="2324">
        <v>1</v>
      </c>
      <c r="Q5" s="1609"/>
      <c r="R5" s="510"/>
      <c r="S5" s="1616">
        <f>$I5</f>
      </c>
      <c r="T5" s="439" t="s">
        <v>481</v>
      </c>
      <c r="U5" s="454"/>
      <c r="V5" s="2407"/>
      <c r="W5" s="2408"/>
      <c r="X5" s="2408"/>
      <c r="Y5" s="2408"/>
      <c r="Z5" s="2408"/>
      <c r="AA5" s="2408"/>
      <c r="AB5" s="2409"/>
      <c r="AC5" s="2410"/>
      <c r="AD5" s="2411"/>
      <c r="AE5" s="2411"/>
      <c r="AF5" s="2411"/>
      <c r="AG5" s="2411"/>
      <c r="AH5" s="2411"/>
      <c r="AI5" s="2411"/>
      <c r="AJ5" s="2412"/>
      <c r="AK5" s="1416" t="s">
        <v>482</v>
      </c>
      <c r="AM5" s="654"/>
      <c r="AN5" s="654" t="str">
        <f>IF(T5="","",T5)</f>
        <v>Наименование признака дифференциации</v>
      </c>
      <c r="AO5" s="654"/>
      <c r="AP5" s="654"/>
    </row>
    <row customHeight="1" ht="23.25" hidden="1">
      <c r="A6" s="1522"/>
      <c r="B6" s="1522"/>
      <c r="C6" s="1522"/>
      <c r="D6" s="1522"/>
      <c r="E6" s="2321"/>
      <c r="F6" s="2321"/>
      <c r="G6" s="2321"/>
      <c r="H6" s="2321"/>
      <c r="I6" s="2323"/>
      <c r="J6" s="2322">
        <f>I5&amp;".1"</f>
      </c>
      <c r="K6" s="1522"/>
      <c r="L6" s="1523" t="s">
        <v>406</v>
      </c>
      <c r="P6" s="2324"/>
      <c r="Q6" s="2324">
        <v>1</v>
      </c>
      <c r="R6" s="511"/>
      <c r="S6" s="1616">
        <f>$J6</f>
      </c>
      <c r="T6" s="440" t="s">
        <v>407</v>
      </c>
      <c r="U6" s="454"/>
      <c r="V6" s="2308"/>
      <c r="W6" s="2309"/>
      <c r="X6" s="2309"/>
      <c r="Y6" s="2309"/>
      <c r="Z6" s="2309"/>
      <c r="AA6" s="2309"/>
      <c r="AB6" s="2310"/>
      <c r="AC6" s="2308"/>
      <c r="AD6" s="2309"/>
      <c r="AE6" s="2309"/>
      <c r="AF6" s="2309"/>
      <c r="AG6" s="2309"/>
      <c r="AH6" s="2309"/>
      <c r="AI6" s="2309"/>
      <c r="AJ6" s="2310"/>
      <c r="AK6" s="1466" t="s">
        <v>483</v>
      </c>
      <c r="AM6" s="654"/>
      <c r="AN6" s="654" t="str">
        <f>IF(T6="","",T6)</f>
        <v>Группа потребителей</v>
      </c>
      <c r="AO6" s="654"/>
      <c r="AP6" s="654"/>
    </row>
    <row customHeight="1" ht="23.25" hidden="1">
      <c r="A7" s="1522"/>
      <c r="B7" s="1522"/>
      <c r="C7" s="1522"/>
      <c r="D7" s="1522"/>
      <c r="E7" s="2321"/>
      <c r="F7" s="2321"/>
      <c r="G7" s="2321"/>
      <c r="H7" s="2321"/>
      <c r="I7" s="2323"/>
      <c r="J7" s="2323"/>
      <c r="K7" s="2322">
        <f>J6&amp;".1"</f>
      </c>
      <c r="L7" s="1523"/>
      <c r="P7" s="2324"/>
      <c r="Q7" s="2324"/>
      <c r="R7" s="511">
        <v>1</v>
      </c>
      <c r="S7" s="1616">
        <f>$K7</f>
      </c>
      <c r="T7" s="1596"/>
      <c r="U7" s="454"/>
      <c r="V7" s="905"/>
      <c r="W7" s="905"/>
      <c r="X7" s="1415"/>
      <c r="Y7" s="2325"/>
      <c r="Z7" s="2195" t="s">
        <v>64</v>
      </c>
      <c r="AA7" s="2325"/>
      <c r="AB7" s="2195" t="s">
        <v>64</v>
      </c>
      <c r="AC7" s="905"/>
      <c r="AD7" s="905"/>
      <c r="AE7" s="1415"/>
      <c r="AF7" s="2325"/>
      <c r="AG7" s="2195" t="s">
        <v>64</v>
      </c>
      <c r="AH7" s="2327"/>
      <c r="AI7" s="2195" t="s">
        <v>64</v>
      </c>
      <c r="AJ7" s="1597"/>
      <c r="AK7" s="241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65">
        <f>STRCHECKDATE(V8:AJ8)</f>
      </c>
      <c r="AM7" s="654"/>
      <c r="AN7" s="654" t="str">
        <f>IF(T7="","",T7)</f>
        <v/>
      </c>
      <c r="AO7" s="654"/>
      <c r="AP7" s="654"/>
    </row>
    <row customHeight="1" ht="14.25" hidden="1">
      <c r="A8" s="1522"/>
      <c r="B8" s="1522"/>
      <c r="C8" s="1522"/>
      <c r="D8" s="1522"/>
      <c r="E8" s="2321"/>
      <c r="F8" s="2321"/>
      <c r="G8" s="2321"/>
      <c r="H8" s="2321"/>
      <c r="I8" s="2323"/>
      <c r="J8" s="2323"/>
      <c r="K8" s="2322"/>
      <c r="L8" s="1523"/>
      <c r="P8" s="2324"/>
      <c r="Q8" s="2324"/>
      <c r="R8" s="511"/>
      <c r="S8" s="1615"/>
      <c r="T8" s="454"/>
      <c r="U8" s="454"/>
      <c r="V8" s="479"/>
      <c r="W8" s="479"/>
      <c r="X8" s="482" t="str">
        <f>Y7&amp;"-"&amp;AA7</f>
        <v>-</v>
      </c>
      <c r="Y8" s="2326"/>
      <c r="Z8" s="2195"/>
      <c r="AA8" s="2326"/>
      <c r="AB8" s="2195"/>
      <c r="AC8" s="479"/>
      <c r="AD8" s="479"/>
      <c r="AE8" s="482" t="str">
        <f>AF7&amp;"-"&amp;AH7</f>
        <v>-</v>
      </c>
      <c r="AF8" s="2326"/>
      <c r="AG8" s="2195"/>
      <c r="AH8" s="2328"/>
      <c r="AI8" s="2195"/>
      <c r="AJ8" s="1598"/>
      <c r="AK8" s="2413"/>
      <c r="AM8" s="654"/>
      <c r="AN8" s="654" t="str">
        <f>IF(T8="","",T8)</f>
        <v/>
      </c>
      <c r="AO8" s="654"/>
      <c r="AP8" s="654"/>
    </row>
    <row customHeight="1" ht="21" hidden="1">
      <c r="A9" s="1522"/>
      <c r="B9" s="1522"/>
      <c r="C9" s="1522"/>
      <c r="D9" s="1522"/>
      <c r="E9" s="2321"/>
      <c r="F9" s="2321"/>
      <c r="G9" s="2321"/>
      <c r="H9" s="2321"/>
      <c r="I9" s="2323"/>
      <c r="J9" s="2322"/>
      <c r="K9" s="1522"/>
      <c r="L9" s="1523"/>
      <c r="P9" s="2324"/>
      <c r="Q9" s="2324"/>
      <c r="R9" s="510"/>
      <c r="S9" s="1437"/>
      <c r="T9" s="441" t="s">
        <v>484</v>
      </c>
      <c r="U9" s="521"/>
      <c r="V9" s="521"/>
      <c r="W9" s="521"/>
      <c r="X9" s="521"/>
      <c r="Y9" s="521"/>
      <c r="Z9" s="521"/>
      <c r="AA9" s="521"/>
      <c r="AB9" s="521"/>
      <c r="AC9" s="521"/>
      <c r="AD9" s="521"/>
      <c r="AE9" s="521"/>
      <c r="AF9" s="521"/>
      <c r="AG9" s="521"/>
      <c r="AH9" s="521"/>
      <c r="AI9" s="521"/>
      <c r="AJ9" s="521"/>
      <c r="AK9" s="1416" t="s">
        <v>485</v>
      </c>
      <c r="AM9" s="654"/>
      <c r="AN9" s="654" t="str">
        <f>IF(T9="","",T9)</f>
        <v>Добавить значение признака дифференциации</v>
      </c>
      <c r="AO9" s="654"/>
      <c r="AP9" s="654"/>
    </row>
    <row customHeight="1" ht="21" hidden="1">
      <c r="A10" s="1522"/>
      <c r="B10" s="1522"/>
      <c r="C10" s="1522"/>
      <c r="D10" s="1522"/>
      <c r="E10" s="2321"/>
      <c r="F10" s="2321"/>
      <c r="G10" s="2321"/>
      <c r="H10" s="2321"/>
      <c r="I10" s="2322"/>
      <c r="J10" s="1522"/>
      <c r="K10" s="1522"/>
      <c r="L10" s="1523"/>
      <c r="P10" s="2324"/>
      <c r="Q10" s="1609"/>
      <c r="R10" s="510"/>
      <c r="S10" s="1437"/>
      <c r="T10" s="519" t="s">
        <v>412</v>
      </c>
      <c r="U10" s="521"/>
      <c r="V10" s="521"/>
      <c r="W10" s="521"/>
      <c r="X10" s="521"/>
      <c r="Y10" s="521"/>
      <c r="Z10" s="521"/>
      <c r="AA10" s="521"/>
      <c r="AB10" s="520"/>
      <c r="AC10" s="521"/>
      <c r="AD10" s="521"/>
      <c r="AE10" s="521"/>
      <c r="AF10" s="521"/>
      <c r="AG10" s="521"/>
      <c r="AH10" s="521"/>
      <c r="AI10" s="520"/>
      <c r="AJ10" s="521"/>
      <c r="AK10" s="1599"/>
      <c r="AM10" s="654"/>
      <c r="AN10" s="654" t="str">
        <f>IF(T10="","",T10)</f>
        <v>Добавить группу потребителей</v>
      </c>
      <c r="AO10" s="654"/>
      <c r="AP10" s="654"/>
    </row>
    <row customHeight="1" ht="21" hidden="1">
      <c r="A11" s="1522"/>
      <c r="B11" s="1522"/>
      <c r="C11" s="1522"/>
      <c r="D11" s="1522"/>
      <c r="E11" s="2321"/>
      <c r="F11" s="2321"/>
      <c r="G11" s="2321"/>
      <c r="H11" s="2320"/>
      <c r="I11" s="1522"/>
      <c r="J11" s="1522"/>
      <c r="K11" s="1522"/>
      <c r="L11" s="1523"/>
      <c r="M11" s="1524"/>
      <c r="N11" s="1524"/>
      <c r="O11" s="691"/>
      <c r="P11" s="514"/>
      <c r="Q11" s="529"/>
      <c r="R11" s="509"/>
      <c r="S11" s="1437"/>
      <c r="T11" s="526" t="s">
        <v>486</v>
      </c>
      <c r="U11" s="521"/>
      <c r="V11" s="521"/>
      <c r="W11" s="521"/>
      <c r="X11" s="521"/>
      <c r="Y11" s="521"/>
      <c r="Z11" s="521"/>
      <c r="AA11" s="521"/>
      <c r="AB11" s="520"/>
      <c r="AC11" s="521"/>
      <c r="AD11" s="521"/>
      <c r="AE11" s="521"/>
      <c r="AF11" s="521"/>
      <c r="AG11" s="521"/>
      <c r="AH11" s="521"/>
      <c r="AI11" s="520"/>
      <c r="AJ11" s="521"/>
      <c r="AK11" s="457"/>
      <c r="AM11" s="654"/>
      <c r="AN11" s="654" t="str">
        <f>IF(T11="","",T11)</f>
        <v>Добавить наименование признака дифференциации</v>
      </c>
      <c r="AO11" s="654"/>
      <c r="AP11" s="654"/>
    </row>
    <row s="8702" customFormat="1" customHeight="1" ht="14.25" hidden="1">
      <c r="A12" s="1502"/>
      <c r="B12" s="1502"/>
      <c r="C12" s="1473"/>
      <c r="D12" s="1473"/>
      <c r="E12" s="2321"/>
      <c r="F12" s="2320"/>
      <c r="G12" s="1473"/>
      <c r="H12" s="1473"/>
      <c r="I12" s="1473"/>
      <c r="J12" s="1473"/>
      <c r="K12" s="1473"/>
      <c r="L12" s="1617"/>
      <c r="M12" s="1480"/>
      <c r="N12" s="1480"/>
      <c r="P12" s="1475"/>
      <c r="Q12" s="1476"/>
      <c r="R12" s="1475"/>
      <c r="S12" s="1481"/>
      <c r="T12" s="1484" t="s">
        <v>251</v>
      </c>
      <c r="U12" s="1483"/>
      <c r="V12" s="1483"/>
      <c r="W12" s="1483"/>
      <c r="X12" s="1483"/>
      <c r="Y12" s="1483"/>
      <c r="Z12" s="1483"/>
      <c r="AA12" s="1483"/>
      <c r="AB12" s="1483"/>
      <c r="AC12" s="1483"/>
      <c r="AD12" s="1483"/>
      <c r="AE12" s="1483"/>
      <c r="AF12" s="1483"/>
      <c r="AG12" s="1483"/>
      <c r="AH12" s="1483"/>
      <c r="AI12" s="1483"/>
      <c r="AJ12" s="1483"/>
      <c r="AK12" s="1483"/>
      <c r="AM12" s="943"/>
      <c r="AN12" s="943" t="str">
        <f>IF(T12="","",T12)</f>
        <v>Добавить централизованную систему для дифференциации</v>
      </c>
      <c r="AO12" s="943"/>
      <c r="AP12" s="943"/>
    </row>
    <row s="8794" customFormat="1" customHeight="1" ht="14.25" hidden="1">
      <c r="A13" s="1502"/>
      <c r="B13" s="1502"/>
      <c r="C13" s="1502"/>
      <c r="D13" s="1502"/>
      <c r="E13" s="2320"/>
      <c r="F13" s="1502"/>
      <c r="G13" s="1502"/>
      <c r="H13" s="1502"/>
      <c r="I13" s="1502"/>
      <c r="J13" s="1502"/>
      <c r="K13" s="1502"/>
      <c r="L13" s="1505"/>
      <c r="M13" s="1480"/>
      <c r="N13" s="1480"/>
      <c r="O13" s="672"/>
      <c r="P13" s="534"/>
      <c r="Q13" s="1503"/>
      <c r="R13" s="534"/>
      <c r="S13" s="1481"/>
      <c r="T13" s="1484" t="s">
        <v>252</v>
      </c>
      <c r="U13" s="1483"/>
      <c r="V13" s="1483"/>
      <c r="W13" s="1483"/>
      <c r="X13" s="1483"/>
      <c r="Y13" s="1483"/>
      <c r="Z13" s="1483"/>
      <c r="AA13" s="1483"/>
      <c r="AB13" s="1483"/>
      <c r="AC13" s="1483"/>
      <c r="AD13" s="1483"/>
      <c r="AE13" s="1483"/>
      <c r="AF13" s="1483"/>
      <c r="AG13" s="1483"/>
      <c r="AH13" s="1483"/>
      <c r="AI13" s="1483"/>
      <c r="AJ13" s="1483"/>
      <c r="AK13" s="1483"/>
      <c r="AM13" s="654"/>
      <c r="AN13" s="654" t="str">
        <f>IF(T13="","",T13)</f>
        <v>Добавить территорию для дифференциации</v>
      </c>
      <c r="AO13" s="654"/>
      <c r="AP13" s="654"/>
    </row>
    <row customHeight="1" ht="14.25" hidden="1">
      <c r="AB14" s="481"/>
      <c r="AI14" s="481"/>
    </row>
    <row customHeight="1" ht="14.25" hidden="1">
      <c r="AC15" s="1519"/>
      <c r="AD15" s="1519"/>
      <c r="AE15" s="1520"/>
      <c r="AF15" s="2318"/>
      <c r="AG15" s="2317" t="s">
        <v>64</v>
      </c>
      <c r="AH15" s="2318"/>
      <c r="AI15" s="2317" t="s">
        <v>64</v>
      </c>
    </row>
    <row customHeight="1" ht="14.25" hidden="1">
      <c r="AC16" s="1519"/>
      <c r="AD16" s="1519"/>
      <c r="AE16" s="482" t="str">
        <f>AF15&amp;"-"&amp;AH15</f>
        <v>-</v>
      </c>
      <c r="AF16" s="2317"/>
      <c r="AG16" s="2317"/>
      <c r="AH16" s="2317"/>
      <c r="AI16" s="2317"/>
    </row>
    <row customHeight="1" ht="14.25" hidden="1">
      <c r="AI17" s="481"/>
    </row>
    <row s="8721" customFormat="1" customHeight="1" ht="22.5" hidden="1">
      <c r="L18" s="1606"/>
      <c r="M18" s="1521"/>
      <c r="N18" s="1521"/>
      <c r="O18" s="1526" t="s">
        <v>415</v>
      </c>
      <c r="P18" s="1521"/>
      <c r="Q18" s="1530"/>
      <c r="R18" s="1530"/>
      <c r="S18" s="883"/>
      <c r="Y18" s="1526"/>
      <c r="AA18" s="1526"/>
      <c r="AB18" s="1525"/>
      <c r="AF18" s="1526"/>
      <c r="AH18" s="1526"/>
      <c r="AI18" s="1525"/>
      <c r="AL18" s="665"/>
      <c r="AM18" s="665"/>
      <c r="AN18" s="665"/>
      <c r="AO18" s="665"/>
      <c r="AP18" s="665"/>
    </row>
    <row s="8721" customFormat="1" customHeight="1" ht="14.25" hidden="1">
      <c r="L19" s="1606"/>
      <c r="M19" s="1521"/>
      <c r="N19" s="1521"/>
      <c r="O19" s="1521"/>
      <c r="P19" s="1521"/>
      <c r="Q19" s="1530"/>
      <c r="R19" s="1530"/>
      <c r="S19" s="883"/>
      <c r="AB19" s="1525"/>
      <c r="AI19" s="1525"/>
      <c r="AL19" s="665"/>
      <c r="AM19" s="665"/>
      <c r="AN19" s="665"/>
      <c r="AO19" s="665"/>
      <c r="AP19" s="665"/>
    </row>
    <row s="8721" customFormat="1" customHeight="1" ht="12" hidden="1">
      <c r="L20" s="1606"/>
      <c r="M20" s="1521"/>
      <c r="N20" s="1521"/>
      <c r="O20" s="1523" t="s">
        <v>416</v>
      </c>
      <c r="P20" s="1521"/>
      <c r="Q20" s="1601"/>
      <c r="R20" s="1601"/>
      <c r="S20" s="883"/>
      <c r="T20" s="1316" t="s">
        <v>417</v>
      </c>
      <c r="Z20" s="340" t="s">
        <v>418</v>
      </c>
      <c r="AB20" s="340" t="s">
        <v>419</v>
      </c>
      <c r="AC20" s="1316" t="s">
        <v>417</v>
      </c>
      <c r="AG20" s="340" t="s">
        <v>420</v>
      </c>
      <c r="AI20" s="340" t="s">
        <v>419</v>
      </c>
    </row>
    <row customHeight="1" ht="14.25" hidden="1">
      <c r="O21" s="1523"/>
    </row>
    <row customHeight="1" ht="14.25" hidden="1">
      <c r="O22" s="1523"/>
    </row>
    <row customHeight="1" ht="14.25">
      <c r="Q23" s="530"/>
      <c r="R23" s="530"/>
      <c r="S23" s="1434"/>
      <c r="T23" s="517"/>
      <c r="U23" s="517"/>
      <c r="V23" s="663"/>
      <c r="W23" s="663"/>
      <c r="X23" s="663"/>
      <c r="Y23" s="663"/>
      <c r="Z23" s="663"/>
      <c r="AA23" s="663"/>
      <c r="AB23" s="663"/>
      <c r="AC23" s="663"/>
      <c r="AD23" s="663"/>
      <c r="AE23" s="663"/>
      <c r="AF23" s="663"/>
      <c r="AG23" s="663"/>
      <c r="AH23" s="663"/>
      <c r="AI23" s="663"/>
    </row>
    <row customHeight="1" ht="14.25">
      <c r="Q24" s="530"/>
      <c r="R24" s="530"/>
      <c r="S24" s="2353" t="str">
        <f>IF(TEMPLATE_GROUP="P",PT_P_FORM_COLDVSNA_4_NAME_FORM,PT_R_FORM_COLDVSNA_16_NAME_FORM)</f>
        <v>Форма 2. Информация
о тарифах в сфере холодного водоснабжения на товары (услуги) организации холодного водоснабжения, подлежащих регулированию</v>
      </c>
      <c r="T24" s="2353"/>
      <c r="U24" s="2353"/>
      <c r="V24" s="2353"/>
      <c r="W24" s="2353"/>
      <c r="X24" s="2353"/>
      <c r="Y24" s="2353"/>
      <c r="Z24" s="2353"/>
      <c r="AA24" s="2353"/>
      <c r="AB24" s="2353"/>
      <c r="AC24" s="2353"/>
      <c r="AD24" s="2353"/>
      <c r="AE24" s="2353"/>
      <c r="AF24" s="2353"/>
      <c r="AG24" s="2353"/>
      <c r="AH24" s="2353"/>
      <c r="AI24" s="1401"/>
    </row>
    <row customHeight="1" ht="14.25">
      <c r="Q25" s="530"/>
      <c r="R25" s="530"/>
      <c r="S25" s="2354" t="str">
        <f>IF(org=0,"Не определено",org)</f>
        <v>АО "Теплокоммунэнерго"</v>
      </c>
      <c r="T25" s="2354"/>
      <c r="U25" s="2354"/>
      <c r="V25" s="2354"/>
      <c r="W25" s="2354"/>
      <c r="X25" s="2354"/>
      <c r="Y25" s="2354"/>
      <c r="Z25" s="2354"/>
      <c r="AA25" s="2354"/>
      <c r="AB25" s="2354"/>
      <c r="AC25" s="2354"/>
      <c r="AD25" s="2354"/>
      <c r="AE25" s="2354"/>
      <c r="AF25" s="2354"/>
      <c r="AG25" s="2354"/>
      <c r="AH25" s="2354"/>
      <c r="AI25" s="1401"/>
    </row>
    <row customHeight="1" ht="14.25">
      <c r="Q26" s="530"/>
      <c r="R26" s="530"/>
      <c r="S26" s="1434"/>
      <c r="T26" s="517"/>
      <c r="U26" s="517"/>
      <c r="V26" s="476"/>
      <c r="W26" s="476"/>
      <c r="X26" s="476"/>
      <c r="Y26" s="476"/>
      <c r="Z26" s="476"/>
      <c r="AA26" s="476"/>
      <c r="AB26" s="476"/>
      <c r="AC26" s="476"/>
      <c r="AD26" s="476"/>
      <c r="AE26" s="476"/>
      <c r="AF26" s="476"/>
      <c r="AG26" s="476"/>
      <c r="AH26" s="476"/>
      <c r="AI26" s="476"/>
      <c r="AJ26" s="663"/>
    </row>
    <row s="8735" customFormat="1" customHeight="1" ht="25.5">
      <c r="A27" s="1527"/>
      <c r="B27" s="1527"/>
      <c r="C27" s="1527"/>
      <c r="D27" s="1527"/>
      <c r="E27" s="1527"/>
      <c r="F27" s="1527"/>
      <c r="G27" s="1527"/>
      <c r="H27" s="1527"/>
      <c r="I27" s="1527"/>
      <c r="J27" s="1527"/>
      <c r="K27" s="1527"/>
      <c r="L27" s="1528"/>
      <c r="M27" s="1527"/>
      <c r="N27" s="1527"/>
      <c r="O27" s="1527"/>
      <c r="S27" s="2311" t="s">
        <v>38</v>
      </c>
      <c r="T27" s="2311"/>
      <c r="U27" s="1531"/>
      <c r="V27" s="2313" t="str">
        <f>IF(TITLE_NAME_OR_PR_CHANGE="",IF(TITLE_NAME_OR_PR="","",TITLE_NAME_OR_PR),TITLE_NAME_OR_PR_CHANGE)</f>
        <v>Региональная служба по тарифам Ростовской области</v>
      </c>
      <c r="W27" s="2313"/>
      <c r="X27" s="2313"/>
      <c r="Y27" s="2313"/>
      <c r="Z27" s="2313"/>
      <c r="AA27" s="2313"/>
      <c r="AB27" s="480"/>
      <c r="AC27" s="2313" t="str">
        <f>IF(TITLE_NAME_OR_PR_CHANGE="",IF(TITLE_NAME_OR_PR="","",TITLE_NAME_OR_PR),TITLE_NAME_OR_PR_CHANGE)</f>
        <v>Региональная служба по тарифам Ростовской области</v>
      </c>
      <c r="AD27" s="2313"/>
      <c r="AE27" s="2313"/>
      <c r="AF27" s="2313"/>
      <c r="AG27" s="2313"/>
      <c r="AH27" s="2313"/>
      <c r="AI27" s="480"/>
      <c r="AJ27" s="480"/>
      <c r="AK27" s="434"/>
      <c r="AL27" s="522"/>
      <c r="AM27" s="522"/>
      <c r="AN27" s="522"/>
      <c r="AO27" s="522"/>
      <c r="AP27" s="522"/>
    </row>
    <row s="8735" customFormat="1" customHeight="1" ht="18.75">
      <c r="A28" s="1527"/>
      <c r="B28" s="1527"/>
      <c r="C28" s="1527"/>
      <c r="D28" s="1527"/>
      <c r="E28" s="1527"/>
      <c r="F28" s="1527"/>
      <c r="G28" s="1527"/>
      <c r="H28" s="1527"/>
      <c r="I28" s="1527"/>
      <c r="J28" s="1527"/>
      <c r="K28" s="1527"/>
      <c r="L28" s="1528"/>
      <c r="M28" s="1527"/>
      <c r="N28" s="1527"/>
      <c r="O28" s="1527"/>
      <c r="S28" s="2311" t="s">
        <v>421</v>
      </c>
      <c r="T28" s="2311"/>
      <c r="U28" s="1531"/>
      <c r="V28" s="2312" t="str">
        <f>IF(TITLE_DATE_PR_CHANGE="",IF(TITLE_DATE_PR="","",TITLE_DATE_PR),TITLE_DATE_PR_CHANGE)</f>
        <v>45279</v>
      </c>
      <c r="W28" s="2312"/>
      <c r="X28" s="2312"/>
      <c r="Y28" s="2312"/>
      <c r="Z28" s="2312"/>
      <c r="AA28" s="2312"/>
      <c r="AB28" s="480"/>
      <c r="AC28" s="2312" t="str">
        <f>IF(TITLE_DATE_PR_CHANGE="",IF(TITLE_DATE_PR="","",TITLE_DATE_PR),TITLE_DATE_PR_CHANGE)</f>
        <v>45279</v>
      </c>
      <c r="AD28" s="2312"/>
      <c r="AE28" s="2312"/>
      <c r="AF28" s="2312"/>
      <c r="AG28" s="2312"/>
      <c r="AH28" s="2312"/>
      <c r="AI28" s="480"/>
      <c r="AJ28" s="480"/>
      <c r="AK28" s="434"/>
      <c r="AL28" s="522"/>
      <c r="AM28" s="522"/>
      <c r="AN28" s="522"/>
      <c r="AO28" s="522"/>
      <c r="AP28" s="522"/>
    </row>
    <row s="8735" customFormat="1" customHeight="1" ht="18.75">
      <c r="A29" s="1527"/>
      <c r="B29" s="1527"/>
      <c r="C29" s="1527"/>
      <c r="D29" s="1527"/>
      <c r="E29" s="1527"/>
      <c r="F29" s="1527"/>
      <c r="G29" s="1527"/>
      <c r="H29" s="1527"/>
      <c r="I29" s="1527"/>
      <c r="J29" s="1527"/>
      <c r="K29" s="1527"/>
      <c r="L29" s="1528"/>
      <c r="M29" s="1527"/>
      <c r="N29" s="1527"/>
      <c r="O29" s="1527"/>
      <c r="S29" s="2311" t="s">
        <v>422</v>
      </c>
      <c r="T29" s="2311"/>
      <c r="U29" s="1531"/>
      <c r="V29" s="2313" t="str">
        <f>IF(TITLE_NUMBER_PR_CHANGE="",IF(TITLE_NUMBER_PR="","",TITLE_NUMBER_PR),TITLE_NUMBER_PR_CHANGE)</f>
        <v>877</v>
      </c>
      <c r="W29" s="2313"/>
      <c r="X29" s="2313"/>
      <c r="Y29" s="2313"/>
      <c r="Z29" s="2313"/>
      <c r="AA29" s="2313"/>
      <c r="AB29" s="480"/>
      <c r="AC29" s="2313" t="str">
        <f>IF(TITLE_NUMBER_PR_CHANGE="",IF(TITLE_NUMBER_PR="","",TITLE_NUMBER_PR),TITLE_NUMBER_PR_CHANGE)</f>
        <v>877</v>
      </c>
      <c r="AD29" s="2313"/>
      <c r="AE29" s="2313"/>
      <c r="AF29" s="2313"/>
      <c r="AG29" s="2313"/>
      <c r="AH29" s="2313"/>
      <c r="AI29" s="480"/>
      <c r="AJ29" s="480"/>
      <c r="AK29" s="434"/>
      <c r="AL29" s="522"/>
      <c r="AM29" s="522"/>
      <c r="AN29" s="522"/>
      <c r="AO29" s="522"/>
      <c r="AP29" s="522"/>
    </row>
    <row s="8735" customFormat="1" customHeight="1" ht="18.75">
      <c r="A30" s="1527"/>
      <c r="B30" s="1527"/>
      <c r="C30" s="1527"/>
      <c r="D30" s="1527"/>
      <c r="E30" s="1527"/>
      <c r="F30" s="1527"/>
      <c r="G30" s="1527"/>
      <c r="H30" s="1527"/>
      <c r="I30" s="1527"/>
      <c r="J30" s="1527"/>
      <c r="K30" s="1527"/>
      <c r="L30" s="1528"/>
      <c r="M30" s="1527"/>
      <c r="N30" s="1527"/>
      <c r="O30" s="1527"/>
      <c r="S30" s="2311" t="s">
        <v>40</v>
      </c>
      <c r="T30" s="2311"/>
      <c r="U30" s="1531"/>
      <c r="V30" s="2313" t="str">
        <f>IF(TITLE_IST_PUB_CHANGE="",IF(TITLE_IST_PUB="","",TITLE_IST_PUB),TITLE_IST_PUB_CHANGE)</f>
        <v>Официальный портал правовой информации Ростовской области</v>
      </c>
      <c r="W30" s="2313"/>
      <c r="X30" s="2313"/>
      <c r="Y30" s="2313"/>
      <c r="Z30" s="2313"/>
      <c r="AA30" s="2313"/>
      <c r="AB30" s="480"/>
      <c r="AC30" s="2313" t="str">
        <f>IF(TITLE_IST_PUB_CHANGE="",IF(TITLE_IST_PUB="","",TITLE_IST_PUB),TITLE_IST_PUB_CHANGE)</f>
        <v>Официальный портал правовой информации Ростовской области</v>
      </c>
      <c r="AD30" s="2313"/>
      <c r="AE30" s="2313"/>
      <c r="AF30" s="2313"/>
      <c r="AG30" s="2313"/>
      <c r="AH30" s="2313"/>
      <c r="AI30" s="480"/>
      <c r="AJ30" s="480"/>
      <c r="AK30" s="434"/>
      <c r="AL30" s="522"/>
      <c r="AM30" s="522"/>
      <c r="AN30" s="522"/>
      <c r="AO30" s="522"/>
      <c r="AP30" s="522"/>
    </row>
    <row customHeight="1" ht="14.25" hidden="1">
      <c r="Q31" s="530"/>
      <c r="R31" s="530"/>
      <c r="S31" s="1434"/>
      <c r="T31" s="517"/>
      <c r="U31" s="517"/>
      <c r="V31" s="476"/>
      <c r="W31" s="476"/>
      <c r="X31" s="476"/>
      <c r="Y31" s="476"/>
      <c r="Z31" s="476"/>
      <c r="AA31" s="476"/>
      <c r="AB31" s="476"/>
      <c r="AC31" s="476"/>
      <c r="AD31" s="476"/>
      <c r="AE31" s="476"/>
      <c r="AF31" s="476"/>
      <c r="AG31" s="476"/>
      <c r="AH31" s="476"/>
      <c r="AI31" s="476"/>
      <c r="AJ31" s="663"/>
    </row>
    <row s="8735" customFormat="1" customHeight="1" ht="18.75" hidden="1">
      <c r="A32" s="1527"/>
      <c r="B32" s="1527"/>
      <c r="C32" s="1527"/>
      <c r="D32" s="1527"/>
      <c r="E32" s="1527"/>
      <c r="F32" s="1527"/>
      <c r="G32" s="1527"/>
      <c r="H32" s="1527"/>
      <c r="I32" s="1527"/>
      <c r="J32" s="1527"/>
      <c r="K32" s="1527"/>
      <c r="L32" s="1528"/>
      <c r="M32" s="1527"/>
      <c r="N32" s="1527"/>
      <c r="O32" s="1527"/>
      <c r="S32" s="2311" t="s">
        <v>423</v>
      </c>
      <c r="T32" s="2311"/>
      <c r="U32" s="1531"/>
      <c r="V32" s="2312" t="str">
        <f>IF(TITLE_DATE_PR_CHANGE="",IF(TITLE_DATE_PR="","",TITLE_DATE_PR),TITLE_DATE_PR_CHANGE)</f>
        <v>45279</v>
      </c>
      <c r="W32" s="2312"/>
      <c r="X32" s="2312"/>
      <c r="Y32" s="2312"/>
      <c r="Z32" s="2312"/>
      <c r="AA32" s="2312"/>
      <c r="AB32" s="480"/>
      <c r="AC32" s="2312" t="str">
        <f>IF(TITLE_DATE_PR_CHANGE="",IF(TITLE_DATE_PR="","",TITLE_DATE_PR),TITLE_DATE_PR_CHANGE)</f>
        <v>45279</v>
      </c>
      <c r="AD32" s="2312"/>
      <c r="AE32" s="2312"/>
      <c r="AF32" s="2312"/>
      <c r="AG32" s="2312"/>
      <c r="AH32" s="2312"/>
      <c r="AI32" s="480"/>
      <c r="AJ32" s="480"/>
      <c r="AK32" s="434"/>
      <c r="AL32" s="522"/>
      <c r="AM32" s="522"/>
      <c r="AN32" s="522"/>
      <c r="AO32" s="522"/>
      <c r="AP32" s="522"/>
    </row>
    <row s="8735" customFormat="1" customHeight="1" ht="18.75" hidden="1">
      <c r="A33" s="1527"/>
      <c r="B33" s="1527"/>
      <c r="C33" s="1527"/>
      <c r="D33" s="1527"/>
      <c r="E33" s="1527"/>
      <c r="F33" s="1527"/>
      <c r="G33" s="1527"/>
      <c r="H33" s="1527"/>
      <c r="I33" s="1527"/>
      <c r="J33" s="1527"/>
      <c r="K33" s="1527"/>
      <c r="L33" s="1528"/>
      <c r="M33" s="1527"/>
      <c r="N33" s="1527"/>
      <c r="O33" s="1527"/>
      <c r="S33" s="2311" t="s">
        <v>424</v>
      </c>
      <c r="T33" s="2311"/>
      <c r="U33" s="1531"/>
      <c r="V33" s="2313" t="str">
        <f>IF(TITLE_NUMBER_PR_CHANGE="",IF(TITLE_NUMBER_PR="","",TITLE_NUMBER_PR),TITLE_NUMBER_PR_CHANGE)</f>
        <v>877</v>
      </c>
      <c r="W33" s="2313"/>
      <c r="X33" s="2313"/>
      <c r="Y33" s="2313"/>
      <c r="Z33" s="2313"/>
      <c r="AA33" s="2313"/>
      <c r="AB33" s="480"/>
      <c r="AC33" s="2313" t="str">
        <f>IF(TITLE_NUMBER_PR_CHANGE="",IF(TITLE_NUMBER_PR="","",TITLE_NUMBER_PR),TITLE_NUMBER_PR_CHANGE)</f>
        <v>877</v>
      </c>
      <c r="AD33" s="2313"/>
      <c r="AE33" s="2313"/>
      <c r="AF33" s="2313"/>
      <c r="AG33" s="2313"/>
      <c r="AH33" s="2313"/>
      <c r="AI33" s="480"/>
      <c r="AJ33" s="480"/>
      <c r="AK33" s="434"/>
      <c r="AL33" s="522"/>
      <c r="AM33" s="522"/>
      <c r="AN33" s="522"/>
      <c r="AO33" s="522"/>
      <c r="AP33" s="522"/>
    </row>
    <row s="8735" customFormat="1" customHeight="1" ht="0.75">
      <c r="A34" s="1527"/>
      <c r="B34" s="1527"/>
      <c r="C34" s="1527"/>
      <c r="D34" s="1527"/>
      <c r="E34" s="1527"/>
      <c r="F34" s="1527"/>
      <c r="G34" s="1527"/>
      <c r="H34" s="1527"/>
      <c r="I34" s="1527"/>
      <c r="J34" s="1527"/>
      <c r="K34" s="1527"/>
      <c r="L34" s="1528"/>
      <c r="M34" s="1527"/>
      <c r="N34" s="1527"/>
      <c r="O34" s="1527"/>
      <c r="S34" s="477"/>
      <c r="T34" s="477"/>
      <c r="U34" s="1613"/>
      <c r="V34" s="480"/>
      <c r="W34" s="480"/>
      <c r="X34" s="480"/>
      <c r="Y34" s="480"/>
      <c r="Z34" s="480"/>
      <c r="AA34" s="480"/>
      <c r="AB34" s="432" t="s">
        <v>425</v>
      </c>
      <c r="AC34" s="480"/>
      <c r="AD34" s="480"/>
      <c r="AE34" s="480"/>
      <c r="AF34" s="480"/>
      <c r="AG34" s="480"/>
      <c r="AH34" s="480"/>
      <c r="AI34" s="432" t="s">
        <v>425</v>
      </c>
      <c r="AL34" s="522"/>
      <c r="AM34" s="522"/>
      <c r="AN34" s="522"/>
      <c r="AO34" s="522"/>
      <c r="AP34" s="522"/>
    </row>
    <row customHeight="1" ht="14.25">
      <c r="Q35" s="530"/>
      <c r="R35" s="530"/>
      <c r="S35" s="1434"/>
      <c r="T35" s="517"/>
      <c r="U35" s="1402"/>
      <c r="V35" s="2337"/>
      <c r="W35" s="2337"/>
      <c r="X35" s="2337"/>
      <c r="Y35" s="2337"/>
      <c r="Z35" s="2337"/>
      <c r="AA35" s="2337"/>
      <c r="AB35" s="2337"/>
      <c r="AC35" s="2337"/>
      <c r="AD35" s="2337"/>
      <c r="AE35" s="2337"/>
      <c r="AF35" s="2337"/>
      <c r="AG35" s="2337"/>
      <c r="AH35" s="2337"/>
      <c r="AI35" s="2337"/>
    </row>
    <row customHeight="1" ht="14.25">
      <c r="Q36" s="530"/>
      <c r="R36" s="530"/>
      <c r="S36" s="2185" t="s">
        <v>300</v>
      </c>
      <c r="T36" s="2185"/>
      <c r="U36" s="2185"/>
      <c r="V36" s="2185"/>
      <c r="W36" s="2185"/>
      <c r="X36" s="2185"/>
      <c r="Y36" s="2185"/>
      <c r="Z36" s="2185"/>
      <c r="AA36" s="2185"/>
      <c r="AB36" s="2185"/>
      <c r="AC36" s="2185"/>
      <c r="AD36" s="2185"/>
      <c r="AE36" s="2185"/>
      <c r="AF36" s="2185"/>
      <c r="AG36" s="2185"/>
      <c r="AH36" s="2185"/>
      <c r="AI36" s="2185"/>
      <c r="AJ36" s="2185"/>
      <c r="AK36" s="2185" t="s">
        <v>301</v>
      </c>
    </row>
    <row customHeight="1" ht="14.25">
      <c r="Q37" s="530"/>
      <c r="R37" s="530"/>
      <c r="S37" s="2338" t="s">
        <v>85</v>
      </c>
      <c r="T37" s="2275" t="s">
        <v>426</v>
      </c>
      <c r="U37" s="455"/>
      <c r="V37" s="2339" t="s">
        <v>427</v>
      </c>
      <c r="W37" s="2340"/>
      <c r="X37" s="2340"/>
      <c r="Y37" s="2340"/>
      <c r="Z37" s="2340"/>
      <c r="AA37" s="2341"/>
      <c r="AB37" s="2342" t="s">
        <v>428</v>
      </c>
      <c r="AC37" s="2339" t="s">
        <v>427</v>
      </c>
      <c r="AD37" s="2340"/>
      <c r="AE37" s="2340"/>
      <c r="AF37" s="2340"/>
      <c r="AG37" s="2340"/>
      <c r="AH37" s="2341"/>
      <c r="AI37" s="2342" t="s">
        <v>429</v>
      </c>
      <c r="AJ37" s="2345" t="s">
        <v>430</v>
      </c>
      <c r="AK37" s="2185"/>
    </row>
    <row customHeight="1" ht="33.75">
      <c r="Q38" s="530"/>
      <c r="R38" s="530"/>
      <c r="S38" s="2338"/>
      <c r="T38" s="2275"/>
      <c r="U38" s="1186"/>
      <c r="V38" s="1611" t="s">
        <v>487</v>
      </c>
      <c r="W38" s="2331" t="s">
        <v>433</v>
      </c>
      <c r="X38" s="2333"/>
      <c r="Y38" s="2331" t="s">
        <v>434</v>
      </c>
      <c r="Z38" s="2332"/>
      <c r="AA38" s="2333"/>
      <c r="AB38" s="2343"/>
      <c r="AC38" s="1611" t="s">
        <v>487</v>
      </c>
      <c r="AD38" s="2331" t="s">
        <v>433</v>
      </c>
      <c r="AE38" s="2333"/>
      <c r="AF38" s="2331" t="s">
        <v>434</v>
      </c>
      <c r="AG38" s="2332"/>
      <c r="AH38" s="2333"/>
      <c r="AI38" s="2343"/>
      <c r="AJ38" s="2346"/>
      <c r="AK38" s="2185"/>
    </row>
    <row customHeight="1" ht="33.75">
      <c r="A39" s="1529"/>
      <c r="B39" s="1529" t="s">
        <v>132</v>
      </c>
      <c r="C39" s="1529" t="s">
        <v>133</v>
      </c>
      <c r="D39" s="1529" t="s">
        <v>134</v>
      </c>
      <c r="E39" s="1523" t="s">
        <v>435</v>
      </c>
      <c r="F39" s="1523" t="s">
        <v>436</v>
      </c>
      <c r="G39" s="1523" t="s">
        <v>437</v>
      </c>
      <c r="H39" s="1523"/>
      <c r="I39" s="1523" t="s">
        <v>488</v>
      </c>
      <c r="J39" s="1523" t="s">
        <v>440</v>
      </c>
      <c r="K39" s="1523" t="s">
        <v>489</v>
      </c>
      <c r="L39" s="1523" t="s">
        <v>416</v>
      </c>
      <c r="Q39" s="530"/>
      <c r="R39" s="530"/>
      <c r="S39" s="2338"/>
      <c r="T39" s="2275"/>
      <c r="U39" s="456"/>
      <c r="V39" s="1611" t="s">
        <v>490</v>
      </c>
      <c r="W39" s="1380" t="s">
        <v>491</v>
      </c>
      <c r="X39" s="1380" t="s">
        <v>492</v>
      </c>
      <c r="Y39" s="1614" t="s">
        <v>444</v>
      </c>
      <c r="Z39" s="2334" t="s">
        <v>445</v>
      </c>
      <c r="AA39" s="2335"/>
      <c r="AB39" s="2344"/>
      <c r="AC39" s="1611" t="s">
        <v>490</v>
      </c>
      <c r="AD39" s="1380" t="s">
        <v>491</v>
      </c>
      <c r="AE39" s="1380" t="s">
        <v>492</v>
      </c>
      <c r="AF39" s="1614" t="s">
        <v>444</v>
      </c>
      <c r="AG39" s="2334" t="s">
        <v>445</v>
      </c>
      <c r="AH39" s="2335"/>
      <c r="AI39" s="2344"/>
      <c r="AJ39" s="2347"/>
      <c r="AK39" s="2185"/>
    </row>
    <row s="8552" customFormat="1" customHeight="1" ht="0">
      <c r="A40" s="1529"/>
      <c r="B40" s="1529"/>
      <c r="C40" s="1529"/>
      <c r="D40" s="1529"/>
      <c r="E40" s="1529"/>
      <c r="F40" s="1529"/>
      <c r="G40" s="1529"/>
      <c r="H40" s="1529"/>
      <c r="I40" s="1529"/>
      <c r="J40" s="1529"/>
      <c r="K40" s="1529"/>
      <c r="L40" s="1523"/>
      <c r="M40" s="1521"/>
      <c r="N40" s="1521"/>
      <c r="O40" s="1521"/>
      <c r="P40" s="1404"/>
      <c r="Q40" s="1405"/>
      <c r="R40" s="1412">
        <v>1</v>
      </c>
      <c r="S40" s="1436" t="s">
        <v>106</v>
      </c>
      <c r="T40" s="1413" t="s">
        <v>107</v>
      </c>
      <c r="U40" s="1403" t="str">
        <f>OFFSET(U40,0,-1)</f>
        <v>2</v>
      </c>
      <c r="V40" s="1610">
        <f>OFFSET(V40,0,-1)+1</f>
        <v>3</v>
      </c>
      <c r="W40" s="1610">
        <f>OFFSET(W40,0,-1)+1</f>
        <v>4</v>
      </c>
      <c r="X40" s="1610">
        <f>OFFSET(X40,0,-1)+1</f>
        <v>5</v>
      </c>
      <c r="Y40" s="1610">
        <f>OFFSET(Y40,0,-1)+1</f>
        <v>6</v>
      </c>
      <c r="Z40" s="2336">
        <f>OFFSET(Z40,0,-1)+1</f>
        <v>7</v>
      </c>
      <c r="AA40" s="2336"/>
      <c r="AB40" s="1610">
        <f>OFFSET(AB40,0,-2)+1</f>
        <v>8</v>
      </c>
      <c r="AC40" s="1610">
        <f>OFFSET(AC40,0,-1)+1</f>
        <v>9</v>
      </c>
      <c r="AD40" s="1610">
        <f>OFFSET(AD40,0,-1)+1</f>
        <v>10</v>
      </c>
      <c r="AE40" s="1610">
        <f>OFFSET(AE40,0,-1)+1</f>
        <v>11</v>
      </c>
      <c r="AF40" s="1610">
        <f>OFFSET(AF40,0,-1)+1</f>
        <v>12</v>
      </c>
      <c r="AG40" s="2336">
        <f>OFFSET(AG40,0,-1)+1</f>
        <v>13</v>
      </c>
      <c r="AH40" s="2336"/>
      <c r="AI40" s="1610">
        <f>OFFSET(AI40,0,-2)+1</f>
        <v>14</v>
      </c>
      <c r="AJ40" s="1403">
        <f>OFFSET(AJ40,0,-1)</f>
        <v>14</v>
      </c>
      <c r="AK40" s="1610">
        <f>OFFSET(AK40,0,-1)+1</f>
        <v>15</v>
      </c>
      <c r="AL40" s="665"/>
      <c r="AM40" s="665"/>
      <c r="AN40" s="665"/>
      <c r="AO40" s="665"/>
      <c r="AP40" s="665"/>
    </row>
    <row customHeight="1" ht="23.25">
      <c r="A41" s="1522" t="s">
        <v>226</v>
      </c>
      <c r="B41" s="1522"/>
      <c r="C41" s="1522"/>
      <c r="D41" s="1522"/>
      <c r="E41" s="2320">
        <v>1</v>
      </c>
      <c r="F41" s="1522"/>
      <c r="G41" s="1522"/>
      <c r="H41" s="1522"/>
      <c r="I41" s="1522"/>
      <c r="J41" s="1522"/>
      <c r="K41" s="1522"/>
      <c r="L41" s="1523"/>
      <c r="M41" s="1524"/>
      <c r="N41" s="1524"/>
      <c r="O41" s="1524"/>
      <c r="P41" s="515"/>
      <c r="Q41" s="514"/>
      <c r="R41" s="509"/>
      <c r="S41" s="1616">
        <f>INDEX(PT_DIFFERENTIATION_NUM_NTAR,MATCH(A41,PT_DIFFERENTIATION_NTAR_ID,0))</f>
        <v>0</v>
      </c>
      <c r="T41" s="452" t="s">
        <v>120</v>
      </c>
      <c r="U41" s="454"/>
      <c r="V41" s="2314"/>
      <c r="W41" s="2315"/>
      <c r="X41" s="2315"/>
      <c r="Y41" s="2315"/>
      <c r="Z41" s="2315"/>
      <c r="AA41" s="2315"/>
      <c r="AB41" s="2316"/>
      <c r="AC41" s="2314" t="str">
        <f>INDEX(PT_DIFFERENTIATION_NTAR,MATCH(A41,PT_DIFFERENTIATION_NTAR_ID,0))</f>
        <v/>
      </c>
      <c r="AD41" s="2315"/>
      <c r="AE41" s="2315"/>
      <c r="AF41" s="2315"/>
      <c r="AG41" s="2315"/>
      <c r="AH41" s="2315"/>
      <c r="AI41" s="2315"/>
      <c r="AJ41" s="2316"/>
      <c r="AK41" s="1416"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41" s="654"/>
      <c r="AN41" s="654" t="str">
        <f>IF(T41="","",T41)</f>
        <v>Наименование тарифа</v>
      </c>
      <c r="AO41" s="654"/>
      <c r="AP41" s="654"/>
    </row>
    <row customHeight="1" ht="23.25">
      <c r="A42" s="1522" t="s">
        <v>226</v>
      </c>
      <c r="B42" s="1522" t="s">
        <v>227</v>
      </c>
      <c r="C42" s="1522"/>
      <c r="D42" s="1522"/>
      <c r="E42" s="2321"/>
      <c r="F42" s="2320">
        <v>1</v>
      </c>
      <c r="G42" s="1522"/>
      <c r="H42" s="1522"/>
      <c r="I42" s="1522"/>
      <c r="J42" s="1522"/>
      <c r="K42" s="1522"/>
      <c r="L42" s="1523"/>
      <c r="M42" s="1524"/>
      <c r="N42" s="1524"/>
      <c r="O42" s="1524"/>
      <c r="P42" s="1612"/>
      <c r="Q42" s="506"/>
      <c r="R42" s="507"/>
      <c r="S42" s="1616" t="str">
        <f>INDEX(PT_DIFFERENTIATION_NUM_TER,MATCH(B42,PT_DIFFERENTIATION_TER_ID,0))</f>
        <v>.</v>
      </c>
      <c r="T42" s="462" t="s">
        <v>397</v>
      </c>
      <c r="U42" s="454"/>
      <c r="V42" s="2314"/>
      <c r="W42" s="2315"/>
      <c r="X42" s="2315"/>
      <c r="Y42" s="2315"/>
      <c r="Z42" s="2315"/>
      <c r="AA42" s="2315"/>
      <c r="AB42" s="2316"/>
      <c r="AC42" s="2314" t="str">
        <f>INDEX(PT_DIFFERENTIATION_TER,MATCH(B42,PT_DIFFERENTIATION_TER_ID,0))</f>
        <v/>
      </c>
      <c r="AD42" s="2315"/>
      <c r="AE42" s="2315"/>
      <c r="AF42" s="2315"/>
      <c r="AG42" s="2315"/>
      <c r="AH42" s="2315"/>
      <c r="AI42" s="2315"/>
      <c r="AJ42" s="2316"/>
      <c r="AK42" s="1416" t="s">
        <v>398</v>
      </c>
      <c r="AM42" s="654"/>
      <c r="AN42" s="654" t="str">
        <f>IF(T42="","",T42)</f>
        <v>Территория действия тарифа</v>
      </c>
      <c r="AO42" s="654"/>
      <c r="AP42" s="654"/>
    </row>
    <row customHeight="1" ht="23.25">
      <c r="A43" s="1522" t="s">
        <v>226</v>
      </c>
      <c r="B43" s="1522" t="s">
        <v>227</v>
      </c>
      <c r="C43" s="1522" t="s">
        <v>228</v>
      </c>
      <c r="D43" s="1522"/>
      <c r="E43" s="2321"/>
      <c r="F43" s="2321"/>
      <c r="G43" s="2320">
        <v>1</v>
      </c>
      <c r="H43" s="1522"/>
      <c r="I43" s="1522"/>
      <c r="J43" s="1522"/>
      <c r="K43" s="1522"/>
      <c r="L43" s="1523"/>
      <c r="M43" s="1524"/>
      <c r="N43" s="1524"/>
      <c r="O43" s="1524"/>
      <c r="P43" s="508"/>
      <c r="Q43" s="506"/>
      <c r="R43" s="507"/>
      <c r="S43" s="1616" t="str">
        <f>INDEX(PT_DIFFERENTIATION_NUM_CS,MATCH(C43,PT_DIFFERENTIATION_CS_ID,0))</f>
        <v>..</v>
      </c>
      <c r="T43" s="463" t="s">
        <v>479</v>
      </c>
      <c r="U43" s="454"/>
      <c r="V43" s="2314"/>
      <c r="W43" s="2315"/>
      <c r="X43" s="2315"/>
      <c r="Y43" s="2315"/>
      <c r="Z43" s="2315"/>
      <c r="AA43" s="2315"/>
      <c r="AB43" s="2316"/>
      <c r="AC43" s="2314" t="str">
        <f>INDEX(PT_DIFFERENTIATION_CS,MATCH(C43,PT_DIFFERENTIATION_CS_ID,0))</f>
        <v/>
      </c>
      <c r="AD43" s="2315"/>
      <c r="AE43" s="2315"/>
      <c r="AF43" s="2315"/>
      <c r="AG43" s="2315"/>
      <c r="AH43" s="2315"/>
      <c r="AI43" s="2315"/>
      <c r="AJ43" s="2316"/>
      <c r="AK43" s="1416" t="s">
        <v>480</v>
      </c>
      <c r="AM43" s="654"/>
      <c r="AN43" s="654" t="str">
        <f>IF(T43="","",T43)</f>
        <v>Наименование централизованной системы холодного водоснабжения</v>
      </c>
      <c r="AO43" s="654"/>
      <c r="AP43" s="654"/>
    </row>
    <row customHeight="1" ht="23.25">
      <c r="A44" s="1522" t="s">
        <v>226</v>
      </c>
      <c r="B44" s="1522" t="s">
        <v>227</v>
      </c>
      <c r="C44" s="1522" t="s">
        <v>228</v>
      </c>
      <c r="D44" s="1522" t="s">
        <v>494</v>
      </c>
      <c r="E44" s="2321"/>
      <c r="F44" s="2321"/>
      <c r="G44" s="2321"/>
      <c r="H44" s="2321"/>
      <c r="I44" s="2322" t="str">
        <f>S43&amp;".1"</f>
        <v>...1</v>
      </c>
      <c r="J44" s="1522"/>
      <c r="K44" s="1522"/>
      <c r="L44" s="1523"/>
      <c r="P44" s="2324">
        <v>1</v>
      </c>
      <c r="Q44" s="1609"/>
      <c r="R44" s="510"/>
      <c r="S44" s="1616" t="str">
        <f>$I44</f>
        <v>...1</v>
      </c>
      <c r="T44" s="439" t="s">
        <v>481</v>
      </c>
      <c r="U44" s="454"/>
      <c r="V44" s="2407"/>
      <c r="W44" s="2408"/>
      <c r="X44" s="2408"/>
      <c r="Y44" s="2408"/>
      <c r="Z44" s="2408"/>
      <c r="AA44" s="2408"/>
      <c r="AB44" s="2409"/>
      <c r="AC44" s="2410"/>
      <c r="AD44" s="2411"/>
      <c r="AE44" s="2411"/>
      <c r="AF44" s="2411"/>
      <c r="AG44" s="2411"/>
      <c r="AH44" s="2411"/>
      <c r="AI44" s="2411"/>
      <c r="AJ44" s="2412"/>
      <c r="AK44" s="1416" t="s">
        <v>482</v>
      </c>
      <c r="AM44" s="654"/>
      <c r="AN44" s="654" t="str">
        <f>IF(T44="","",T44)</f>
        <v>Наименование признака дифференциации</v>
      </c>
      <c r="AO44" s="654"/>
      <c r="AP44" s="654"/>
    </row>
    <row customHeight="1" ht="23.25">
      <c r="A45" s="1522" t="s">
        <v>226</v>
      </c>
      <c r="B45" s="1522" t="s">
        <v>227</v>
      </c>
      <c r="C45" s="1522" t="s">
        <v>228</v>
      </c>
      <c r="D45" s="1522" t="s">
        <v>494</v>
      </c>
      <c r="E45" s="2321"/>
      <c r="F45" s="2321"/>
      <c r="G45" s="2321"/>
      <c r="H45" s="2321"/>
      <c r="I45" s="2323"/>
      <c r="J45" s="2322" t="str">
        <f>I44&amp;".1"</f>
        <v>...1.1</v>
      </c>
      <c r="K45" s="1522"/>
      <c r="L45" s="1523" t="s">
        <v>406</v>
      </c>
      <c r="P45" s="2324"/>
      <c r="Q45" s="2324">
        <v>1</v>
      </c>
      <c r="R45" s="511"/>
      <c r="S45" s="1616" t="str">
        <f>$J45</f>
        <v>...1.1</v>
      </c>
      <c r="T45" s="440" t="s">
        <v>407</v>
      </c>
      <c r="U45" s="454"/>
      <c r="V45" s="2308"/>
      <c r="W45" s="2309"/>
      <c r="X45" s="2309"/>
      <c r="Y45" s="2309"/>
      <c r="Z45" s="2309"/>
      <c r="AA45" s="2309"/>
      <c r="AB45" s="2310"/>
      <c r="AC45" s="2308"/>
      <c r="AD45" s="2309"/>
      <c r="AE45" s="2309"/>
      <c r="AF45" s="2309"/>
      <c r="AG45" s="2309"/>
      <c r="AH45" s="2309"/>
      <c r="AI45" s="2309"/>
      <c r="AJ45" s="2310"/>
      <c r="AK45" s="1466" t="s">
        <v>483</v>
      </c>
      <c r="AM45" s="654"/>
      <c r="AN45" s="654" t="str">
        <f>IF(T45="","",T45)</f>
        <v>Группа потребителей</v>
      </c>
      <c r="AO45" s="654"/>
      <c r="AP45" s="654"/>
    </row>
    <row customHeight="1" ht="23.25">
      <c r="A46" s="1522" t="s">
        <v>226</v>
      </c>
      <c r="B46" s="1522" t="s">
        <v>227</v>
      </c>
      <c r="C46" s="1522" t="s">
        <v>228</v>
      </c>
      <c r="D46" s="1522" t="s">
        <v>494</v>
      </c>
      <c r="E46" s="2321"/>
      <c r="F46" s="2321"/>
      <c r="G46" s="2321"/>
      <c r="H46" s="2321"/>
      <c r="I46" s="2323"/>
      <c r="J46" s="2323"/>
      <c r="K46" s="2322" t="str">
        <f>J45&amp;".1"</f>
        <v>...1.1.1</v>
      </c>
      <c r="L46" s="1523"/>
      <c r="P46" s="2324"/>
      <c r="Q46" s="2324"/>
      <c r="R46" s="511">
        <v>1</v>
      </c>
      <c r="S46" s="1616" t="str">
        <f>$K46</f>
        <v>...1.1.1</v>
      </c>
      <c r="T46" s="1596"/>
      <c r="U46" s="454"/>
      <c r="V46" s="905"/>
      <c r="W46" s="905"/>
      <c r="X46" s="1415"/>
      <c r="Y46" s="2325"/>
      <c r="Z46" s="2195" t="s">
        <v>64</v>
      </c>
      <c r="AA46" s="2325"/>
      <c r="AB46" s="2195" t="s">
        <v>64</v>
      </c>
      <c r="AC46" s="905"/>
      <c r="AD46" s="905"/>
      <c r="AE46" s="1415"/>
      <c r="AF46" s="2325"/>
      <c r="AG46" s="2195" t="s">
        <v>64</v>
      </c>
      <c r="AH46" s="2327"/>
      <c r="AI46" s="2195" t="s">
        <v>64</v>
      </c>
      <c r="AJ46" s="1597"/>
      <c r="AK46" s="241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65">
        <f>STRCHECKDATE(V47:AJ47)</f>
      </c>
      <c r="AM46" s="654"/>
      <c r="AN46" s="654" t="str">
        <f>IF(T46="","",T46)</f>
        <v/>
      </c>
      <c r="AO46" s="654"/>
      <c r="AP46" s="654"/>
    </row>
    <row customHeight="1" ht="0">
      <c r="A47" s="1522" t="s">
        <v>226</v>
      </c>
      <c r="B47" s="1522" t="s">
        <v>227</v>
      </c>
      <c r="C47" s="1522" t="s">
        <v>228</v>
      </c>
      <c r="D47" s="1522" t="s">
        <v>494</v>
      </c>
      <c r="E47" s="2321"/>
      <c r="F47" s="2321"/>
      <c r="G47" s="2321"/>
      <c r="H47" s="2321"/>
      <c r="I47" s="2323"/>
      <c r="J47" s="2323"/>
      <c r="K47" s="2322"/>
      <c r="L47" s="1523"/>
      <c r="P47" s="2324"/>
      <c r="Q47" s="2324"/>
      <c r="R47" s="511"/>
      <c r="S47" s="1615"/>
      <c r="T47" s="454"/>
      <c r="U47" s="454"/>
      <c r="V47" s="479"/>
      <c r="W47" s="479"/>
      <c r="X47" s="482" t="str">
        <f>Y46&amp;"-"&amp;AA46</f>
        <v>-</v>
      </c>
      <c r="Y47" s="2326"/>
      <c r="Z47" s="2195"/>
      <c r="AA47" s="2326"/>
      <c r="AB47" s="2195"/>
      <c r="AC47" s="479"/>
      <c r="AD47" s="479"/>
      <c r="AE47" s="482" t="str">
        <f>AF46&amp;"-"&amp;AH46</f>
        <v>-</v>
      </c>
      <c r="AF47" s="2326"/>
      <c r="AG47" s="2195"/>
      <c r="AH47" s="2328"/>
      <c r="AI47" s="2195"/>
      <c r="AJ47" s="1598"/>
      <c r="AK47" s="2413"/>
      <c r="AM47" s="654"/>
      <c r="AN47" s="654" t="str">
        <f>IF(T47="","",T47)</f>
        <v/>
      </c>
      <c r="AO47" s="654"/>
      <c r="AP47" s="654"/>
    </row>
    <row customHeight="1" ht="21">
      <c r="A48" s="1522" t="s">
        <v>226</v>
      </c>
      <c r="B48" s="1522" t="s">
        <v>227</v>
      </c>
      <c r="C48" s="1522" t="s">
        <v>228</v>
      </c>
      <c r="D48" s="1522" t="s">
        <v>494</v>
      </c>
      <c r="E48" s="2321"/>
      <c r="F48" s="2321"/>
      <c r="G48" s="2321"/>
      <c r="H48" s="2321"/>
      <c r="I48" s="2323"/>
      <c r="J48" s="2322"/>
      <c r="K48" s="1522"/>
      <c r="L48" s="1523"/>
      <c r="P48" s="2324"/>
      <c r="Q48" s="2324"/>
      <c r="R48" s="510"/>
      <c r="S48" s="1437"/>
      <c r="T48" s="441" t="s">
        <v>484</v>
      </c>
      <c r="U48" s="521"/>
      <c r="V48" s="521"/>
      <c r="W48" s="521"/>
      <c r="X48" s="521"/>
      <c r="Y48" s="521"/>
      <c r="Z48" s="521"/>
      <c r="AA48" s="521"/>
      <c r="AB48" s="521"/>
      <c r="AC48" s="521"/>
      <c r="AD48" s="521"/>
      <c r="AE48" s="521"/>
      <c r="AF48" s="521"/>
      <c r="AG48" s="521"/>
      <c r="AH48" s="521"/>
      <c r="AI48" s="521"/>
      <c r="AJ48" s="521"/>
      <c r="AK48" s="1416" t="s">
        <v>485</v>
      </c>
      <c r="AM48" s="654"/>
      <c r="AN48" s="654" t="str">
        <f>IF(T48="","",T48)</f>
        <v>Добавить значение признака дифференциации</v>
      </c>
      <c r="AO48" s="654"/>
      <c r="AP48" s="654"/>
    </row>
    <row customHeight="1" ht="21">
      <c r="A49" s="1522" t="s">
        <v>226</v>
      </c>
      <c r="B49" s="1522" t="s">
        <v>227</v>
      </c>
      <c r="C49" s="1522" t="s">
        <v>228</v>
      </c>
      <c r="D49" s="1522" t="s">
        <v>494</v>
      </c>
      <c r="E49" s="2321"/>
      <c r="F49" s="2321"/>
      <c r="G49" s="2321"/>
      <c r="H49" s="2321"/>
      <c r="I49" s="2322"/>
      <c r="J49" s="1522"/>
      <c r="K49" s="1522"/>
      <c r="L49" s="1523"/>
      <c r="P49" s="2324"/>
      <c r="Q49" s="1609"/>
      <c r="R49" s="510"/>
      <c r="S49" s="1437"/>
      <c r="T49" s="519" t="s">
        <v>412</v>
      </c>
      <c r="U49" s="521"/>
      <c r="V49" s="521"/>
      <c r="W49" s="521"/>
      <c r="X49" s="521"/>
      <c r="Y49" s="521"/>
      <c r="Z49" s="521"/>
      <c r="AA49" s="521"/>
      <c r="AB49" s="520"/>
      <c r="AC49" s="521"/>
      <c r="AD49" s="521"/>
      <c r="AE49" s="521"/>
      <c r="AF49" s="521"/>
      <c r="AG49" s="521"/>
      <c r="AH49" s="521"/>
      <c r="AI49" s="520"/>
      <c r="AJ49" s="521"/>
      <c r="AK49" s="1599"/>
      <c r="AM49" s="654"/>
      <c r="AN49" s="654" t="str">
        <f>IF(T49="","",T49)</f>
        <v>Добавить группу потребителей</v>
      </c>
      <c r="AO49" s="654"/>
      <c r="AP49" s="654"/>
    </row>
    <row customHeight="1" ht="21">
      <c r="A50" s="1522" t="s">
        <v>226</v>
      </c>
      <c r="B50" s="1522" t="s">
        <v>227</v>
      </c>
      <c r="C50" s="1522" t="s">
        <v>228</v>
      </c>
      <c r="D50" s="1522" t="s">
        <v>494</v>
      </c>
      <c r="E50" s="2321"/>
      <c r="F50" s="2321"/>
      <c r="G50" s="2321"/>
      <c r="H50" s="2320"/>
      <c r="I50" s="1522"/>
      <c r="J50" s="1522"/>
      <c r="K50" s="1522"/>
      <c r="L50" s="1523"/>
      <c r="M50" s="1524"/>
      <c r="N50" s="1524"/>
      <c r="O50" s="691"/>
      <c r="P50" s="514"/>
      <c r="Q50" s="529"/>
      <c r="R50" s="509"/>
      <c r="S50" s="1437"/>
      <c r="T50" s="526" t="s">
        <v>486</v>
      </c>
      <c r="U50" s="521"/>
      <c r="V50" s="521"/>
      <c r="W50" s="521"/>
      <c r="X50" s="521"/>
      <c r="Y50" s="521"/>
      <c r="Z50" s="521"/>
      <c r="AA50" s="521"/>
      <c r="AB50" s="520"/>
      <c r="AC50" s="521"/>
      <c r="AD50" s="521"/>
      <c r="AE50" s="521"/>
      <c r="AF50" s="521"/>
      <c r="AG50" s="521"/>
      <c r="AH50" s="521"/>
      <c r="AI50" s="520"/>
      <c r="AJ50" s="521"/>
      <c r="AK50" s="457"/>
      <c r="AM50" s="654"/>
      <c r="AN50" s="654" t="str">
        <f>IF(T50="","",T50)</f>
        <v>Добавить наименование признака дифференциации</v>
      </c>
      <c r="AO50" s="654"/>
      <c r="AP50" s="654"/>
    </row>
    <row s="8702" customFormat="1" customHeight="1" ht="0">
      <c r="A51" s="1502" t="s">
        <v>226</v>
      </c>
      <c r="B51" s="1502" t="s">
        <v>227</v>
      </c>
      <c r="C51" s="1473"/>
      <c r="D51" s="1473"/>
      <c r="E51" s="2321"/>
      <c r="F51" s="2320"/>
      <c r="G51" s="1473"/>
      <c r="H51" s="1473"/>
      <c r="I51" s="1473"/>
      <c r="J51" s="1473"/>
      <c r="K51" s="1473"/>
      <c r="L51" s="1617"/>
      <c r="M51" s="1480"/>
      <c r="N51" s="1480"/>
      <c r="P51" s="1475"/>
      <c r="Q51" s="1476"/>
      <c r="R51" s="1475"/>
      <c r="S51" s="1481"/>
      <c r="T51" s="1484" t="s">
        <v>251</v>
      </c>
      <c r="U51" s="1483"/>
      <c r="V51" s="1483"/>
      <c r="W51" s="1483"/>
      <c r="X51" s="1483"/>
      <c r="Y51" s="1483"/>
      <c r="Z51" s="1483"/>
      <c r="AA51" s="1483"/>
      <c r="AB51" s="1483"/>
      <c r="AC51" s="1483"/>
      <c r="AD51" s="1483"/>
      <c r="AE51" s="1483"/>
      <c r="AF51" s="1483"/>
      <c r="AG51" s="1483"/>
      <c r="AH51" s="1483"/>
      <c r="AI51" s="1483"/>
      <c r="AJ51" s="1483"/>
      <c r="AK51" s="1483"/>
      <c r="AM51" s="943"/>
      <c r="AN51" s="943" t="str">
        <f>IF(T51="","",T51)</f>
        <v>Добавить централизованную систему для дифференциации</v>
      </c>
      <c r="AO51" s="943"/>
      <c r="AP51" s="943"/>
    </row>
    <row s="8794" customFormat="1" customHeight="1" ht="0">
      <c r="A52" s="1502" t="s">
        <v>226</v>
      </c>
      <c r="B52" s="1502"/>
      <c r="C52" s="1502"/>
      <c r="D52" s="1502"/>
      <c r="E52" s="2320"/>
      <c r="F52" s="1502"/>
      <c r="G52" s="1502"/>
      <c r="H52" s="1502"/>
      <c r="I52" s="1502"/>
      <c r="J52" s="1502"/>
      <c r="K52" s="1502"/>
      <c r="L52" s="1505"/>
      <c r="M52" s="1480"/>
      <c r="N52" s="1480"/>
      <c r="O52" s="672"/>
      <c r="P52" s="534"/>
      <c r="Q52" s="1503"/>
      <c r="R52" s="534"/>
      <c r="S52" s="1481"/>
      <c r="T52" s="1484" t="s">
        <v>252</v>
      </c>
      <c r="U52" s="1483"/>
      <c r="V52" s="1483"/>
      <c r="W52" s="1483"/>
      <c r="X52" s="1483"/>
      <c r="Y52" s="1483"/>
      <c r="Z52" s="1483"/>
      <c r="AA52" s="1483"/>
      <c r="AB52" s="1483"/>
      <c r="AC52" s="1483"/>
      <c r="AD52" s="1483"/>
      <c r="AE52" s="1483"/>
      <c r="AF52" s="1483"/>
      <c r="AG52" s="1483"/>
      <c r="AH52" s="1483"/>
      <c r="AI52" s="1483"/>
      <c r="AJ52" s="1483"/>
      <c r="AK52" s="1483"/>
      <c r="AM52" s="654"/>
      <c r="AN52" s="654" t="str">
        <f>IF(T52="","",T52)</f>
        <v>Добавить территорию для дифференциации</v>
      </c>
      <c r="AO52" s="654"/>
      <c r="AP52" s="654"/>
    </row>
    <row s="8702" customFormat="1" customHeight="1" ht="0">
      <c r="A53" s="1473"/>
      <c r="B53" s="1473"/>
      <c r="C53" s="1473"/>
      <c r="D53" s="1473"/>
      <c r="E53" s="1502"/>
      <c r="F53" s="1473"/>
      <c r="G53" s="1473"/>
      <c r="H53" s="1473"/>
      <c r="I53" s="1473"/>
      <c r="J53" s="1473"/>
      <c r="K53" s="1473"/>
      <c r="L53" s="1617"/>
      <c r="M53" s="1480"/>
      <c r="N53" s="1480"/>
      <c r="P53" s="1475"/>
      <c r="Q53" s="1476"/>
      <c r="R53" s="1475"/>
      <c r="S53" s="1481"/>
      <c r="T53" s="1484" t="s">
        <v>253</v>
      </c>
      <c r="U53" s="1483"/>
      <c r="V53" s="1483"/>
      <c r="W53" s="1483"/>
      <c r="X53" s="1483"/>
      <c r="Y53" s="1483"/>
      <c r="Z53" s="1483"/>
      <c r="AA53" s="1483"/>
      <c r="AB53" s="1483"/>
      <c r="AC53" s="1483"/>
      <c r="AD53" s="1483"/>
      <c r="AE53" s="1483"/>
      <c r="AF53" s="1483"/>
      <c r="AG53" s="1483"/>
      <c r="AH53" s="1483"/>
      <c r="AI53" s="1483"/>
      <c r="AJ53" s="1483"/>
      <c r="AK53" s="1483"/>
      <c r="AM53" s="943"/>
      <c r="AN53" s="943" t="str">
        <f>IF(T53="","",T53)</f>
        <v>Добавить наименование тарифа</v>
      </c>
      <c r="AO53" s="943"/>
      <c r="AP53" s="943"/>
    </row>
    <row customHeight="1" ht="11.25">
      <c r="M54" s="1316"/>
      <c r="N54" s="1316"/>
      <c r="O54" s="691"/>
      <c r="P54" s="1311"/>
      <c r="Q54" s="1311"/>
      <c r="R54" s="1311"/>
      <c r="S54" s="1311"/>
      <c r="AL54" s="1311"/>
      <c r="AM54" s="1311"/>
      <c r="AN54" s="1311"/>
      <c r="AO54" s="1311"/>
      <c r="AP54" s="1311"/>
    </row>
    <row customHeight="1" ht="14.25">
      <c r="O55" s="691"/>
      <c r="S55" s="1411"/>
      <c r="T55" s="2319"/>
      <c r="U55" s="2319"/>
      <c r="V55" s="2319"/>
      <c r="W55" s="2319"/>
      <c r="X55" s="2319"/>
      <c r="Y55" s="2319"/>
      <c r="Z55" s="2319"/>
      <c r="AA55" s="2319"/>
      <c r="AB55" s="2319"/>
      <c r="AC55" s="2319"/>
      <c r="AD55" s="2319"/>
      <c r="AE55" s="2319"/>
      <c r="AF55" s="2319"/>
      <c r="AG55" s="2319"/>
      <c r="AH55" s="2319"/>
      <c r="AI55" s="2319"/>
      <c r="AJ55" s="2319"/>
      <c r="AK55" s="2319"/>
    </row>
    <row customHeight="1" ht="14.25">
      <c r="O56" s="691"/>
    </row>
    <row customHeight="1" ht="14.25">
      <c r="O57" s="691"/>
      <c r="S57" s="1411"/>
      <c r="T57" s="2319"/>
      <c r="U57" s="2319"/>
      <c r="V57" s="2319"/>
      <c r="W57" s="2319"/>
      <c r="X57" s="2319"/>
      <c r="Y57" s="2319"/>
      <c r="Z57" s="2319"/>
      <c r="AA57" s="2319"/>
      <c r="AB57" s="2319"/>
      <c r="AC57" s="2319"/>
      <c r="AD57" s="2319"/>
      <c r="AE57" s="2319"/>
      <c r="AF57" s="2319"/>
      <c r="AG57" s="2319"/>
      <c r="AH57" s="2319"/>
      <c r="AI57" s="2319"/>
      <c r="AJ57" s="2319"/>
      <c r="AK57" s="2319"/>
    </row>
  </sheetData>
  <sheetProtection formatColumns="0" formatRows="0" autoFilter="0" sort="0" insertRows="0" insertColumns="1" deleteRows="0" deleteColumns="0"/>
  <mergeCells count="101">
    <mergeCell ref="T55:AK55"/>
    <mergeCell ref="T57:AK57"/>
    <mergeCell ref="V35:AB35"/>
    <mergeCell ref="S32:T32"/>
    <mergeCell ref="V32:AA32"/>
    <mergeCell ref="AC32:AH32"/>
    <mergeCell ref="S33:T33"/>
    <mergeCell ref="V33:AA33"/>
    <mergeCell ref="AC33:AH33"/>
    <mergeCell ref="AC35:AI35"/>
    <mergeCell ref="Z40:AA40"/>
    <mergeCell ref="AG40:AH40"/>
    <mergeCell ref="S36:AJ36"/>
    <mergeCell ref="AK36:AK39"/>
    <mergeCell ref="S37:S39"/>
    <mergeCell ref="T37:T39"/>
    <mergeCell ref="V37:AA37"/>
    <mergeCell ref="AB37:AB39"/>
    <mergeCell ref="AG46:AG47"/>
    <mergeCell ref="AH46:AH47"/>
    <mergeCell ref="AI46:AI47"/>
    <mergeCell ref="AJ37:AJ39"/>
    <mergeCell ref="AC37:AH37"/>
    <mergeCell ref="W38:X38"/>
    <mergeCell ref="S29:T29"/>
    <mergeCell ref="F3:F12"/>
    <mergeCell ref="V3:AB3"/>
    <mergeCell ref="AC3:AJ3"/>
    <mergeCell ref="G4:G11"/>
    <mergeCell ref="V4:AB4"/>
    <mergeCell ref="AC4:AJ4"/>
    <mergeCell ref="H5:H11"/>
    <mergeCell ref="I5:I10"/>
    <mergeCell ref="P5:P10"/>
    <mergeCell ref="V5:AB5"/>
    <mergeCell ref="AC5:AJ5"/>
    <mergeCell ref="J6:J9"/>
    <mergeCell ref="Q6:Q9"/>
    <mergeCell ref="K7:K8"/>
    <mergeCell ref="Y7:Y8"/>
    <mergeCell ref="V6:AB6"/>
    <mergeCell ref="AC6:AJ6"/>
    <mergeCell ref="AC28:AH28"/>
    <mergeCell ref="Z7:Z8"/>
    <mergeCell ref="AA7:AA8"/>
    <mergeCell ref="AB7:AB8"/>
    <mergeCell ref="AF7:AF8"/>
    <mergeCell ref="AK7:AK8"/>
    <mergeCell ref="AF15:AF16"/>
    <mergeCell ref="AG15:AG16"/>
    <mergeCell ref="AH15:AH16"/>
    <mergeCell ref="AI15:AI16"/>
    <mergeCell ref="Z46:Z47"/>
    <mergeCell ref="AC45:AJ45"/>
    <mergeCell ref="AA46:AA47"/>
    <mergeCell ref="AB46:AB47"/>
    <mergeCell ref="AF46:AF47"/>
    <mergeCell ref="AK46:AK47"/>
    <mergeCell ref="E2:E13"/>
    <mergeCell ref="V2:AB2"/>
    <mergeCell ref="AC2:AJ2"/>
    <mergeCell ref="AI37:AI39"/>
    <mergeCell ref="V29:AA29"/>
    <mergeCell ref="AC29:AH29"/>
    <mergeCell ref="V30:AA30"/>
    <mergeCell ref="AC30:AH30"/>
    <mergeCell ref="Z39:AA39"/>
    <mergeCell ref="AG39:AH39"/>
    <mergeCell ref="AI7:AI8"/>
    <mergeCell ref="S30:T30"/>
    <mergeCell ref="S24:AH24"/>
    <mergeCell ref="S25:AH25"/>
    <mergeCell ref="S27:T27"/>
    <mergeCell ref="V27:AA27"/>
    <mergeCell ref="AC27:AH27"/>
    <mergeCell ref="S28:T28"/>
    <mergeCell ref="V28:AA28"/>
    <mergeCell ref="Y38:AA38"/>
    <mergeCell ref="AD38:AE38"/>
    <mergeCell ref="AF38:AH38"/>
    <mergeCell ref="AG7:AG8"/>
    <mergeCell ref="AH7:AH8"/>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K46:K47"/>
    <mergeCell ref="Y46:Y47"/>
  </mergeCells>
  <dataValidations count="8">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2C9B9BF-BF52-F4BD-A129-398DC20A5BE4}" mc:Ignorable="x14ac xr xr2 xr3">
  <sheetPr>
    <tabColor theme="6" tint="0.4"/>
  </sheetPr>
  <dimension ref="A1:AP57"/>
  <sheetViews>
    <sheetView topLeftCell="A1" showGridLines="0" zoomScale="90" workbookViewId="0">
      <selection activeCell="A1" sqref="A1"/>
    </sheetView>
  </sheetViews>
  <sheetFormatPr defaultColWidth="10.57421875" customHeight="1" defaultRowHeight="14.25"/>
  <cols>
    <col min="1" max="1" style="8721" width="10.57421875" hidden="1"/>
    <col min="2" max="2" style="8721" width="11.00390625" hidden="1" customWidth="1"/>
    <col min="3" max="3" style="8721" width="10.57421875" hidden="1"/>
    <col min="4" max="4" style="8721" width="11.8515625" hidden="1" customWidth="1"/>
    <col min="5" max="5" style="8721" width="10.00390625" hidden="1" customWidth="1"/>
    <col min="6" max="6" style="8721" width="8.7109375" hidden="1" customWidth="1"/>
    <col min="7" max="7" style="8721" width="7.57421875" hidden="1" customWidth="1"/>
    <col min="8" max="8" style="8721" width="11.421875" hidden="1" customWidth="1"/>
    <col min="9" max="9" style="8721" width="14.140625" hidden="1" customWidth="1"/>
    <col min="10" max="10" style="8721" width="9.8515625" hidden="1" customWidth="1"/>
    <col min="11" max="11" style="8721" width="14.7109375" hidden="1" customWidth="1"/>
    <col min="12" max="12" style="9016" width="19.140625" hidden="1" customWidth="1"/>
    <col min="13" max="14" style="8803" width="12.28125" hidden="1" customWidth="1"/>
    <col min="15" max="15" style="8803" width="23.421875" hidden="1" customWidth="1"/>
    <col min="16" max="16" style="9017" width="3.7109375" customWidth="1"/>
    <col min="17" max="18" style="8805" width="3.7109375" customWidth="1"/>
    <col min="19" max="19" style="8806" width="12.7109375" customWidth="1"/>
    <col min="20" max="20" style="8807" width="35.7109375" customWidth="1"/>
    <col min="21" max="21" style="8807" width="0.140625" customWidth="1"/>
    <col min="22" max="24" style="8807" width="24.7109375" hidden="1" customWidth="1"/>
    <col min="25" max="25" style="8807" width="11.7109375" hidden="1" customWidth="1"/>
    <col min="26" max="26" style="8807" width="3.7109375" hidden="1" customWidth="1"/>
    <col min="27" max="27" style="8807" width="11.7109375" hidden="1" customWidth="1"/>
    <col min="28" max="28" style="8807" width="8.57421875" hidden="1" customWidth="1"/>
    <col min="29" max="31" style="8807" width="24.7109375" customWidth="1"/>
    <col min="32" max="32" style="8807" width="11.7109375" customWidth="1"/>
    <col min="33" max="33" style="8807" width="3.7109375" customWidth="1"/>
    <col min="34" max="34" style="8807" width="11.7109375" customWidth="1"/>
    <col min="35" max="35" style="8807" width="8.57421875" hidden="1" customWidth="1"/>
    <col min="36" max="36" style="8807" width="4.7109375" customWidth="1"/>
    <col min="37" max="37" style="8807" width="115.7109375" customWidth="1"/>
    <col min="38" max="39" style="8794" width="10.57421875"/>
    <col min="40" max="40" style="8794" width="11.140625" customWidth="1"/>
    <col min="41" max="42" style="8794" width="10.57421875"/>
  </cols>
  <sheetData>
    <row customHeight="1" ht="14.25" hidden="1">
      <c r="X1" s="481"/>
      <c r="Y1" s="481"/>
      <c r="AE1" s="481"/>
      <c r="AF1" s="481"/>
    </row>
    <row customHeight="1" ht="23.25" hidden="1">
      <c r="A2" s="1522"/>
      <c r="B2" s="1522"/>
      <c r="C2" s="1522"/>
      <c r="D2" s="1522"/>
      <c r="E2" s="2320">
        <v>1</v>
      </c>
      <c r="F2" s="1522"/>
      <c r="G2" s="1522"/>
      <c r="H2" s="1522"/>
      <c r="I2" s="1522"/>
      <c r="J2" s="1522"/>
      <c r="K2" s="1522"/>
      <c r="L2" s="1523"/>
      <c r="M2" s="1524"/>
      <c r="N2" s="1524"/>
      <c r="O2" s="1524"/>
      <c r="P2" s="515"/>
      <c r="Q2" s="514"/>
      <c r="R2" s="509"/>
      <c r="S2" s="1616">
        <f>INDEX(PT_DIFFERENTIATION_NUM_NTAR,MATCH(A2,PT_DIFFERENTIATION_NTAR_ID,0))</f>
      </c>
      <c r="T2" s="452" t="s">
        <v>120</v>
      </c>
      <c r="U2" s="454"/>
      <c r="V2" s="2314"/>
      <c r="W2" s="2315"/>
      <c r="X2" s="2315"/>
      <c r="Y2" s="2315"/>
      <c r="Z2" s="2315"/>
      <c r="AA2" s="2315"/>
      <c r="AB2" s="2316"/>
      <c r="AC2" s="2314">
        <f>INDEX(PT_DIFFERENTIATION_NTAR,MATCH(A2,PT_DIFFERENTIATION_NTAR_ID,0))</f>
      </c>
      <c r="AD2" s="2315"/>
      <c r="AE2" s="2315"/>
      <c r="AF2" s="2315"/>
      <c r="AG2" s="2315"/>
      <c r="AH2" s="2315"/>
      <c r="AI2" s="2315"/>
      <c r="AJ2" s="2316"/>
      <c r="AK2" s="1416"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2" s="654"/>
      <c r="AN2" s="654" t="str">
        <f>IF(T2="","",T2)</f>
        <v>Наименование тарифа</v>
      </c>
      <c r="AO2" s="654"/>
      <c r="AP2" s="654"/>
    </row>
    <row customHeight="1" ht="23.25" hidden="1">
      <c r="A3" s="1522"/>
      <c r="B3" s="1522"/>
      <c r="C3" s="1522"/>
      <c r="D3" s="1522"/>
      <c r="E3" s="2321"/>
      <c r="F3" s="2320">
        <v>1</v>
      </c>
      <c r="G3" s="1522"/>
      <c r="H3" s="1522"/>
      <c r="I3" s="1522"/>
      <c r="J3" s="1522"/>
      <c r="K3" s="1522"/>
      <c r="L3" s="1523"/>
      <c r="M3" s="1524"/>
      <c r="N3" s="1524"/>
      <c r="O3" s="1524"/>
      <c r="P3" s="1612"/>
      <c r="Q3" s="506"/>
      <c r="R3" s="507"/>
      <c r="S3" s="1616">
        <f>INDEX(PT_DIFFERENTIATION_NUM_TER,MATCH(B3,PT_DIFFERENTIATION_TER_ID,0))</f>
      </c>
      <c r="T3" s="462" t="s">
        <v>397</v>
      </c>
      <c r="U3" s="454"/>
      <c r="V3" s="2314"/>
      <c r="W3" s="2315"/>
      <c r="X3" s="2315"/>
      <c r="Y3" s="2315"/>
      <c r="Z3" s="2315"/>
      <c r="AA3" s="2315"/>
      <c r="AB3" s="2316"/>
      <c r="AC3" s="2314">
        <f>INDEX(PT_DIFFERENTIATION_TER,MATCH(B3,PT_DIFFERENTIATION_TER_ID,0))</f>
      </c>
      <c r="AD3" s="2315"/>
      <c r="AE3" s="2315"/>
      <c r="AF3" s="2315"/>
      <c r="AG3" s="2315"/>
      <c r="AH3" s="2315"/>
      <c r="AI3" s="2315"/>
      <c r="AJ3" s="2316"/>
      <c r="AK3" s="1416" t="s">
        <v>398</v>
      </c>
      <c r="AM3" s="654"/>
      <c r="AN3" s="654" t="str">
        <f>IF(T3="","",T3)</f>
        <v>Территория действия тарифа</v>
      </c>
      <c r="AO3" s="654"/>
      <c r="AP3" s="654"/>
    </row>
    <row customHeight="1" ht="23.25" hidden="1">
      <c r="A4" s="1522"/>
      <c r="B4" s="1522"/>
      <c r="C4" s="1522"/>
      <c r="D4" s="1522"/>
      <c r="E4" s="2321"/>
      <c r="F4" s="2321"/>
      <c r="G4" s="2320">
        <v>1</v>
      </c>
      <c r="H4" s="1522"/>
      <c r="I4" s="1522"/>
      <c r="J4" s="1522"/>
      <c r="K4" s="1522"/>
      <c r="L4" s="1523"/>
      <c r="M4" s="1524"/>
      <c r="N4" s="1524"/>
      <c r="O4" s="1524"/>
      <c r="P4" s="508"/>
      <c r="Q4" s="506"/>
      <c r="R4" s="507"/>
      <c r="S4" s="1616">
        <f>INDEX(PT_DIFFERENTIATION_NUM_CS,MATCH(C4,PT_DIFFERENTIATION_CS_ID,0))</f>
      </c>
      <c r="T4" s="463" t="s">
        <v>479</v>
      </c>
      <c r="U4" s="454"/>
      <c r="V4" s="2314"/>
      <c r="W4" s="2315"/>
      <c r="X4" s="2315"/>
      <c r="Y4" s="2315"/>
      <c r="Z4" s="2315"/>
      <c r="AA4" s="2315"/>
      <c r="AB4" s="2316"/>
      <c r="AC4" s="2314">
        <f>INDEX(PT_DIFFERENTIATION_CS,MATCH(C4,PT_DIFFERENTIATION_CS_ID,0))</f>
      </c>
      <c r="AD4" s="2315"/>
      <c r="AE4" s="2315"/>
      <c r="AF4" s="2315"/>
      <c r="AG4" s="2315"/>
      <c r="AH4" s="2315"/>
      <c r="AI4" s="2315"/>
      <c r="AJ4" s="2316"/>
      <c r="AK4" s="1416" t="s">
        <v>480</v>
      </c>
      <c r="AM4" s="654"/>
      <c r="AN4" s="654" t="str">
        <f>IF(T4="","",T4)</f>
        <v>Наименование централизованной системы холодного водоснабжения</v>
      </c>
      <c r="AO4" s="654"/>
      <c r="AP4" s="654"/>
    </row>
    <row customHeight="1" ht="23.25" hidden="1">
      <c r="A5" s="1522"/>
      <c r="B5" s="1522"/>
      <c r="C5" s="1522"/>
      <c r="D5" s="1522"/>
      <c r="E5" s="2321"/>
      <c r="F5" s="2321"/>
      <c r="G5" s="2321"/>
      <c r="H5" s="2321"/>
      <c r="I5" s="2322">
        <f>S4&amp;".1"</f>
      </c>
      <c r="J5" s="1522"/>
      <c r="K5" s="1522"/>
      <c r="L5" s="1523"/>
      <c r="P5" s="2324">
        <v>1</v>
      </c>
      <c r="Q5" s="1609"/>
      <c r="R5" s="510"/>
      <c r="S5" s="1616">
        <f>$I5</f>
      </c>
      <c r="T5" s="439" t="s">
        <v>481</v>
      </c>
      <c r="U5" s="454"/>
      <c r="V5" s="2407"/>
      <c r="W5" s="2408"/>
      <c r="X5" s="2408"/>
      <c r="Y5" s="2408"/>
      <c r="Z5" s="2408"/>
      <c r="AA5" s="2408"/>
      <c r="AB5" s="2409"/>
      <c r="AC5" s="2410"/>
      <c r="AD5" s="2411"/>
      <c r="AE5" s="2411"/>
      <c r="AF5" s="2411"/>
      <c r="AG5" s="2411"/>
      <c r="AH5" s="2411"/>
      <c r="AI5" s="2411"/>
      <c r="AJ5" s="2412"/>
      <c r="AK5" s="1416" t="s">
        <v>482</v>
      </c>
      <c r="AM5" s="654"/>
      <c r="AN5" s="654" t="str">
        <f>IF(T5="","",T5)</f>
        <v>Наименование признака дифференциации</v>
      </c>
      <c r="AO5" s="654"/>
      <c r="AP5" s="654"/>
    </row>
    <row customHeight="1" ht="23.25" hidden="1">
      <c r="A6" s="1522"/>
      <c r="B6" s="1522"/>
      <c r="C6" s="1522"/>
      <c r="D6" s="1522"/>
      <c r="E6" s="2321"/>
      <c r="F6" s="2321"/>
      <c r="G6" s="2321"/>
      <c r="H6" s="2321"/>
      <c r="I6" s="2323"/>
      <c r="J6" s="2322">
        <f>I5&amp;".1"</f>
      </c>
      <c r="K6" s="1522"/>
      <c r="L6" s="1523" t="s">
        <v>406</v>
      </c>
      <c r="P6" s="2324"/>
      <c r="Q6" s="2324">
        <v>1</v>
      </c>
      <c r="R6" s="511"/>
      <c r="S6" s="1616">
        <f>$J6</f>
      </c>
      <c r="T6" s="440" t="s">
        <v>407</v>
      </c>
      <c r="U6" s="454"/>
      <c r="V6" s="2308"/>
      <c r="W6" s="2309"/>
      <c r="X6" s="2309"/>
      <c r="Y6" s="2309"/>
      <c r="Z6" s="2309"/>
      <c r="AA6" s="2309"/>
      <c r="AB6" s="2310"/>
      <c r="AC6" s="2308"/>
      <c r="AD6" s="2309"/>
      <c r="AE6" s="2309"/>
      <c r="AF6" s="2309"/>
      <c r="AG6" s="2309"/>
      <c r="AH6" s="2309"/>
      <c r="AI6" s="2309"/>
      <c r="AJ6" s="2310"/>
      <c r="AK6" s="1466" t="s">
        <v>483</v>
      </c>
      <c r="AM6" s="654"/>
      <c r="AN6" s="654" t="str">
        <f>IF(T6="","",T6)</f>
        <v>Группа потребителей</v>
      </c>
      <c r="AO6" s="654"/>
      <c r="AP6" s="654"/>
    </row>
    <row customHeight="1" ht="23.25" hidden="1">
      <c r="A7" s="1522"/>
      <c r="B7" s="1522"/>
      <c r="C7" s="1522"/>
      <c r="D7" s="1522"/>
      <c r="E7" s="2321"/>
      <c r="F7" s="2321"/>
      <c r="G7" s="2321"/>
      <c r="H7" s="2321"/>
      <c r="I7" s="2323"/>
      <c r="J7" s="2323"/>
      <c r="K7" s="2322">
        <f>J6&amp;".1"</f>
      </c>
      <c r="L7" s="1523"/>
      <c r="P7" s="2324"/>
      <c r="Q7" s="2324"/>
      <c r="R7" s="511">
        <v>1</v>
      </c>
      <c r="S7" s="1616">
        <f>$K7</f>
      </c>
      <c r="T7" s="1596"/>
      <c r="U7" s="454"/>
      <c r="V7" s="905"/>
      <c r="W7" s="905"/>
      <c r="X7" s="1415"/>
      <c r="Y7" s="2325"/>
      <c r="Z7" s="2195" t="s">
        <v>64</v>
      </c>
      <c r="AA7" s="2325"/>
      <c r="AB7" s="2195" t="s">
        <v>64</v>
      </c>
      <c r="AC7" s="905"/>
      <c r="AD7" s="905"/>
      <c r="AE7" s="1415"/>
      <c r="AF7" s="2325"/>
      <c r="AG7" s="2195" t="s">
        <v>64</v>
      </c>
      <c r="AH7" s="2327"/>
      <c r="AI7" s="2195" t="s">
        <v>64</v>
      </c>
      <c r="AJ7" s="1597"/>
      <c r="AK7" s="241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65">
        <f>STRCHECKDATE(V8:AJ8)</f>
      </c>
      <c r="AM7" s="654"/>
      <c r="AN7" s="654" t="str">
        <f>IF(T7="","",T7)</f>
        <v/>
      </c>
      <c r="AO7" s="654"/>
      <c r="AP7" s="654"/>
    </row>
    <row customHeight="1" ht="14.25" hidden="1">
      <c r="A8" s="1522"/>
      <c r="B8" s="1522"/>
      <c r="C8" s="1522"/>
      <c r="D8" s="1522"/>
      <c r="E8" s="2321"/>
      <c r="F8" s="2321"/>
      <c r="G8" s="2321"/>
      <c r="H8" s="2321"/>
      <c r="I8" s="2323"/>
      <c r="J8" s="2323"/>
      <c r="K8" s="2322"/>
      <c r="L8" s="1523"/>
      <c r="P8" s="2324"/>
      <c r="Q8" s="2324"/>
      <c r="R8" s="511"/>
      <c r="S8" s="1615"/>
      <c r="T8" s="454"/>
      <c r="U8" s="454"/>
      <c r="V8" s="479"/>
      <c r="W8" s="479"/>
      <c r="X8" s="482" t="str">
        <f>Y7&amp;"-"&amp;AA7</f>
        <v>-</v>
      </c>
      <c r="Y8" s="2326"/>
      <c r="Z8" s="2195"/>
      <c r="AA8" s="2326"/>
      <c r="AB8" s="2195"/>
      <c r="AC8" s="479"/>
      <c r="AD8" s="479"/>
      <c r="AE8" s="482" t="str">
        <f>AF7&amp;"-"&amp;AH7</f>
        <v>-</v>
      </c>
      <c r="AF8" s="2326"/>
      <c r="AG8" s="2195"/>
      <c r="AH8" s="2328"/>
      <c r="AI8" s="2195"/>
      <c r="AJ8" s="1598"/>
      <c r="AK8" s="2413"/>
      <c r="AM8" s="654"/>
      <c r="AN8" s="654" t="str">
        <f>IF(T8="","",T8)</f>
        <v/>
      </c>
      <c r="AO8" s="654"/>
      <c r="AP8" s="654"/>
    </row>
    <row customHeight="1" ht="21" hidden="1">
      <c r="A9" s="1522"/>
      <c r="B9" s="1522"/>
      <c r="C9" s="1522"/>
      <c r="D9" s="1522"/>
      <c r="E9" s="2321"/>
      <c r="F9" s="2321"/>
      <c r="G9" s="2321"/>
      <c r="H9" s="2321"/>
      <c r="I9" s="2323"/>
      <c r="J9" s="2322"/>
      <c r="K9" s="1522"/>
      <c r="L9" s="1523"/>
      <c r="P9" s="2324"/>
      <c r="Q9" s="2324"/>
      <c r="R9" s="510"/>
      <c r="S9" s="1437"/>
      <c r="T9" s="441" t="s">
        <v>484</v>
      </c>
      <c r="U9" s="521"/>
      <c r="V9" s="521"/>
      <c r="W9" s="521"/>
      <c r="X9" s="521"/>
      <c r="Y9" s="521"/>
      <c r="Z9" s="521"/>
      <c r="AA9" s="521"/>
      <c r="AB9" s="521"/>
      <c r="AC9" s="521"/>
      <c r="AD9" s="521"/>
      <c r="AE9" s="521"/>
      <c r="AF9" s="521"/>
      <c r="AG9" s="521"/>
      <c r="AH9" s="521"/>
      <c r="AI9" s="521"/>
      <c r="AJ9" s="521"/>
      <c r="AK9" s="1416" t="s">
        <v>485</v>
      </c>
      <c r="AM9" s="654"/>
      <c r="AN9" s="654" t="str">
        <f>IF(T9="","",T9)</f>
        <v>Добавить значение признака дифференциации</v>
      </c>
      <c r="AO9" s="654"/>
      <c r="AP9" s="654"/>
    </row>
    <row customHeight="1" ht="21" hidden="1">
      <c r="A10" s="1522"/>
      <c r="B10" s="1522"/>
      <c r="C10" s="1522"/>
      <c r="D10" s="1522"/>
      <c r="E10" s="2321"/>
      <c r="F10" s="2321"/>
      <c r="G10" s="2321"/>
      <c r="H10" s="2321"/>
      <c r="I10" s="2322"/>
      <c r="J10" s="1522"/>
      <c r="K10" s="1522"/>
      <c r="L10" s="1523"/>
      <c r="P10" s="2324"/>
      <c r="Q10" s="1609"/>
      <c r="R10" s="510"/>
      <c r="S10" s="1437"/>
      <c r="T10" s="519" t="s">
        <v>412</v>
      </c>
      <c r="U10" s="521"/>
      <c r="V10" s="521"/>
      <c r="W10" s="521"/>
      <c r="X10" s="521"/>
      <c r="Y10" s="521"/>
      <c r="Z10" s="521"/>
      <c r="AA10" s="521"/>
      <c r="AB10" s="520"/>
      <c r="AC10" s="521"/>
      <c r="AD10" s="521"/>
      <c r="AE10" s="521"/>
      <c r="AF10" s="521"/>
      <c r="AG10" s="521"/>
      <c r="AH10" s="521"/>
      <c r="AI10" s="520"/>
      <c r="AJ10" s="521"/>
      <c r="AK10" s="1599"/>
      <c r="AM10" s="654"/>
      <c r="AN10" s="654" t="str">
        <f>IF(T10="","",T10)</f>
        <v>Добавить группу потребителей</v>
      </c>
      <c r="AO10" s="654"/>
      <c r="AP10" s="654"/>
    </row>
    <row customHeight="1" ht="21" hidden="1">
      <c r="A11" s="1522"/>
      <c r="B11" s="1522"/>
      <c r="C11" s="1522"/>
      <c r="D11" s="1522"/>
      <c r="E11" s="2321"/>
      <c r="F11" s="2321"/>
      <c r="G11" s="2321"/>
      <c r="H11" s="2320"/>
      <c r="I11" s="1522"/>
      <c r="J11" s="1522"/>
      <c r="K11" s="1522"/>
      <c r="L11" s="1523"/>
      <c r="M11" s="1524"/>
      <c r="N11" s="1524"/>
      <c r="O11" s="691"/>
      <c r="P11" s="514"/>
      <c r="Q11" s="529"/>
      <c r="R11" s="509"/>
      <c r="S11" s="1437"/>
      <c r="T11" s="526" t="s">
        <v>486</v>
      </c>
      <c r="U11" s="521"/>
      <c r="V11" s="521"/>
      <c r="W11" s="521"/>
      <c r="X11" s="521"/>
      <c r="Y11" s="521"/>
      <c r="Z11" s="521"/>
      <c r="AA11" s="521"/>
      <c r="AB11" s="520"/>
      <c r="AC11" s="521"/>
      <c r="AD11" s="521"/>
      <c r="AE11" s="521"/>
      <c r="AF11" s="521"/>
      <c r="AG11" s="521"/>
      <c r="AH11" s="521"/>
      <c r="AI11" s="520"/>
      <c r="AJ11" s="521"/>
      <c r="AK11" s="457"/>
      <c r="AM11" s="654"/>
      <c r="AN11" s="654" t="str">
        <f>IF(T11="","",T11)</f>
        <v>Добавить наименование признака дифференциации</v>
      </c>
      <c r="AO11" s="654"/>
      <c r="AP11" s="654"/>
    </row>
    <row s="8702" customFormat="1" customHeight="1" ht="14.25" hidden="1">
      <c r="A12" s="1502"/>
      <c r="B12" s="1502"/>
      <c r="C12" s="1473"/>
      <c r="D12" s="1473"/>
      <c r="E12" s="2321"/>
      <c r="F12" s="2320"/>
      <c r="G12" s="1473"/>
      <c r="H12" s="1473"/>
      <c r="I12" s="1473"/>
      <c r="J12" s="1473"/>
      <c r="K12" s="1473"/>
      <c r="L12" s="1617"/>
      <c r="M12" s="1480"/>
      <c r="N12" s="1480"/>
      <c r="P12" s="1475"/>
      <c r="Q12" s="1476"/>
      <c r="R12" s="1475"/>
      <c r="S12" s="1481"/>
      <c r="T12" s="1484" t="s">
        <v>251</v>
      </c>
      <c r="U12" s="1483"/>
      <c r="V12" s="1483"/>
      <c r="W12" s="1483"/>
      <c r="X12" s="1483"/>
      <c r="Y12" s="1483"/>
      <c r="Z12" s="1483"/>
      <c r="AA12" s="1483"/>
      <c r="AB12" s="1483"/>
      <c r="AC12" s="1483"/>
      <c r="AD12" s="1483"/>
      <c r="AE12" s="1483"/>
      <c r="AF12" s="1483"/>
      <c r="AG12" s="1483"/>
      <c r="AH12" s="1483"/>
      <c r="AI12" s="1483"/>
      <c r="AJ12" s="1483"/>
      <c r="AK12" s="1483"/>
      <c r="AM12" s="943"/>
      <c r="AN12" s="943" t="str">
        <f>IF(T12="","",T12)</f>
        <v>Добавить централизованную систему для дифференциации</v>
      </c>
      <c r="AO12" s="943"/>
      <c r="AP12" s="943"/>
    </row>
    <row s="8794" customFormat="1" customHeight="1" ht="14.25" hidden="1">
      <c r="A13" s="1502"/>
      <c r="B13" s="1502"/>
      <c r="C13" s="1502"/>
      <c r="D13" s="1502"/>
      <c r="E13" s="2320"/>
      <c r="F13" s="1502"/>
      <c r="G13" s="1502"/>
      <c r="H13" s="1502"/>
      <c r="I13" s="1502"/>
      <c r="J13" s="1502"/>
      <c r="K13" s="1502"/>
      <c r="L13" s="1505"/>
      <c r="M13" s="1480"/>
      <c r="N13" s="1480"/>
      <c r="O13" s="672"/>
      <c r="P13" s="534"/>
      <c r="Q13" s="1503"/>
      <c r="R13" s="534"/>
      <c r="S13" s="1481"/>
      <c r="T13" s="1484" t="s">
        <v>252</v>
      </c>
      <c r="U13" s="1483"/>
      <c r="V13" s="1483"/>
      <c r="W13" s="1483"/>
      <c r="X13" s="1483"/>
      <c r="Y13" s="1483"/>
      <c r="Z13" s="1483"/>
      <c r="AA13" s="1483"/>
      <c r="AB13" s="1483"/>
      <c r="AC13" s="1483"/>
      <c r="AD13" s="1483"/>
      <c r="AE13" s="1483"/>
      <c r="AF13" s="1483"/>
      <c r="AG13" s="1483"/>
      <c r="AH13" s="1483"/>
      <c r="AI13" s="1483"/>
      <c r="AJ13" s="1483"/>
      <c r="AK13" s="1483"/>
      <c r="AM13" s="654"/>
      <c r="AN13" s="654" t="str">
        <f>IF(T13="","",T13)</f>
        <v>Добавить территорию для дифференциации</v>
      </c>
      <c r="AO13" s="654"/>
      <c r="AP13" s="654"/>
    </row>
    <row customHeight="1" ht="14.25" hidden="1">
      <c r="AB14" s="481"/>
      <c r="AI14" s="481"/>
    </row>
    <row customHeight="1" ht="14.25" hidden="1">
      <c r="AC15" s="1519"/>
      <c r="AD15" s="1519"/>
      <c r="AE15" s="1520"/>
      <c r="AF15" s="2318"/>
      <c r="AG15" s="2317" t="s">
        <v>64</v>
      </c>
      <c r="AH15" s="2318"/>
      <c r="AI15" s="2317" t="s">
        <v>64</v>
      </c>
    </row>
    <row customHeight="1" ht="14.25" hidden="1">
      <c r="AC16" s="1519"/>
      <c r="AD16" s="1519"/>
      <c r="AE16" s="482" t="str">
        <f>AF15&amp;"-"&amp;AH15</f>
        <v>-</v>
      </c>
      <c r="AF16" s="2317"/>
      <c r="AG16" s="2317"/>
      <c r="AH16" s="2317"/>
      <c r="AI16" s="2317"/>
    </row>
    <row customHeight="1" ht="14.25" hidden="1">
      <c r="AI17" s="481"/>
    </row>
    <row s="8721" customFormat="1" customHeight="1" ht="22.5" hidden="1">
      <c r="L18" s="1606"/>
      <c r="M18" s="1521"/>
      <c r="N18" s="1521"/>
      <c r="O18" s="1526" t="s">
        <v>415</v>
      </c>
      <c r="P18" s="1521"/>
      <c r="Q18" s="1530"/>
      <c r="R18" s="1530"/>
      <c r="S18" s="883"/>
      <c r="Y18" s="1526"/>
      <c r="AA18" s="1526"/>
      <c r="AB18" s="1525"/>
      <c r="AF18" s="1526"/>
      <c r="AH18" s="1526"/>
      <c r="AI18" s="1525"/>
      <c r="AL18" s="665"/>
      <c r="AM18" s="665"/>
      <c r="AN18" s="665"/>
      <c r="AO18" s="665"/>
      <c r="AP18" s="665"/>
    </row>
    <row s="8721" customFormat="1" customHeight="1" ht="14.25" hidden="1">
      <c r="L19" s="1606"/>
      <c r="M19" s="1521"/>
      <c r="N19" s="1521"/>
      <c r="O19" s="1521"/>
      <c r="P19" s="1521"/>
      <c r="Q19" s="1530"/>
      <c r="R19" s="1530"/>
      <c r="S19" s="883"/>
      <c r="AB19" s="1525"/>
      <c r="AI19" s="1525"/>
      <c r="AL19" s="665"/>
      <c r="AM19" s="665"/>
      <c r="AN19" s="665"/>
      <c r="AO19" s="665"/>
      <c r="AP19" s="665"/>
    </row>
    <row s="8721" customFormat="1" customHeight="1" ht="12" hidden="1">
      <c r="L20" s="1606"/>
      <c r="M20" s="1521"/>
      <c r="N20" s="1521"/>
      <c r="O20" s="1523" t="s">
        <v>416</v>
      </c>
      <c r="P20" s="1521"/>
      <c r="Q20" s="1601"/>
      <c r="R20" s="1601"/>
      <c r="S20" s="883"/>
      <c r="T20" s="1316" t="s">
        <v>417</v>
      </c>
      <c r="Z20" s="340" t="s">
        <v>418</v>
      </c>
      <c r="AB20" s="340" t="s">
        <v>419</v>
      </c>
      <c r="AC20" s="1316" t="s">
        <v>417</v>
      </c>
      <c r="AG20" s="340" t="s">
        <v>420</v>
      </c>
      <c r="AI20" s="340" t="s">
        <v>419</v>
      </c>
    </row>
    <row customHeight="1" ht="14.25" hidden="1">
      <c r="O21" s="1523"/>
    </row>
    <row customHeight="1" ht="14.25" hidden="1">
      <c r="O22" s="1523"/>
    </row>
    <row customHeight="1" ht="14.25">
      <c r="Q23" s="530"/>
      <c r="R23" s="530"/>
      <c r="S23" s="1434"/>
      <c r="T23" s="517"/>
      <c r="U23" s="517"/>
      <c r="V23" s="663"/>
      <c r="W23" s="663"/>
      <c r="X23" s="663"/>
      <c r="Y23" s="663"/>
      <c r="Z23" s="663"/>
      <c r="AA23" s="663"/>
      <c r="AB23" s="663"/>
      <c r="AC23" s="663"/>
      <c r="AD23" s="663"/>
      <c r="AE23" s="663"/>
      <c r="AF23" s="663"/>
      <c r="AG23" s="663"/>
      <c r="AH23" s="663"/>
      <c r="AI23" s="663"/>
    </row>
    <row customHeight="1" ht="14.25">
      <c r="Q24" s="530"/>
      <c r="R24" s="530"/>
      <c r="S24" s="2353" t="str">
        <f>IF(TEMPLATE_GROUP="P",PT_P_FORM_COLDVSNA_4_NAME_FORM,PT_R_FORM_COLDVSNA_16_NAME_FORM)</f>
        <v>Форма 2. Информация
о тарифах в сфере холодного водоснабжения на товары (услуги) организации холодного водоснабжения, подлежащих регулированию</v>
      </c>
      <c r="T24" s="2353"/>
      <c r="U24" s="2353"/>
      <c r="V24" s="2353"/>
      <c r="W24" s="2353"/>
      <c r="X24" s="2353"/>
      <c r="Y24" s="2353"/>
      <c r="Z24" s="2353"/>
      <c r="AA24" s="2353"/>
      <c r="AB24" s="2353"/>
      <c r="AC24" s="2353"/>
      <c r="AD24" s="2353"/>
      <c r="AE24" s="2353"/>
      <c r="AF24" s="2353"/>
      <c r="AG24" s="2353"/>
      <c r="AH24" s="2353"/>
      <c r="AI24" s="1401"/>
    </row>
    <row customHeight="1" ht="14.25">
      <c r="Q25" s="530"/>
      <c r="R25" s="530"/>
      <c r="S25" s="2354" t="str">
        <f>IF(org=0,"Не определено",org)</f>
        <v>АО "Теплокоммунэнерго"</v>
      </c>
      <c r="T25" s="2354"/>
      <c r="U25" s="2354"/>
      <c r="V25" s="2354"/>
      <c r="W25" s="2354"/>
      <c r="X25" s="2354"/>
      <c r="Y25" s="2354"/>
      <c r="Z25" s="2354"/>
      <c r="AA25" s="2354"/>
      <c r="AB25" s="2354"/>
      <c r="AC25" s="2354"/>
      <c r="AD25" s="2354"/>
      <c r="AE25" s="2354"/>
      <c r="AF25" s="2354"/>
      <c r="AG25" s="2354"/>
      <c r="AH25" s="2354"/>
      <c r="AI25" s="1401"/>
    </row>
    <row customHeight="1" ht="14.25">
      <c r="Q26" s="530"/>
      <c r="R26" s="530"/>
      <c r="S26" s="1434"/>
      <c r="T26" s="517"/>
      <c r="U26" s="517"/>
      <c r="V26" s="476"/>
      <c r="W26" s="476"/>
      <c r="X26" s="476"/>
      <c r="Y26" s="476"/>
      <c r="Z26" s="476"/>
      <c r="AA26" s="476"/>
      <c r="AB26" s="476"/>
      <c r="AC26" s="476"/>
      <c r="AD26" s="476"/>
      <c r="AE26" s="476"/>
      <c r="AF26" s="476"/>
      <c r="AG26" s="476"/>
      <c r="AH26" s="476"/>
      <c r="AI26" s="476"/>
      <c r="AJ26" s="663"/>
    </row>
    <row s="8735" customFormat="1" customHeight="1" ht="25.5">
      <c r="A27" s="1527"/>
      <c r="B27" s="1527"/>
      <c r="C27" s="1527"/>
      <c r="D27" s="1527"/>
      <c r="E27" s="1527"/>
      <c r="F27" s="1527"/>
      <c r="G27" s="1527"/>
      <c r="H27" s="1527"/>
      <c r="I27" s="1527"/>
      <c r="J27" s="1527"/>
      <c r="K27" s="1527"/>
      <c r="L27" s="1528"/>
      <c r="M27" s="1527"/>
      <c r="N27" s="1527"/>
      <c r="O27" s="1527"/>
      <c r="S27" s="2311" t="s">
        <v>38</v>
      </c>
      <c r="T27" s="2311"/>
      <c r="U27" s="1531"/>
      <c r="V27" s="2313" t="str">
        <f>IF(TITLE_NAME_OR_PR_CHANGE="",IF(TITLE_NAME_OR_PR="","",TITLE_NAME_OR_PR),TITLE_NAME_OR_PR_CHANGE)</f>
        <v>Региональная служба по тарифам Ростовской области</v>
      </c>
      <c r="W27" s="2313"/>
      <c r="X27" s="2313"/>
      <c r="Y27" s="2313"/>
      <c r="Z27" s="2313"/>
      <c r="AA27" s="2313"/>
      <c r="AB27" s="480"/>
      <c r="AC27" s="2313" t="str">
        <f>IF(TITLE_NAME_OR_PR_CHANGE="",IF(TITLE_NAME_OR_PR="","",TITLE_NAME_OR_PR),TITLE_NAME_OR_PR_CHANGE)</f>
        <v>Региональная служба по тарифам Ростовской области</v>
      </c>
      <c r="AD27" s="2313"/>
      <c r="AE27" s="2313"/>
      <c r="AF27" s="2313"/>
      <c r="AG27" s="2313"/>
      <c r="AH27" s="2313"/>
      <c r="AI27" s="480"/>
      <c r="AJ27" s="480"/>
      <c r="AK27" s="434"/>
      <c r="AL27" s="522"/>
      <c r="AM27" s="522"/>
      <c r="AN27" s="522"/>
      <c r="AO27" s="522"/>
      <c r="AP27" s="522"/>
    </row>
    <row s="8735" customFormat="1" customHeight="1" ht="18.75">
      <c r="A28" s="1527"/>
      <c r="B28" s="1527"/>
      <c r="C28" s="1527"/>
      <c r="D28" s="1527"/>
      <c r="E28" s="1527"/>
      <c r="F28" s="1527"/>
      <c r="G28" s="1527"/>
      <c r="H28" s="1527"/>
      <c r="I28" s="1527"/>
      <c r="J28" s="1527"/>
      <c r="K28" s="1527"/>
      <c r="L28" s="1528"/>
      <c r="M28" s="1527"/>
      <c r="N28" s="1527"/>
      <c r="O28" s="1527"/>
      <c r="S28" s="2311" t="s">
        <v>421</v>
      </c>
      <c r="T28" s="2311"/>
      <c r="U28" s="1531"/>
      <c r="V28" s="2312" t="str">
        <f>IF(TITLE_DATE_PR_CHANGE="",IF(TITLE_DATE_PR="","",TITLE_DATE_PR),TITLE_DATE_PR_CHANGE)</f>
        <v>45279</v>
      </c>
      <c r="W28" s="2312"/>
      <c r="X28" s="2312"/>
      <c r="Y28" s="2312"/>
      <c r="Z28" s="2312"/>
      <c r="AA28" s="2312"/>
      <c r="AB28" s="480"/>
      <c r="AC28" s="2312" t="str">
        <f>IF(TITLE_DATE_PR_CHANGE="",IF(TITLE_DATE_PR="","",TITLE_DATE_PR),TITLE_DATE_PR_CHANGE)</f>
        <v>45279</v>
      </c>
      <c r="AD28" s="2312"/>
      <c r="AE28" s="2312"/>
      <c r="AF28" s="2312"/>
      <c r="AG28" s="2312"/>
      <c r="AH28" s="2312"/>
      <c r="AI28" s="480"/>
      <c r="AJ28" s="480"/>
      <c r="AK28" s="434"/>
      <c r="AL28" s="522"/>
      <c r="AM28" s="522"/>
      <c r="AN28" s="522"/>
      <c r="AO28" s="522"/>
      <c r="AP28" s="522"/>
    </row>
    <row s="8735" customFormat="1" customHeight="1" ht="18.75">
      <c r="A29" s="1527"/>
      <c r="B29" s="1527"/>
      <c r="C29" s="1527"/>
      <c r="D29" s="1527"/>
      <c r="E29" s="1527"/>
      <c r="F29" s="1527"/>
      <c r="G29" s="1527"/>
      <c r="H29" s="1527"/>
      <c r="I29" s="1527"/>
      <c r="J29" s="1527"/>
      <c r="K29" s="1527"/>
      <c r="L29" s="1528"/>
      <c r="M29" s="1527"/>
      <c r="N29" s="1527"/>
      <c r="O29" s="1527"/>
      <c r="S29" s="2311" t="s">
        <v>422</v>
      </c>
      <c r="T29" s="2311"/>
      <c r="U29" s="1531"/>
      <c r="V29" s="2313" t="str">
        <f>IF(TITLE_NUMBER_PR_CHANGE="",IF(TITLE_NUMBER_PR="","",TITLE_NUMBER_PR),TITLE_NUMBER_PR_CHANGE)</f>
        <v>877</v>
      </c>
      <c r="W29" s="2313"/>
      <c r="X29" s="2313"/>
      <c r="Y29" s="2313"/>
      <c r="Z29" s="2313"/>
      <c r="AA29" s="2313"/>
      <c r="AB29" s="480"/>
      <c r="AC29" s="2313" t="str">
        <f>IF(TITLE_NUMBER_PR_CHANGE="",IF(TITLE_NUMBER_PR="","",TITLE_NUMBER_PR),TITLE_NUMBER_PR_CHANGE)</f>
        <v>877</v>
      </c>
      <c r="AD29" s="2313"/>
      <c r="AE29" s="2313"/>
      <c r="AF29" s="2313"/>
      <c r="AG29" s="2313"/>
      <c r="AH29" s="2313"/>
      <c r="AI29" s="480"/>
      <c r="AJ29" s="480"/>
      <c r="AK29" s="434"/>
      <c r="AL29" s="522"/>
      <c r="AM29" s="522"/>
      <c r="AN29" s="522"/>
      <c r="AO29" s="522"/>
      <c r="AP29" s="522"/>
    </row>
    <row s="8735" customFormat="1" customHeight="1" ht="18.75">
      <c r="A30" s="1527"/>
      <c r="B30" s="1527"/>
      <c r="C30" s="1527"/>
      <c r="D30" s="1527"/>
      <c r="E30" s="1527"/>
      <c r="F30" s="1527"/>
      <c r="G30" s="1527"/>
      <c r="H30" s="1527"/>
      <c r="I30" s="1527"/>
      <c r="J30" s="1527"/>
      <c r="K30" s="1527"/>
      <c r="L30" s="1528"/>
      <c r="M30" s="1527"/>
      <c r="N30" s="1527"/>
      <c r="O30" s="1527"/>
      <c r="S30" s="2311" t="s">
        <v>40</v>
      </c>
      <c r="T30" s="2311"/>
      <c r="U30" s="1531"/>
      <c r="V30" s="2313" t="str">
        <f>IF(TITLE_IST_PUB_CHANGE="",IF(TITLE_IST_PUB="","",TITLE_IST_PUB),TITLE_IST_PUB_CHANGE)</f>
        <v>Официальный портал правовой информации Ростовской области</v>
      </c>
      <c r="W30" s="2313"/>
      <c r="X30" s="2313"/>
      <c r="Y30" s="2313"/>
      <c r="Z30" s="2313"/>
      <c r="AA30" s="2313"/>
      <c r="AB30" s="480"/>
      <c r="AC30" s="2313" t="str">
        <f>IF(TITLE_IST_PUB_CHANGE="",IF(TITLE_IST_PUB="","",TITLE_IST_PUB),TITLE_IST_PUB_CHANGE)</f>
        <v>Официальный портал правовой информации Ростовской области</v>
      </c>
      <c r="AD30" s="2313"/>
      <c r="AE30" s="2313"/>
      <c r="AF30" s="2313"/>
      <c r="AG30" s="2313"/>
      <c r="AH30" s="2313"/>
      <c r="AI30" s="480"/>
      <c r="AJ30" s="480"/>
      <c r="AK30" s="434"/>
      <c r="AL30" s="522"/>
      <c r="AM30" s="522"/>
      <c r="AN30" s="522"/>
      <c r="AO30" s="522"/>
      <c r="AP30" s="522"/>
    </row>
    <row customHeight="1" ht="14.25" hidden="1">
      <c r="Q31" s="530"/>
      <c r="R31" s="530"/>
      <c r="S31" s="1434"/>
      <c r="T31" s="517"/>
      <c r="U31" s="517"/>
      <c r="V31" s="476"/>
      <c r="W31" s="476"/>
      <c r="X31" s="476"/>
      <c r="Y31" s="476"/>
      <c r="Z31" s="476"/>
      <c r="AA31" s="476"/>
      <c r="AB31" s="476"/>
      <c r="AC31" s="476"/>
      <c r="AD31" s="476"/>
      <c r="AE31" s="476"/>
      <c r="AF31" s="476"/>
      <c r="AG31" s="476"/>
      <c r="AH31" s="476"/>
      <c r="AI31" s="476"/>
      <c r="AJ31" s="663"/>
    </row>
    <row s="8735" customFormat="1" customHeight="1" ht="18.75" hidden="1">
      <c r="A32" s="1527"/>
      <c r="B32" s="1527"/>
      <c r="C32" s="1527"/>
      <c r="D32" s="1527"/>
      <c r="E32" s="1527"/>
      <c r="F32" s="1527"/>
      <c r="G32" s="1527"/>
      <c r="H32" s="1527"/>
      <c r="I32" s="1527"/>
      <c r="J32" s="1527"/>
      <c r="K32" s="1527"/>
      <c r="L32" s="1528"/>
      <c r="M32" s="1527"/>
      <c r="N32" s="1527"/>
      <c r="O32" s="1527"/>
      <c r="S32" s="2311" t="s">
        <v>423</v>
      </c>
      <c r="T32" s="2311"/>
      <c r="U32" s="1531"/>
      <c r="V32" s="2312" t="str">
        <f>IF(TITLE_DATE_PR_CHANGE="",IF(TITLE_DATE_PR="","",TITLE_DATE_PR),TITLE_DATE_PR_CHANGE)</f>
        <v>45279</v>
      </c>
      <c r="W32" s="2312"/>
      <c r="X32" s="2312"/>
      <c r="Y32" s="2312"/>
      <c r="Z32" s="2312"/>
      <c r="AA32" s="2312"/>
      <c r="AB32" s="480"/>
      <c r="AC32" s="2312" t="str">
        <f>IF(TITLE_DATE_PR_CHANGE="",IF(TITLE_DATE_PR="","",TITLE_DATE_PR),TITLE_DATE_PR_CHANGE)</f>
        <v>45279</v>
      </c>
      <c r="AD32" s="2312"/>
      <c r="AE32" s="2312"/>
      <c r="AF32" s="2312"/>
      <c r="AG32" s="2312"/>
      <c r="AH32" s="2312"/>
      <c r="AI32" s="480"/>
      <c r="AJ32" s="480"/>
      <c r="AK32" s="434"/>
      <c r="AL32" s="522"/>
      <c r="AM32" s="522"/>
      <c r="AN32" s="522"/>
      <c r="AO32" s="522"/>
      <c r="AP32" s="522"/>
    </row>
    <row s="8735" customFormat="1" customHeight="1" ht="18.75" hidden="1">
      <c r="A33" s="1527"/>
      <c r="B33" s="1527"/>
      <c r="C33" s="1527"/>
      <c r="D33" s="1527"/>
      <c r="E33" s="1527"/>
      <c r="F33" s="1527"/>
      <c r="G33" s="1527"/>
      <c r="H33" s="1527"/>
      <c r="I33" s="1527"/>
      <c r="J33" s="1527"/>
      <c r="K33" s="1527"/>
      <c r="L33" s="1528"/>
      <c r="M33" s="1527"/>
      <c r="N33" s="1527"/>
      <c r="O33" s="1527"/>
      <c r="S33" s="2311" t="s">
        <v>424</v>
      </c>
      <c r="T33" s="2311"/>
      <c r="U33" s="1531"/>
      <c r="V33" s="2313" t="str">
        <f>IF(TITLE_NUMBER_PR_CHANGE="",IF(TITLE_NUMBER_PR="","",TITLE_NUMBER_PR),TITLE_NUMBER_PR_CHANGE)</f>
        <v>877</v>
      </c>
      <c r="W33" s="2313"/>
      <c r="X33" s="2313"/>
      <c r="Y33" s="2313"/>
      <c r="Z33" s="2313"/>
      <c r="AA33" s="2313"/>
      <c r="AB33" s="480"/>
      <c r="AC33" s="2313" t="str">
        <f>IF(TITLE_NUMBER_PR_CHANGE="",IF(TITLE_NUMBER_PR="","",TITLE_NUMBER_PR),TITLE_NUMBER_PR_CHANGE)</f>
        <v>877</v>
      </c>
      <c r="AD33" s="2313"/>
      <c r="AE33" s="2313"/>
      <c r="AF33" s="2313"/>
      <c r="AG33" s="2313"/>
      <c r="AH33" s="2313"/>
      <c r="AI33" s="480"/>
      <c r="AJ33" s="480"/>
      <c r="AK33" s="434"/>
      <c r="AL33" s="522"/>
      <c r="AM33" s="522"/>
      <c r="AN33" s="522"/>
      <c r="AO33" s="522"/>
      <c r="AP33" s="522"/>
    </row>
    <row s="8735" customFormat="1" customHeight="1" ht="0.75">
      <c r="A34" s="1527"/>
      <c r="B34" s="1527"/>
      <c r="C34" s="1527"/>
      <c r="D34" s="1527"/>
      <c r="E34" s="1527"/>
      <c r="F34" s="1527"/>
      <c r="G34" s="1527"/>
      <c r="H34" s="1527"/>
      <c r="I34" s="1527"/>
      <c r="J34" s="1527"/>
      <c r="K34" s="1527"/>
      <c r="L34" s="1528"/>
      <c r="M34" s="1527"/>
      <c r="N34" s="1527"/>
      <c r="O34" s="1527"/>
      <c r="S34" s="477"/>
      <c r="T34" s="477"/>
      <c r="U34" s="1613"/>
      <c r="V34" s="480"/>
      <c r="W34" s="480"/>
      <c r="X34" s="480"/>
      <c r="Y34" s="480"/>
      <c r="Z34" s="480"/>
      <c r="AA34" s="480"/>
      <c r="AB34" s="432" t="s">
        <v>425</v>
      </c>
      <c r="AC34" s="480"/>
      <c r="AD34" s="480"/>
      <c r="AE34" s="480"/>
      <c r="AF34" s="480"/>
      <c r="AG34" s="480"/>
      <c r="AH34" s="480"/>
      <c r="AI34" s="432" t="s">
        <v>425</v>
      </c>
      <c r="AL34" s="522"/>
      <c r="AM34" s="522"/>
      <c r="AN34" s="522"/>
      <c r="AO34" s="522"/>
      <c r="AP34" s="522"/>
    </row>
    <row customHeight="1" ht="14.25">
      <c r="Q35" s="530"/>
      <c r="R35" s="530"/>
      <c r="S35" s="1434"/>
      <c r="T35" s="517"/>
      <c r="U35" s="1402"/>
      <c r="V35" s="2337"/>
      <c r="W35" s="2337"/>
      <c r="X35" s="2337"/>
      <c r="Y35" s="2337"/>
      <c r="Z35" s="2337"/>
      <c r="AA35" s="2337"/>
      <c r="AB35" s="2337"/>
      <c r="AC35" s="2337"/>
      <c r="AD35" s="2337"/>
      <c r="AE35" s="2337"/>
      <c r="AF35" s="2337"/>
      <c r="AG35" s="2337"/>
      <c r="AH35" s="2337"/>
      <c r="AI35" s="2337"/>
    </row>
    <row customHeight="1" ht="14.25">
      <c r="Q36" s="530"/>
      <c r="R36" s="530"/>
      <c r="S36" s="2185" t="s">
        <v>300</v>
      </c>
      <c r="T36" s="2185"/>
      <c r="U36" s="2185"/>
      <c r="V36" s="2185"/>
      <c r="W36" s="2185"/>
      <c r="X36" s="2185"/>
      <c r="Y36" s="2185"/>
      <c r="Z36" s="2185"/>
      <c r="AA36" s="2185"/>
      <c r="AB36" s="2185"/>
      <c r="AC36" s="2185"/>
      <c r="AD36" s="2185"/>
      <c r="AE36" s="2185"/>
      <c r="AF36" s="2185"/>
      <c r="AG36" s="2185"/>
      <c r="AH36" s="2185"/>
      <c r="AI36" s="2185"/>
      <c r="AJ36" s="2185"/>
      <c r="AK36" s="2185" t="s">
        <v>301</v>
      </c>
    </row>
    <row customHeight="1" ht="14.25">
      <c r="Q37" s="530"/>
      <c r="R37" s="530"/>
      <c r="S37" s="2338" t="s">
        <v>85</v>
      </c>
      <c r="T37" s="2275" t="s">
        <v>426</v>
      </c>
      <c r="U37" s="455"/>
      <c r="V37" s="2339" t="s">
        <v>427</v>
      </c>
      <c r="W37" s="2340"/>
      <c r="X37" s="2340"/>
      <c r="Y37" s="2340"/>
      <c r="Z37" s="2340"/>
      <c r="AA37" s="2341"/>
      <c r="AB37" s="2342" t="s">
        <v>428</v>
      </c>
      <c r="AC37" s="2339" t="s">
        <v>427</v>
      </c>
      <c r="AD37" s="2340"/>
      <c r="AE37" s="2340"/>
      <c r="AF37" s="2340"/>
      <c r="AG37" s="2340"/>
      <c r="AH37" s="2341"/>
      <c r="AI37" s="2342" t="s">
        <v>429</v>
      </c>
      <c r="AJ37" s="2345" t="s">
        <v>430</v>
      </c>
      <c r="AK37" s="2185"/>
    </row>
    <row customHeight="1" ht="33.75">
      <c r="Q38" s="530"/>
      <c r="R38" s="530"/>
      <c r="S38" s="2338"/>
      <c r="T38" s="2275"/>
      <c r="U38" s="1186"/>
      <c r="V38" s="1611" t="s">
        <v>487</v>
      </c>
      <c r="W38" s="2331" t="s">
        <v>433</v>
      </c>
      <c r="X38" s="2333"/>
      <c r="Y38" s="2331" t="s">
        <v>434</v>
      </c>
      <c r="Z38" s="2332"/>
      <c r="AA38" s="2333"/>
      <c r="AB38" s="2343"/>
      <c r="AC38" s="1611" t="s">
        <v>487</v>
      </c>
      <c r="AD38" s="2331" t="s">
        <v>433</v>
      </c>
      <c r="AE38" s="2333"/>
      <c r="AF38" s="2331" t="s">
        <v>434</v>
      </c>
      <c r="AG38" s="2332"/>
      <c r="AH38" s="2333"/>
      <c r="AI38" s="2343"/>
      <c r="AJ38" s="2346"/>
      <c r="AK38" s="2185"/>
    </row>
    <row customHeight="1" ht="33.75">
      <c r="A39" s="1529"/>
      <c r="B39" s="1529" t="s">
        <v>132</v>
      </c>
      <c r="C39" s="1529" t="s">
        <v>133</v>
      </c>
      <c r="D39" s="1529" t="s">
        <v>134</v>
      </c>
      <c r="E39" s="1523" t="s">
        <v>435</v>
      </c>
      <c r="F39" s="1523" t="s">
        <v>436</v>
      </c>
      <c r="G39" s="1523" t="s">
        <v>437</v>
      </c>
      <c r="H39" s="1523"/>
      <c r="I39" s="1523" t="s">
        <v>488</v>
      </c>
      <c r="J39" s="1523" t="s">
        <v>440</v>
      </c>
      <c r="K39" s="1523" t="s">
        <v>489</v>
      </c>
      <c r="L39" s="1523" t="s">
        <v>416</v>
      </c>
      <c r="Q39" s="530"/>
      <c r="R39" s="530"/>
      <c r="S39" s="2338"/>
      <c r="T39" s="2275"/>
      <c r="U39" s="456"/>
      <c r="V39" s="1611" t="s">
        <v>490</v>
      </c>
      <c r="W39" s="1380" t="s">
        <v>491</v>
      </c>
      <c r="X39" s="1380" t="s">
        <v>492</v>
      </c>
      <c r="Y39" s="1614" t="s">
        <v>444</v>
      </c>
      <c r="Z39" s="2334" t="s">
        <v>445</v>
      </c>
      <c r="AA39" s="2335"/>
      <c r="AB39" s="2344"/>
      <c r="AC39" s="1611" t="s">
        <v>490</v>
      </c>
      <c r="AD39" s="1380" t="s">
        <v>491</v>
      </c>
      <c r="AE39" s="1380" t="s">
        <v>492</v>
      </c>
      <c r="AF39" s="1614" t="s">
        <v>444</v>
      </c>
      <c r="AG39" s="2334" t="s">
        <v>445</v>
      </c>
      <c r="AH39" s="2335"/>
      <c r="AI39" s="2344"/>
      <c r="AJ39" s="2347"/>
      <c r="AK39" s="2185"/>
    </row>
    <row s="8552" customFormat="1" customHeight="1" ht="0">
      <c r="A40" s="1529"/>
      <c r="B40" s="1529"/>
      <c r="C40" s="1529"/>
      <c r="D40" s="1529"/>
      <c r="E40" s="1529"/>
      <c r="F40" s="1529"/>
      <c r="G40" s="1529"/>
      <c r="H40" s="1529"/>
      <c r="I40" s="1529"/>
      <c r="J40" s="1529"/>
      <c r="K40" s="1529"/>
      <c r="L40" s="1523"/>
      <c r="M40" s="1521"/>
      <c r="N40" s="1521"/>
      <c r="O40" s="1521"/>
      <c r="P40" s="1404"/>
      <c r="Q40" s="1405"/>
      <c r="R40" s="1412">
        <v>1</v>
      </c>
      <c r="S40" s="1436" t="s">
        <v>106</v>
      </c>
      <c r="T40" s="1413" t="s">
        <v>107</v>
      </c>
      <c r="U40" s="1403" t="str">
        <f>OFFSET(U40,0,-1)</f>
        <v>2</v>
      </c>
      <c r="V40" s="1610">
        <f>OFFSET(V40,0,-1)+1</f>
        <v>3</v>
      </c>
      <c r="W40" s="1610">
        <f>OFFSET(W40,0,-1)+1</f>
        <v>4</v>
      </c>
      <c r="X40" s="1610">
        <f>OFFSET(X40,0,-1)+1</f>
        <v>5</v>
      </c>
      <c r="Y40" s="1610">
        <f>OFFSET(Y40,0,-1)+1</f>
        <v>6</v>
      </c>
      <c r="Z40" s="2336">
        <f>OFFSET(Z40,0,-1)+1</f>
        <v>7</v>
      </c>
      <c r="AA40" s="2336"/>
      <c r="AB40" s="1610">
        <f>OFFSET(AB40,0,-2)+1</f>
        <v>8</v>
      </c>
      <c r="AC40" s="1610">
        <f>OFFSET(AC40,0,-1)+1</f>
        <v>9</v>
      </c>
      <c r="AD40" s="1610">
        <f>OFFSET(AD40,0,-1)+1</f>
        <v>10</v>
      </c>
      <c r="AE40" s="1610">
        <f>OFFSET(AE40,0,-1)+1</f>
        <v>11</v>
      </c>
      <c r="AF40" s="1610">
        <f>OFFSET(AF40,0,-1)+1</f>
        <v>12</v>
      </c>
      <c r="AG40" s="2336">
        <f>OFFSET(AG40,0,-1)+1</f>
        <v>13</v>
      </c>
      <c r="AH40" s="2336"/>
      <c r="AI40" s="1610">
        <f>OFFSET(AI40,0,-2)+1</f>
        <v>14</v>
      </c>
      <c r="AJ40" s="1403">
        <f>OFFSET(AJ40,0,-1)</f>
        <v>14</v>
      </c>
      <c r="AK40" s="1610">
        <f>OFFSET(AK40,0,-1)+1</f>
        <v>15</v>
      </c>
      <c r="AL40" s="665"/>
      <c r="AM40" s="665"/>
      <c r="AN40" s="665"/>
      <c r="AO40" s="665"/>
      <c r="AP40" s="665"/>
    </row>
    <row customHeight="1" ht="23.25">
      <c r="A41" s="1522" t="s">
        <v>231</v>
      </c>
      <c r="B41" s="1522"/>
      <c r="C41" s="1522"/>
      <c r="D41" s="1522"/>
      <c r="E41" s="2320">
        <v>1</v>
      </c>
      <c r="F41" s="1522"/>
      <c r="G41" s="1522"/>
      <c r="H41" s="1522"/>
      <c r="I41" s="1522"/>
      <c r="J41" s="1522"/>
      <c r="K41" s="1522"/>
      <c r="L41" s="1523"/>
      <c r="M41" s="1524"/>
      <c r="N41" s="1524"/>
      <c r="O41" s="1524"/>
      <c r="P41" s="515"/>
      <c r="Q41" s="514"/>
      <c r="R41" s="509"/>
      <c r="S41" s="1616">
        <f>INDEX(PT_DIFFERENTIATION_NUM_NTAR,MATCH(A41,PT_DIFFERENTIATION_NTAR_ID,0))</f>
        <v>0</v>
      </c>
      <c r="T41" s="452" t="s">
        <v>120</v>
      </c>
      <c r="U41" s="454"/>
      <c r="V41" s="2314"/>
      <c r="W41" s="2315"/>
      <c r="X41" s="2315"/>
      <c r="Y41" s="2315"/>
      <c r="Z41" s="2315"/>
      <c r="AA41" s="2315"/>
      <c r="AB41" s="2316"/>
      <c r="AC41" s="2314" t="str">
        <f>INDEX(PT_DIFFERENTIATION_NTAR,MATCH(A41,PT_DIFFERENTIATION_NTAR_ID,0))</f>
        <v/>
      </c>
      <c r="AD41" s="2315"/>
      <c r="AE41" s="2315"/>
      <c r="AF41" s="2315"/>
      <c r="AG41" s="2315"/>
      <c r="AH41" s="2315"/>
      <c r="AI41" s="2315"/>
      <c r="AJ41" s="2316"/>
      <c r="AK41" s="1416"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41" s="654"/>
      <c r="AN41" s="654" t="str">
        <f>IF(T41="","",T41)</f>
        <v>Наименование тарифа</v>
      </c>
      <c r="AO41" s="654"/>
      <c r="AP41" s="654"/>
    </row>
    <row customHeight="1" ht="23.25">
      <c r="A42" s="1522" t="s">
        <v>231</v>
      </c>
      <c r="B42" s="1522" t="s">
        <v>232</v>
      </c>
      <c r="C42" s="1522"/>
      <c r="D42" s="1522"/>
      <c r="E42" s="2321"/>
      <c r="F42" s="2320">
        <v>1</v>
      </c>
      <c r="G42" s="1522"/>
      <c r="H42" s="1522"/>
      <c r="I42" s="1522"/>
      <c r="J42" s="1522"/>
      <c r="K42" s="1522"/>
      <c r="L42" s="1523"/>
      <c r="M42" s="1524"/>
      <c r="N42" s="1524"/>
      <c r="O42" s="1524"/>
      <c r="P42" s="1612"/>
      <c r="Q42" s="506"/>
      <c r="R42" s="507"/>
      <c r="S42" s="1616" t="str">
        <f>INDEX(PT_DIFFERENTIATION_NUM_TER,MATCH(B42,PT_DIFFERENTIATION_TER_ID,0))</f>
        <v>.</v>
      </c>
      <c r="T42" s="462" t="s">
        <v>397</v>
      </c>
      <c r="U42" s="454"/>
      <c r="V42" s="2314"/>
      <c r="W42" s="2315"/>
      <c r="X42" s="2315"/>
      <c r="Y42" s="2315"/>
      <c r="Z42" s="2315"/>
      <c r="AA42" s="2315"/>
      <c r="AB42" s="2316"/>
      <c r="AC42" s="2314" t="str">
        <f>INDEX(PT_DIFFERENTIATION_TER,MATCH(B42,PT_DIFFERENTIATION_TER_ID,0))</f>
        <v/>
      </c>
      <c r="AD42" s="2315"/>
      <c r="AE42" s="2315"/>
      <c r="AF42" s="2315"/>
      <c r="AG42" s="2315"/>
      <c r="AH42" s="2315"/>
      <c r="AI42" s="2315"/>
      <c r="AJ42" s="2316"/>
      <c r="AK42" s="1416" t="s">
        <v>398</v>
      </c>
      <c r="AM42" s="654"/>
      <c r="AN42" s="654" t="str">
        <f>IF(T42="","",T42)</f>
        <v>Территория действия тарифа</v>
      </c>
      <c r="AO42" s="654"/>
      <c r="AP42" s="654"/>
    </row>
    <row customHeight="1" ht="23.25">
      <c r="A43" s="1522" t="s">
        <v>231</v>
      </c>
      <c r="B43" s="1522" t="s">
        <v>232</v>
      </c>
      <c r="C43" s="1522" t="s">
        <v>233</v>
      </c>
      <c r="D43" s="1522"/>
      <c r="E43" s="2321"/>
      <c r="F43" s="2321"/>
      <c r="G43" s="2320">
        <v>1</v>
      </c>
      <c r="H43" s="1522"/>
      <c r="I43" s="1522"/>
      <c r="J43" s="1522"/>
      <c r="K43" s="1522"/>
      <c r="L43" s="1523"/>
      <c r="M43" s="1524"/>
      <c r="N43" s="1524"/>
      <c r="O43" s="1524"/>
      <c r="P43" s="508"/>
      <c r="Q43" s="506"/>
      <c r="R43" s="507"/>
      <c r="S43" s="1616" t="str">
        <f>INDEX(PT_DIFFERENTIATION_NUM_CS,MATCH(C43,PT_DIFFERENTIATION_CS_ID,0))</f>
        <v>..</v>
      </c>
      <c r="T43" s="463" t="s">
        <v>479</v>
      </c>
      <c r="U43" s="454"/>
      <c r="V43" s="2314"/>
      <c r="W43" s="2315"/>
      <c r="X43" s="2315"/>
      <c r="Y43" s="2315"/>
      <c r="Z43" s="2315"/>
      <c r="AA43" s="2315"/>
      <c r="AB43" s="2316"/>
      <c r="AC43" s="2314" t="str">
        <f>INDEX(PT_DIFFERENTIATION_CS,MATCH(C43,PT_DIFFERENTIATION_CS_ID,0))</f>
        <v/>
      </c>
      <c r="AD43" s="2315"/>
      <c r="AE43" s="2315"/>
      <c r="AF43" s="2315"/>
      <c r="AG43" s="2315"/>
      <c r="AH43" s="2315"/>
      <c r="AI43" s="2315"/>
      <c r="AJ43" s="2316"/>
      <c r="AK43" s="1416" t="s">
        <v>480</v>
      </c>
      <c r="AM43" s="654"/>
      <c r="AN43" s="654" t="str">
        <f>IF(T43="","",T43)</f>
        <v>Наименование централизованной системы холодного водоснабжения</v>
      </c>
      <c r="AO43" s="654"/>
      <c r="AP43" s="654"/>
    </row>
    <row customHeight="1" ht="23.25">
      <c r="A44" s="1522" t="s">
        <v>231</v>
      </c>
      <c r="B44" s="1522" t="s">
        <v>232</v>
      </c>
      <c r="C44" s="1522" t="s">
        <v>233</v>
      </c>
      <c r="D44" s="1522" t="s">
        <v>495</v>
      </c>
      <c r="E44" s="2321"/>
      <c r="F44" s="2321"/>
      <c r="G44" s="2321"/>
      <c r="H44" s="2321"/>
      <c r="I44" s="2322" t="str">
        <f>S43&amp;".1"</f>
        <v>...1</v>
      </c>
      <c r="J44" s="1522"/>
      <c r="K44" s="1522"/>
      <c r="L44" s="1523"/>
      <c r="P44" s="2324">
        <v>1</v>
      </c>
      <c r="Q44" s="1609"/>
      <c r="R44" s="510"/>
      <c r="S44" s="1616" t="str">
        <f>$I44</f>
        <v>...1</v>
      </c>
      <c r="T44" s="439" t="s">
        <v>481</v>
      </c>
      <c r="U44" s="454"/>
      <c r="V44" s="2407"/>
      <c r="W44" s="2408"/>
      <c r="X44" s="2408"/>
      <c r="Y44" s="2408"/>
      <c r="Z44" s="2408"/>
      <c r="AA44" s="2408"/>
      <c r="AB44" s="2409"/>
      <c r="AC44" s="2410"/>
      <c r="AD44" s="2411"/>
      <c r="AE44" s="2411"/>
      <c r="AF44" s="2411"/>
      <c r="AG44" s="2411"/>
      <c r="AH44" s="2411"/>
      <c r="AI44" s="2411"/>
      <c r="AJ44" s="2412"/>
      <c r="AK44" s="1416" t="s">
        <v>482</v>
      </c>
      <c r="AM44" s="654"/>
      <c r="AN44" s="654" t="str">
        <f>IF(T44="","",T44)</f>
        <v>Наименование признака дифференциации</v>
      </c>
      <c r="AO44" s="654"/>
      <c r="AP44" s="654"/>
    </row>
    <row customHeight="1" ht="23.25">
      <c r="A45" s="1522" t="s">
        <v>231</v>
      </c>
      <c r="B45" s="1522" t="s">
        <v>232</v>
      </c>
      <c r="C45" s="1522" t="s">
        <v>233</v>
      </c>
      <c r="D45" s="1522" t="s">
        <v>495</v>
      </c>
      <c r="E45" s="2321"/>
      <c r="F45" s="2321"/>
      <c r="G45" s="2321"/>
      <c r="H45" s="2321"/>
      <c r="I45" s="2323"/>
      <c r="J45" s="2322" t="str">
        <f>I44&amp;".1"</f>
        <v>...1.1</v>
      </c>
      <c r="K45" s="1522"/>
      <c r="L45" s="1523" t="s">
        <v>406</v>
      </c>
      <c r="P45" s="2324"/>
      <c r="Q45" s="2324">
        <v>1</v>
      </c>
      <c r="R45" s="511"/>
      <c r="S45" s="1616" t="str">
        <f>$J45</f>
        <v>...1.1</v>
      </c>
      <c r="T45" s="440" t="s">
        <v>407</v>
      </c>
      <c r="U45" s="454"/>
      <c r="V45" s="2308"/>
      <c r="W45" s="2309"/>
      <c r="X45" s="2309"/>
      <c r="Y45" s="2309"/>
      <c r="Z45" s="2309"/>
      <c r="AA45" s="2309"/>
      <c r="AB45" s="2310"/>
      <c r="AC45" s="2308"/>
      <c r="AD45" s="2309"/>
      <c r="AE45" s="2309"/>
      <c r="AF45" s="2309"/>
      <c r="AG45" s="2309"/>
      <c r="AH45" s="2309"/>
      <c r="AI45" s="2309"/>
      <c r="AJ45" s="2310"/>
      <c r="AK45" s="1466" t="s">
        <v>483</v>
      </c>
      <c r="AM45" s="654"/>
      <c r="AN45" s="654" t="str">
        <f>IF(T45="","",T45)</f>
        <v>Группа потребителей</v>
      </c>
      <c r="AO45" s="654"/>
      <c r="AP45" s="654"/>
    </row>
    <row customHeight="1" ht="23.25">
      <c r="A46" s="1522" t="s">
        <v>231</v>
      </c>
      <c r="B46" s="1522" t="s">
        <v>232</v>
      </c>
      <c r="C46" s="1522" t="s">
        <v>233</v>
      </c>
      <c r="D46" s="1522" t="s">
        <v>495</v>
      </c>
      <c r="E46" s="2321"/>
      <c r="F46" s="2321"/>
      <c r="G46" s="2321"/>
      <c r="H46" s="2321"/>
      <c r="I46" s="2323"/>
      <c r="J46" s="2323"/>
      <c r="K46" s="2322" t="str">
        <f>J45&amp;".1"</f>
        <v>...1.1.1</v>
      </c>
      <c r="L46" s="1523"/>
      <c r="P46" s="2324"/>
      <c r="Q46" s="2324"/>
      <c r="R46" s="511">
        <v>1</v>
      </c>
      <c r="S46" s="1616" t="str">
        <f>$K46</f>
        <v>...1.1.1</v>
      </c>
      <c r="T46" s="1596"/>
      <c r="U46" s="454"/>
      <c r="V46" s="905"/>
      <c r="W46" s="905"/>
      <c r="X46" s="1415"/>
      <c r="Y46" s="2325"/>
      <c r="Z46" s="2195" t="s">
        <v>64</v>
      </c>
      <c r="AA46" s="2325"/>
      <c r="AB46" s="2195" t="s">
        <v>64</v>
      </c>
      <c r="AC46" s="905"/>
      <c r="AD46" s="905"/>
      <c r="AE46" s="1415"/>
      <c r="AF46" s="2325"/>
      <c r="AG46" s="2195" t="s">
        <v>64</v>
      </c>
      <c r="AH46" s="2327"/>
      <c r="AI46" s="2195" t="s">
        <v>64</v>
      </c>
      <c r="AJ46" s="1597"/>
      <c r="AK46" s="241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65">
        <f>STRCHECKDATE(V47:AJ47)</f>
      </c>
      <c r="AM46" s="654"/>
      <c r="AN46" s="654" t="str">
        <f>IF(T46="","",T46)</f>
        <v/>
      </c>
      <c r="AO46" s="654"/>
      <c r="AP46" s="654"/>
    </row>
    <row customHeight="1" ht="0">
      <c r="A47" s="1522" t="s">
        <v>231</v>
      </c>
      <c r="B47" s="1522" t="s">
        <v>232</v>
      </c>
      <c r="C47" s="1522" t="s">
        <v>233</v>
      </c>
      <c r="D47" s="1522" t="s">
        <v>495</v>
      </c>
      <c r="E47" s="2321"/>
      <c r="F47" s="2321"/>
      <c r="G47" s="2321"/>
      <c r="H47" s="2321"/>
      <c r="I47" s="2323"/>
      <c r="J47" s="2323"/>
      <c r="K47" s="2322"/>
      <c r="L47" s="1523"/>
      <c r="P47" s="2324"/>
      <c r="Q47" s="2324"/>
      <c r="R47" s="511"/>
      <c r="S47" s="1615"/>
      <c r="T47" s="454"/>
      <c r="U47" s="454"/>
      <c r="V47" s="479"/>
      <c r="W47" s="479"/>
      <c r="X47" s="482" t="str">
        <f>Y46&amp;"-"&amp;AA46</f>
        <v>-</v>
      </c>
      <c r="Y47" s="2326"/>
      <c r="Z47" s="2195"/>
      <c r="AA47" s="2326"/>
      <c r="AB47" s="2195"/>
      <c r="AC47" s="479"/>
      <c r="AD47" s="479"/>
      <c r="AE47" s="482" t="str">
        <f>AF46&amp;"-"&amp;AH46</f>
        <v>-</v>
      </c>
      <c r="AF47" s="2326"/>
      <c r="AG47" s="2195"/>
      <c r="AH47" s="2328"/>
      <c r="AI47" s="2195"/>
      <c r="AJ47" s="1598"/>
      <c r="AK47" s="2413"/>
      <c r="AM47" s="654"/>
      <c r="AN47" s="654" t="str">
        <f>IF(T47="","",T47)</f>
        <v/>
      </c>
      <c r="AO47" s="654"/>
      <c r="AP47" s="654"/>
    </row>
    <row customHeight="1" ht="21">
      <c r="A48" s="1522" t="s">
        <v>231</v>
      </c>
      <c r="B48" s="1522" t="s">
        <v>232</v>
      </c>
      <c r="C48" s="1522" t="s">
        <v>233</v>
      </c>
      <c r="D48" s="1522" t="s">
        <v>495</v>
      </c>
      <c r="E48" s="2321"/>
      <c r="F48" s="2321"/>
      <c r="G48" s="2321"/>
      <c r="H48" s="2321"/>
      <c r="I48" s="2323"/>
      <c r="J48" s="2322"/>
      <c r="K48" s="1522"/>
      <c r="L48" s="1523"/>
      <c r="P48" s="2324"/>
      <c r="Q48" s="2324"/>
      <c r="R48" s="510"/>
      <c r="S48" s="1437"/>
      <c r="T48" s="441" t="s">
        <v>484</v>
      </c>
      <c r="U48" s="521"/>
      <c r="V48" s="521"/>
      <c r="W48" s="521"/>
      <c r="X48" s="521"/>
      <c r="Y48" s="521"/>
      <c r="Z48" s="521"/>
      <c r="AA48" s="521"/>
      <c r="AB48" s="521"/>
      <c r="AC48" s="521"/>
      <c r="AD48" s="521"/>
      <c r="AE48" s="521"/>
      <c r="AF48" s="521"/>
      <c r="AG48" s="521"/>
      <c r="AH48" s="521"/>
      <c r="AI48" s="521"/>
      <c r="AJ48" s="521"/>
      <c r="AK48" s="1416" t="s">
        <v>485</v>
      </c>
      <c r="AM48" s="654"/>
      <c r="AN48" s="654" t="str">
        <f>IF(T48="","",T48)</f>
        <v>Добавить значение признака дифференциации</v>
      </c>
      <c r="AO48" s="654"/>
      <c r="AP48" s="654"/>
    </row>
    <row customHeight="1" ht="21">
      <c r="A49" s="1522" t="s">
        <v>231</v>
      </c>
      <c r="B49" s="1522" t="s">
        <v>232</v>
      </c>
      <c r="C49" s="1522" t="s">
        <v>233</v>
      </c>
      <c r="D49" s="1522" t="s">
        <v>495</v>
      </c>
      <c r="E49" s="2321"/>
      <c r="F49" s="2321"/>
      <c r="G49" s="2321"/>
      <c r="H49" s="2321"/>
      <c r="I49" s="2322"/>
      <c r="J49" s="1522"/>
      <c r="K49" s="1522"/>
      <c r="L49" s="1523"/>
      <c r="P49" s="2324"/>
      <c r="Q49" s="1609"/>
      <c r="R49" s="510"/>
      <c r="S49" s="1437"/>
      <c r="T49" s="519" t="s">
        <v>412</v>
      </c>
      <c r="U49" s="521"/>
      <c r="V49" s="521"/>
      <c r="W49" s="521"/>
      <c r="X49" s="521"/>
      <c r="Y49" s="521"/>
      <c r="Z49" s="521"/>
      <c r="AA49" s="521"/>
      <c r="AB49" s="520"/>
      <c r="AC49" s="521"/>
      <c r="AD49" s="521"/>
      <c r="AE49" s="521"/>
      <c r="AF49" s="521"/>
      <c r="AG49" s="521"/>
      <c r="AH49" s="521"/>
      <c r="AI49" s="520"/>
      <c r="AJ49" s="521"/>
      <c r="AK49" s="1599"/>
      <c r="AM49" s="654"/>
      <c r="AN49" s="654" t="str">
        <f>IF(T49="","",T49)</f>
        <v>Добавить группу потребителей</v>
      </c>
      <c r="AO49" s="654"/>
      <c r="AP49" s="654"/>
    </row>
    <row customHeight="1" ht="21">
      <c r="A50" s="1522" t="s">
        <v>231</v>
      </c>
      <c r="B50" s="1522" t="s">
        <v>232</v>
      </c>
      <c r="C50" s="1522" t="s">
        <v>233</v>
      </c>
      <c r="D50" s="1522" t="s">
        <v>495</v>
      </c>
      <c r="E50" s="2321"/>
      <c r="F50" s="2321"/>
      <c r="G50" s="2321"/>
      <c r="H50" s="2320"/>
      <c r="I50" s="1522"/>
      <c r="J50" s="1522"/>
      <c r="K50" s="1522"/>
      <c r="L50" s="1523"/>
      <c r="M50" s="1524"/>
      <c r="N50" s="1524"/>
      <c r="O50" s="691"/>
      <c r="P50" s="514"/>
      <c r="Q50" s="529"/>
      <c r="R50" s="509"/>
      <c r="S50" s="1437"/>
      <c r="T50" s="526" t="s">
        <v>486</v>
      </c>
      <c r="U50" s="521"/>
      <c r="V50" s="521"/>
      <c r="W50" s="521"/>
      <c r="X50" s="521"/>
      <c r="Y50" s="521"/>
      <c r="Z50" s="521"/>
      <c r="AA50" s="521"/>
      <c r="AB50" s="520"/>
      <c r="AC50" s="521"/>
      <c r="AD50" s="521"/>
      <c r="AE50" s="521"/>
      <c r="AF50" s="521"/>
      <c r="AG50" s="521"/>
      <c r="AH50" s="521"/>
      <c r="AI50" s="520"/>
      <c r="AJ50" s="521"/>
      <c r="AK50" s="457"/>
      <c r="AM50" s="654"/>
      <c r="AN50" s="654" t="str">
        <f>IF(T50="","",T50)</f>
        <v>Добавить наименование признака дифференциации</v>
      </c>
      <c r="AO50" s="654"/>
      <c r="AP50" s="654"/>
    </row>
    <row s="8702" customFormat="1" customHeight="1" ht="0">
      <c r="A51" s="1502" t="s">
        <v>231</v>
      </c>
      <c r="B51" s="1502" t="s">
        <v>232</v>
      </c>
      <c r="C51" s="1473"/>
      <c r="D51" s="1473"/>
      <c r="E51" s="2321"/>
      <c r="F51" s="2320"/>
      <c r="G51" s="1473"/>
      <c r="H51" s="1473"/>
      <c r="I51" s="1473"/>
      <c r="J51" s="1473"/>
      <c r="K51" s="1473"/>
      <c r="L51" s="1617"/>
      <c r="M51" s="1480"/>
      <c r="N51" s="1480"/>
      <c r="P51" s="1475"/>
      <c r="Q51" s="1476"/>
      <c r="R51" s="1475"/>
      <c r="S51" s="1481"/>
      <c r="T51" s="1484" t="s">
        <v>251</v>
      </c>
      <c r="U51" s="1483"/>
      <c r="V51" s="1483"/>
      <c r="W51" s="1483"/>
      <c r="X51" s="1483"/>
      <c r="Y51" s="1483"/>
      <c r="Z51" s="1483"/>
      <c r="AA51" s="1483"/>
      <c r="AB51" s="1483"/>
      <c r="AC51" s="1483"/>
      <c r="AD51" s="1483"/>
      <c r="AE51" s="1483"/>
      <c r="AF51" s="1483"/>
      <c r="AG51" s="1483"/>
      <c r="AH51" s="1483"/>
      <c r="AI51" s="1483"/>
      <c r="AJ51" s="1483"/>
      <c r="AK51" s="1483"/>
      <c r="AM51" s="943"/>
      <c r="AN51" s="943" t="str">
        <f>IF(T51="","",T51)</f>
        <v>Добавить централизованную систему для дифференциации</v>
      </c>
      <c r="AO51" s="943"/>
      <c r="AP51" s="943"/>
    </row>
    <row s="8794" customFormat="1" customHeight="1" ht="0">
      <c r="A52" s="1502" t="s">
        <v>231</v>
      </c>
      <c r="B52" s="1502"/>
      <c r="C52" s="1502"/>
      <c r="D52" s="1502"/>
      <c r="E52" s="2320"/>
      <c r="F52" s="1502"/>
      <c r="G52" s="1502"/>
      <c r="H52" s="1502"/>
      <c r="I52" s="1502"/>
      <c r="J52" s="1502"/>
      <c r="K52" s="1502"/>
      <c r="L52" s="1505"/>
      <c r="M52" s="1480"/>
      <c r="N52" s="1480"/>
      <c r="O52" s="672"/>
      <c r="P52" s="534"/>
      <c r="Q52" s="1503"/>
      <c r="R52" s="534"/>
      <c r="S52" s="1481"/>
      <c r="T52" s="1484" t="s">
        <v>252</v>
      </c>
      <c r="U52" s="1483"/>
      <c r="V52" s="1483"/>
      <c r="W52" s="1483"/>
      <c r="X52" s="1483"/>
      <c r="Y52" s="1483"/>
      <c r="Z52" s="1483"/>
      <c r="AA52" s="1483"/>
      <c r="AB52" s="1483"/>
      <c r="AC52" s="1483"/>
      <c r="AD52" s="1483"/>
      <c r="AE52" s="1483"/>
      <c r="AF52" s="1483"/>
      <c r="AG52" s="1483"/>
      <c r="AH52" s="1483"/>
      <c r="AI52" s="1483"/>
      <c r="AJ52" s="1483"/>
      <c r="AK52" s="1483"/>
      <c r="AM52" s="654"/>
      <c r="AN52" s="654" t="str">
        <f>IF(T52="","",T52)</f>
        <v>Добавить территорию для дифференциации</v>
      </c>
      <c r="AO52" s="654"/>
      <c r="AP52" s="654"/>
    </row>
    <row s="8702" customFormat="1" customHeight="1" ht="0">
      <c r="A53" s="1473"/>
      <c r="B53" s="1473"/>
      <c r="C53" s="1473"/>
      <c r="D53" s="1473"/>
      <c r="E53" s="1502"/>
      <c r="F53" s="1473"/>
      <c r="G53" s="1473"/>
      <c r="H53" s="1473"/>
      <c r="I53" s="1473"/>
      <c r="J53" s="1473"/>
      <c r="K53" s="1473"/>
      <c r="L53" s="1617"/>
      <c r="M53" s="1480"/>
      <c r="N53" s="1480"/>
      <c r="P53" s="1475"/>
      <c r="Q53" s="1476"/>
      <c r="R53" s="1475"/>
      <c r="S53" s="1481"/>
      <c r="T53" s="1484" t="s">
        <v>253</v>
      </c>
      <c r="U53" s="1483"/>
      <c r="V53" s="1483"/>
      <c r="W53" s="1483"/>
      <c r="X53" s="1483"/>
      <c r="Y53" s="1483"/>
      <c r="Z53" s="1483"/>
      <c r="AA53" s="1483"/>
      <c r="AB53" s="1483"/>
      <c r="AC53" s="1483"/>
      <c r="AD53" s="1483"/>
      <c r="AE53" s="1483"/>
      <c r="AF53" s="1483"/>
      <c r="AG53" s="1483"/>
      <c r="AH53" s="1483"/>
      <c r="AI53" s="1483"/>
      <c r="AJ53" s="1483"/>
      <c r="AK53" s="1483"/>
      <c r="AM53" s="943"/>
      <c r="AN53" s="943" t="str">
        <f>IF(T53="","",T53)</f>
        <v>Добавить наименование тарифа</v>
      </c>
      <c r="AO53" s="943"/>
      <c r="AP53" s="943"/>
    </row>
    <row customHeight="1" ht="11.25">
      <c r="M54" s="1316"/>
      <c r="N54" s="1316"/>
      <c r="O54" s="691"/>
      <c r="P54" s="1311"/>
      <c r="Q54" s="1311"/>
      <c r="R54" s="1311"/>
      <c r="S54" s="1311"/>
      <c r="AL54" s="1311"/>
      <c r="AM54" s="1311"/>
      <c r="AN54" s="1311"/>
      <c r="AO54" s="1311"/>
      <c r="AP54" s="1311"/>
    </row>
    <row customHeight="1" ht="14.25">
      <c r="O55" s="691"/>
      <c r="S55" s="1411"/>
      <c r="T55" s="2319"/>
      <c r="U55" s="2319"/>
      <c r="V55" s="2319"/>
      <c r="W55" s="2319"/>
      <c r="X55" s="2319"/>
      <c r="Y55" s="2319"/>
      <c r="Z55" s="2319"/>
      <c r="AA55" s="2319"/>
      <c r="AB55" s="2319"/>
      <c r="AC55" s="2319"/>
      <c r="AD55" s="2319"/>
      <c r="AE55" s="2319"/>
      <c r="AF55" s="2319"/>
      <c r="AG55" s="2319"/>
      <c r="AH55" s="2319"/>
      <c r="AI55" s="2319"/>
      <c r="AJ55" s="2319"/>
      <c r="AK55" s="2319"/>
    </row>
    <row customHeight="1" ht="14.25">
      <c r="O56" s="691"/>
    </row>
    <row customHeight="1" ht="14.25">
      <c r="O57" s="691"/>
      <c r="S57" s="1411"/>
      <c r="T57" s="2319"/>
      <c r="U57" s="2319"/>
      <c r="V57" s="2319"/>
      <c r="W57" s="2319"/>
      <c r="X57" s="2319"/>
      <c r="Y57" s="2319"/>
      <c r="Z57" s="2319"/>
      <c r="AA57" s="2319"/>
      <c r="AB57" s="2319"/>
      <c r="AC57" s="2319"/>
      <c r="AD57" s="2319"/>
      <c r="AE57" s="2319"/>
      <c r="AF57" s="2319"/>
      <c r="AG57" s="2319"/>
      <c r="AH57" s="2319"/>
      <c r="AI57" s="2319"/>
      <c r="AJ57" s="2319"/>
      <c r="AK57" s="2319"/>
    </row>
  </sheetData>
  <sheetProtection formatColumns="0" formatRows="0" autoFilter="0" sort="0" insertRows="0" insertColumns="1" deleteRows="0" deleteColumns="0"/>
  <mergeCells count="101">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 ref="AK7:AK8"/>
    <mergeCell ref="AF15:AF16"/>
    <mergeCell ref="AG15:AG16"/>
    <mergeCell ref="AH15:AH16"/>
    <mergeCell ref="AI15:AI16"/>
    <mergeCell ref="Z7:Z8"/>
    <mergeCell ref="AA7:AA8"/>
    <mergeCell ref="AB7:AB8"/>
    <mergeCell ref="AF7:AF8"/>
    <mergeCell ref="AG7:AG8"/>
    <mergeCell ref="AH7:AH8"/>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46:AK47"/>
    <mergeCell ref="T55:AK55"/>
    <mergeCell ref="T57:AK57"/>
    <mergeCell ref="K46:K47"/>
    <mergeCell ref="Y46:Y47"/>
    <mergeCell ref="Z46:Z47"/>
    <mergeCell ref="AA46:AA47"/>
    <mergeCell ref="AB46:AB47"/>
    <mergeCell ref="AF46:AF47"/>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0E4D69D-C0FD-C3E8-BA73-60DA72F2224D}" mc:Ignorable="x14ac xr xr2 xr3">
  <sheetPr>
    <tabColor theme="6" tint="0.4"/>
  </sheetPr>
  <dimension ref="A1:AP57"/>
  <sheetViews>
    <sheetView topLeftCell="A1" showGridLines="0" zoomScale="90" workbookViewId="0">
      <selection activeCell="A1" sqref="A1"/>
    </sheetView>
  </sheetViews>
  <sheetFormatPr defaultColWidth="10.57421875" customHeight="1" defaultRowHeight="14.25"/>
  <cols>
    <col min="1" max="1" style="8721" width="10.57421875" hidden="1"/>
    <col min="2" max="2" style="8721" width="11.00390625" hidden="1" customWidth="1"/>
    <col min="3" max="3" style="8721" width="10.57421875" hidden="1"/>
    <col min="4" max="4" style="8721" width="11.8515625" hidden="1" customWidth="1"/>
    <col min="5" max="5" style="8721" width="10.00390625" hidden="1" customWidth="1"/>
    <col min="6" max="6" style="8721" width="8.7109375" hidden="1" customWidth="1"/>
    <col min="7" max="7" style="8721" width="7.57421875" hidden="1" customWidth="1"/>
    <col min="8" max="8" style="8721" width="11.421875" hidden="1" customWidth="1"/>
    <col min="9" max="9" style="8721" width="14.140625" hidden="1" customWidth="1"/>
    <col min="10" max="10" style="8721" width="9.8515625" hidden="1" customWidth="1"/>
    <col min="11" max="11" style="8721" width="14.7109375" hidden="1" customWidth="1"/>
    <col min="12" max="12" style="9016" width="19.140625" hidden="1" customWidth="1"/>
    <col min="13" max="14" style="8803" width="12.28125" hidden="1" customWidth="1"/>
    <col min="15" max="15" style="8803" width="23.421875" hidden="1" customWidth="1"/>
    <col min="16" max="16" style="9017" width="3.7109375" customWidth="1"/>
    <col min="17" max="18" style="8805" width="3.7109375" customWidth="1"/>
    <col min="19" max="19" style="8806" width="12.7109375" customWidth="1"/>
    <col min="20" max="20" style="8807" width="35.7109375" customWidth="1"/>
    <col min="21" max="21" style="8807" width="0.140625" customWidth="1"/>
    <col min="22" max="24" style="8807" width="24.7109375" hidden="1" customWidth="1"/>
    <col min="25" max="25" style="8807" width="11.7109375" hidden="1" customWidth="1"/>
    <col min="26" max="26" style="8807" width="3.7109375" hidden="1" customWidth="1"/>
    <col min="27" max="27" style="8807" width="11.7109375" hidden="1" customWidth="1"/>
    <col min="28" max="28" style="8807" width="8.57421875" hidden="1" customWidth="1"/>
    <col min="29" max="31" style="8807" width="24.7109375" customWidth="1"/>
    <col min="32" max="32" style="8807" width="11.7109375" customWidth="1"/>
    <col min="33" max="33" style="8807" width="3.7109375" customWidth="1"/>
    <col min="34" max="34" style="8807" width="11.7109375" customWidth="1"/>
    <col min="35" max="35" style="8807" width="8.57421875" hidden="1" customWidth="1"/>
    <col min="36" max="36" style="8807" width="4.7109375" customWidth="1"/>
    <col min="37" max="37" style="8807" width="115.7109375" customWidth="1"/>
    <col min="38" max="39" style="8794" width="10.57421875"/>
    <col min="40" max="40" style="8794" width="11.140625" customWidth="1"/>
    <col min="41" max="42" style="8794" width="10.57421875"/>
  </cols>
  <sheetData>
    <row customHeight="1" ht="14.25" hidden="1">
      <c r="X1" s="481"/>
      <c r="Y1" s="481"/>
      <c r="AE1" s="481"/>
      <c r="AF1" s="481"/>
    </row>
    <row customHeight="1" ht="23.25" hidden="1">
      <c r="A2" s="1522"/>
      <c r="B2" s="1522"/>
      <c r="C2" s="1522"/>
      <c r="D2" s="1522"/>
      <c r="E2" s="2320">
        <v>1</v>
      </c>
      <c r="F2" s="1522"/>
      <c r="G2" s="1522"/>
      <c r="H2" s="1522"/>
      <c r="I2" s="1522"/>
      <c r="J2" s="1522"/>
      <c r="K2" s="1522"/>
      <c r="L2" s="1523"/>
      <c r="M2" s="1524"/>
      <c r="N2" s="1524"/>
      <c r="O2" s="1524"/>
      <c r="P2" s="515"/>
      <c r="Q2" s="514"/>
      <c r="R2" s="509"/>
      <c r="S2" s="1616">
        <f>INDEX(PT_DIFFERENTIATION_NUM_NTAR,MATCH(A2,PT_DIFFERENTIATION_NTAR_ID,0))</f>
      </c>
      <c r="T2" s="452" t="s">
        <v>120</v>
      </c>
      <c r="U2" s="454"/>
      <c r="V2" s="2314"/>
      <c r="W2" s="2315"/>
      <c r="X2" s="2315"/>
      <c r="Y2" s="2315"/>
      <c r="Z2" s="2315"/>
      <c r="AA2" s="2315"/>
      <c r="AB2" s="2316"/>
      <c r="AC2" s="2314">
        <f>INDEX(PT_DIFFERENTIATION_NTAR,MATCH(A2,PT_DIFFERENTIATION_NTAR_ID,0))</f>
      </c>
      <c r="AD2" s="2315"/>
      <c r="AE2" s="2315"/>
      <c r="AF2" s="2315"/>
      <c r="AG2" s="2315"/>
      <c r="AH2" s="2315"/>
      <c r="AI2" s="2315"/>
      <c r="AJ2" s="2316"/>
      <c r="AK2" s="1416"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2" s="654"/>
      <c r="AN2" s="654" t="str">
        <f>IF(T2="","",T2)</f>
        <v>Наименование тарифа</v>
      </c>
      <c r="AO2" s="654"/>
      <c r="AP2" s="654"/>
    </row>
    <row customHeight="1" ht="23.25" hidden="1">
      <c r="A3" s="1522"/>
      <c r="B3" s="1522"/>
      <c r="C3" s="1522"/>
      <c r="D3" s="1522"/>
      <c r="E3" s="2321"/>
      <c r="F3" s="2320">
        <v>1</v>
      </c>
      <c r="G3" s="1522"/>
      <c r="H3" s="1522"/>
      <c r="I3" s="1522"/>
      <c r="J3" s="1522"/>
      <c r="K3" s="1522"/>
      <c r="L3" s="1523"/>
      <c r="M3" s="1524"/>
      <c r="N3" s="1524"/>
      <c r="O3" s="1524"/>
      <c r="P3" s="1612"/>
      <c r="Q3" s="506"/>
      <c r="R3" s="507"/>
      <c r="S3" s="1616">
        <f>INDEX(PT_DIFFERENTIATION_NUM_TER,MATCH(B3,PT_DIFFERENTIATION_TER_ID,0))</f>
      </c>
      <c r="T3" s="462" t="s">
        <v>397</v>
      </c>
      <c r="U3" s="454"/>
      <c r="V3" s="2314"/>
      <c r="W3" s="2315"/>
      <c r="X3" s="2315"/>
      <c r="Y3" s="2315"/>
      <c r="Z3" s="2315"/>
      <c r="AA3" s="2315"/>
      <c r="AB3" s="2316"/>
      <c r="AC3" s="2314">
        <f>INDEX(PT_DIFFERENTIATION_TER,MATCH(B3,PT_DIFFERENTIATION_TER_ID,0))</f>
      </c>
      <c r="AD3" s="2315"/>
      <c r="AE3" s="2315"/>
      <c r="AF3" s="2315"/>
      <c r="AG3" s="2315"/>
      <c r="AH3" s="2315"/>
      <c r="AI3" s="2315"/>
      <c r="AJ3" s="2316"/>
      <c r="AK3" s="1416" t="s">
        <v>398</v>
      </c>
      <c r="AM3" s="654"/>
      <c r="AN3" s="654" t="str">
        <f>IF(T3="","",T3)</f>
        <v>Территория действия тарифа</v>
      </c>
      <c r="AO3" s="654"/>
      <c r="AP3" s="654"/>
    </row>
    <row customHeight="1" ht="23.25" hidden="1">
      <c r="A4" s="1522"/>
      <c r="B4" s="1522"/>
      <c r="C4" s="1522"/>
      <c r="D4" s="1522"/>
      <c r="E4" s="2321"/>
      <c r="F4" s="2321"/>
      <c r="G4" s="2320">
        <v>1</v>
      </c>
      <c r="H4" s="1522"/>
      <c r="I4" s="1522"/>
      <c r="J4" s="1522"/>
      <c r="K4" s="1522"/>
      <c r="L4" s="1523"/>
      <c r="M4" s="1524"/>
      <c r="N4" s="1524"/>
      <c r="O4" s="1524"/>
      <c r="P4" s="508"/>
      <c r="Q4" s="506"/>
      <c r="R4" s="507"/>
      <c r="S4" s="1616">
        <f>INDEX(PT_DIFFERENTIATION_NUM_CS,MATCH(C4,PT_DIFFERENTIATION_CS_ID,0))</f>
      </c>
      <c r="T4" s="463" t="s">
        <v>479</v>
      </c>
      <c r="U4" s="454"/>
      <c r="V4" s="2314"/>
      <c r="W4" s="2315"/>
      <c r="X4" s="2315"/>
      <c r="Y4" s="2315"/>
      <c r="Z4" s="2315"/>
      <c r="AA4" s="2315"/>
      <c r="AB4" s="2316"/>
      <c r="AC4" s="2314">
        <f>INDEX(PT_DIFFERENTIATION_CS,MATCH(C4,PT_DIFFERENTIATION_CS_ID,0))</f>
      </c>
      <c r="AD4" s="2315"/>
      <c r="AE4" s="2315"/>
      <c r="AF4" s="2315"/>
      <c r="AG4" s="2315"/>
      <c r="AH4" s="2315"/>
      <c r="AI4" s="2315"/>
      <c r="AJ4" s="2316"/>
      <c r="AK4" s="1416" t="s">
        <v>480</v>
      </c>
      <c r="AM4" s="654"/>
      <c r="AN4" s="654" t="str">
        <f>IF(T4="","",T4)</f>
        <v>Наименование централизованной системы холодного водоснабжения</v>
      </c>
      <c r="AO4" s="654"/>
      <c r="AP4" s="654"/>
    </row>
    <row customHeight="1" ht="23.25" hidden="1">
      <c r="A5" s="1522"/>
      <c r="B5" s="1522"/>
      <c r="C5" s="1522"/>
      <c r="D5" s="1522"/>
      <c r="E5" s="2321"/>
      <c r="F5" s="2321"/>
      <c r="G5" s="2321"/>
      <c r="H5" s="2321"/>
      <c r="I5" s="2322">
        <f>S4&amp;".1"</f>
      </c>
      <c r="J5" s="1522"/>
      <c r="K5" s="1522"/>
      <c r="L5" s="1523"/>
      <c r="P5" s="2324">
        <v>1</v>
      </c>
      <c r="Q5" s="1609"/>
      <c r="R5" s="510"/>
      <c r="S5" s="1616">
        <f>$I5</f>
      </c>
      <c r="T5" s="439" t="s">
        <v>481</v>
      </c>
      <c r="U5" s="454"/>
      <c r="V5" s="2407"/>
      <c r="W5" s="2408"/>
      <c r="X5" s="2408"/>
      <c r="Y5" s="2408"/>
      <c r="Z5" s="2408"/>
      <c r="AA5" s="2408"/>
      <c r="AB5" s="2409"/>
      <c r="AC5" s="2410"/>
      <c r="AD5" s="2411"/>
      <c r="AE5" s="2411"/>
      <c r="AF5" s="2411"/>
      <c r="AG5" s="2411"/>
      <c r="AH5" s="2411"/>
      <c r="AI5" s="2411"/>
      <c r="AJ5" s="2412"/>
      <c r="AK5" s="1416" t="s">
        <v>482</v>
      </c>
      <c r="AM5" s="654"/>
      <c r="AN5" s="654" t="str">
        <f>IF(T5="","",T5)</f>
        <v>Наименование признака дифференциации</v>
      </c>
      <c r="AO5" s="654"/>
      <c r="AP5" s="654"/>
    </row>
    <row customHeight="1" ht="23.25" hidden="1">
      <c r="A6" s="1522"/>
      <c r="B6" s="1522"/>
      <c r="C6" s="1522"/>
      <c r="D6" s="1522"/>
      <c r="E6" s="2321"/>
      <c r="F6" s="2321"/>
      <c r="G6" s="2321"/>
      <c r="H6" s="2321"/>
      <c r="I6" s="2323"/>
      <c r="J6" s="2322">
        <f>I5&amp;".1"</f>
      </c>
      <c r="K6" s="1522"/>
      <c r="L6" s="1523" t="s">
        <v>406</v>
      </c>
      <c r="P6" s="2324"/>
      <c r="Q6" s="2324">
        <v>1</v>
      </c>
      <c r="R6" s="511"/>
      <c r="S6" s="1616">
        <f>$J6</f>
      </c>
      <c r="T6" s="440" t="s">
        <v>407</v>
      </c>
      <c r="U6" s="454"/>
      <c r="V6" s="2308"/>
      <c r="W6" s="2309"/>
      <c r="X6" s="2309"/>
      <c r="Y6" s="2309"/>
      <c r="Z6" s="2309"/>
      <c r="AA6" s="2309"/>
      <c r="AB6" s="2310"/>
      <c r="AC6" s="2308"/>
      <c r="AD6" s="2309"/>
      <c r="AE6" s="2309"/>
      <c r="AF6" s="2309"/>
      <c r="AG6" s="2309"/>
      <c r="AH6" s="2309"/>
      <c r="AI6" s="2309"/>
      <c r="AJ6" s="2310"/>
      <c r="AK6" s="1466" t="s">
        <v>483</v>
      </c>
      <c r="AM6" s="654"/>
      <c r="AN6" s="654" t="str">
        <f>IF(T6="","",T6)</f>
        <v>Группа потребителей</v>
      </c>
      <c r="AO6" s="654"/>
      <c r="AP6" s="654"/>
    </row>
    <row customHeight="1" ht="23.25" hidden="1">
      <c r="A7" s="1522"/>
      <c r="B7" s="1522"/>
      <c r="C7" s="1522"/>
      <c r="D7" s="1522"/>
      <c r="E7" s="2321"/>
      <c r="F7" s="2321"/>
      <c r="G7" s="2321"/>
      <c r="H7" s="2321"/>
      <c r="I7" s="2323"/>
      <c r="J7" s="2323"/>
      <c r="K7" s="2322">
        <f>J6&amp;".1"</f>
      </c>
      <c r="L7" s="1523"/>
      <c r="P7" s="2324"/>
      <c r="Q7" s="2324"/>
      <c r="R7" s="511">
        <v>1</v>
      </c>
      <c r="S7" s="1616">
        <f>$K7</f>
      </c>
      <c r="T7" s="1596"/>
      <c r="U7" s="454"/>
      <c r="V7" s="905"/>
      <c r="W7" s="905"/>
      <c r="X7" s="1415"/>
      <c r="Y7" s="2325"/>
      <c r="Z7" s="2195" t="s">
        <v>64</v>
      </c>
      <c r="AA7" s="2325"/>
      <c r="AB7" s="2195" t="s">
        <v>64</v>
      </c>
      <c r="AC7" s="905"/>
      <c r="AD7" s="905"/>
      <c r="AE7" s="1415"/>
      <c r="AF7" s="2325"/>
      <c r="AG7" s="2195" t="s">
        <v>64</v>
      </c>
      <c r="AH7" s="2327"/>
      <c r="AI7" s="2195" t="s">
        <v>64</v>
      </c>
      <c r="AJ7" s="1597"/>
      <c r="AK7" s="241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65">
        <f>STRCHECKDATE(V8:AJ8)</f>
      </c>
      <c r="AM7" s="654"/>
      <c r="AN7" s="654" t="str">
        <f>IF(T7="","",T7)</f>
        <v/>
      </c>
      <c r="AO7" s="654"/>
      <c r="AP7" s="654"/>
    </row>
    <row customHeight="1" ht="14.25" hidden="1">
      <c r="A8" s="1522"/>
      <c r="B8" s="1522"/>
      <c r="C8" s="1522"/>
      <c r="D8" s="1522"/>
      <c r="E8" s="2321"/>
      <c r="F8" s="2321"/>
      <c r="G8" s="2321"/>
      <c r="H8" s="2321"/>
      <c r="I8" s="2323"/>
      <c r="J8" s="2323"/>
      <c r="K8" s="2322"/>
      <c r="L8" s="1523"/>
      <c r="P8" s="2324"/>
      <c r="Q8" s="2324"/>
      <c r="R8" s="511"/>
      <c r="S8" s="1615"/>
      <c r="T8" s="454"/>
      <c r="U8" s="454"/>
      <c r="V8" s="479"/>
      <c r="W8" s="479"/>
      <c r="X8" s="482" t="str">
        <f>Y7&amp;"-"&amp;AA7</f>
        <v>-</v>
      </c>
      <c r="Y8" s="2326"/>
      <c r="Z8" s="2195"/>
      <c r="AA8" s="2326"/>
      <c r="AB8" s="2195"/>
      <c r="AC8" s="479"/>
      <c r="AD8" s="479"/>
      <c r="AE8" s="482" t="str">
        <f>AF7&amp;"-"&amp;AH7</f>
        <v>-</v>
      </c>
      <c r="AF8" s="2326"/>
      <c r="AG8" s="2195"/>
      <c r="AH8" s="2328"/>
      <c r="AI8" s="2195"/>
      <c r="AJ8" s="1598"/>
      <c r="AK8" s="2413"/>
      <c r="AM8" s="654"/>
      <c r="AN8" s="654" t="str">
        <f>IF(T8="","",T8)</f>
        <v/>
      </c>
      <c r="AO8" s="654"/>
      <c r="AP8" s="654"/>
    </row>
    <row customHeight="1" ht="21" hidden="1">
      <c r="A9" s="1522"/>
      <c r="B9" s="1522"/>
      <c r="C9" s="1522"/>
      <c r="D9" s="1522"/>
      <c r="E9" s="2321"/>
      <c r="F9" s="2321"/>
      <c r="G9" s="2321"/>
      <c r="H9" s="2321"/>
      <c r="I9" s="2323"/>
      <c r="J9" s="2322"/>
      <c r="K9" s="1522"/>
      <c r="L9" s="1523"/>
      <c r="P9" s="2324"/>
      <c r="Q9" s="2324"/>
      <c r="R9" s="510"/>
      <c r="S9" s="1437"/>
      <c r="T9" s="441" t="s">
        <v>484</v>
      </c>
      <c r="U9" s="521"/>
      <c r="V9" s="521"/>
      <c r="W9" s="521"/>
      <c r="X9" s="521"/>
      <c r="Y9" s="521"/>
      <c r="Z9" s="521"/>
      <c r="AA9" s="521"/>
      <c r="AB9" s="521"/>
      <c r="AC9" s="521"/>
      <c r="AD9" s="521"/>
      <c r="AE9" s="521"/>
      <c r="AF9" s="521"/>
      <c r="AG9" s="521"/>
      <c r="AH9" s="521"/>
      <c r="AI9" s="521"/>
      <c r="AJ9" s="521"/>
      <c r="AK9" s="1416" t="s">
        <v>485</v>
      </c>
      <c r="AM9" s="654"/>
      <c r="AN9" s="654" t="str">
        <f>IF(T9="","",T9)</f>
        <v>Добавить значение признака дифференциации</v>
      </c>
      <c r="AO9" s="654"/>
      <c r="AP9" s="654"/>
    </row>
    <row customHeight="1" ht="21" hidden="1">
      <c r="A10" s="1522"/>
      <c r="B10" s="1522"/>
      <c r="C10" s="1522"/>
      <c r="D10" s="1522"/>
      <c r="E10" s="2321"/>
      <c r="F10" s="2321"/>
      <c r="G10" s="2321"/>
      <c r="H10" s="2321"/>
      <c r="I10" s="2322"/>
      <c r="J10" s="1522"/>
      <c r="K10" s="1522"/>
      <c r="L10" s="1523"/>
      <c r="P10" s="2324"/>
      <c r="Q10" s="1609"/>
      <c r="R10" s="510"/>
      <c r="S10" s="1437"/>
      <c r="T10" s="519" t="s">
        <v>412</v>
      </c>
      <c r="U10" s="521"/>
      <c r="V10" s="521"/>
      <c r="W10" s="521"/>
      <c r="X10" s="521"/>
      <c r="Y10" s="521"/>
      <c r="Z10" s="521"/>
      <c r="AA10" s="521"/>
      <c r="AB10" s="520"/>
      <c r="AC10" s="521"/>
      <c r="AD10" s="521"/>
      <c r="AE10" s="521"/>
      <c r="AF10" s="521"/>
      <c r="AG10" s="521"/>
      <c r="AH10" s="521"/>
      <c r="AI10" s="520"/>
      <c r="AJ10" s="521"/>
      <c r="AK10" s="1599"/>
      <c r="AM10" s="654"/>
      <c r="AN10" s="654" t="str">
        <f>IF(T10="","",T10)</f>
        <v>Добавить группу потребителей</v>
      </c>
      <c r="AO10" s="654"/>
      <c r="AP10" s="654"/>
    </row>
    <row customHeight="1" ht="21" hidden="1">
      <c r="A11" s="1522"/>
      <c r="B11" s="1522"/>
      <c r="C11" s="1522"/>
      <c r="D11" s="1522"/>
      <c r="E11" s="2321"/>
      <c r="F11" s="2321"/>
      <c r="G11" s="2321"/>
      <c r="H11" s="2320"/>
      <c r="I11" s="1522"/>
      <c r="J11" s="1522"/>
      <c r="K11" s="1522"/>
      <c r="L11" s="1523"/>
      <c r="M11" s="1524"/>
      <c r="N11" s="1524"/>
      <c r="O11" s="691"/>
      <c r="P11" s="514"/>
      <c r="Q11" s="529"/>
      <c r="R11" s="509"/>
      <c r="S11" s="1437"/>
      <c r="T11" s="526" t="s">
        <v>486</v>
      </c>
      <c r="U11" s="521"/>
      <c r="V11" s="521"/>
      <c r="W11" s="521"/>
      <c r="X11" s="521"/>
      <c r="Y11" s="521"/>
      <c r="Z11" s="521"/>
      <c r="AA11" s="521"/>
      <c r="AB11" s="520"/>
      <c r="AC11" s="521"/>
      <c r="AD11" s="521"/>
      <c r="AE11" s="521"/>
      <c r="AF11" s="521"/>
      <c r="AG11" s="521"/>
      <c r="AH11" s="521"/>
      <c r="AI11" s="520"/>
      <c r="AJ11" s="521"/>
      <c r="AK11" s="457"/>
      <c r="AM11" s="654"/>
      <c r="AN11" s="654" t="str">
        <f>IF(T11="","",T11)</f>
        <v>Добавить наименование признака дифференциации</v>
      </c>
      <c r="AO11" s="654"/>
      <c r="AP11" s="654"/>
    </row>
    <row s="8702" customFormat="1" customHeight="1" ht="14.25" hidden="1">
      <c r="A12" s="1502"/>
      <c r="B12" s="1502"/>
      <c r="C12" s="1473"/>
      <c r="D12" s="1473"/>
      <c r="E12" s="2321"/>
      <c r="F12" s="2320"/>
      <c r="G12" s="1473"/>
      <c r="H12" s="1473"/>
      <c r="I12" s="1473"/>
      <c r="J12" s="1473"/>
      <c r="K12" s="1473"/>
      <c r="L12" s="1617"/>
      <c r="M12" s="1480"/>
      <c r="N12" s="1480"/>
      <c r="P12" s="1475"/>
      <c r="Q12" s="1476"/>
      <c r="R12" s="1475"/>
      <c r="S12" s="1481"/>
      <c r="T12" s="1484" t="s">
        <v>251</v>
      </c>
      <c r="U12" s="1483"/>
      <c r="V12" s="1483"/>
      <c r="W12" s="1483"/>
      <c r="X12" s="1483"/>
      <c r="Y12" s="1483"/>
      <c r="Z12" s="1483"/>
      <c r="AA12" s="1483"/>
      <c r="AB12" s="1483"/>
      <c r="AC12" s="1483"/>
      <c r="AD12" s="1483"/>
      <c r="AE12" s="1483"/>
      <c r="AF12" s="1483"/>
      <c r="AG12" s="1483"/>
      <c r="AH12" s="1483"/>
      <c r="AI12" s="1483"/>
      <c r="AJ12" s="1483"/>
      <c r="AK12" s="1483"/>
      <c r="AM12" s="943"/>
      <c r="AN12" s="943" t="str">
        <f>IF(T12="","",T12)</f>
        <v>Добавить централизованную систему для дифференциации</v>
      </c>
      <c r="AO12" s="943"/>
      <c r="AP12" s="943"/>
    </row>
    <row s="8794" customFormat="1" customHeight="1" ht="14.25" hidden="1">
      <c r="A13" s="1502"/>
      <c r="B13" s="1502"/>
      <c r="C13" s="1502"/>
      <c r="D13" s="1502"/>
      <c r="E13" s="2320"/>
      <c r="F13" s="1502"/>
      <c r="G13" s="1502"/>
      <c r="H13" s="1502"/>
      <c r="I13" s="1502"/>
      <c r="J13" s="1502"/>
      <c r="K13" s="1502"/>
      <c r="L13" s="1505"/>
      <c r="M13" s="1480"/>
      <c r="N13" s="1480"/>
      <c r="O13" s="672"/>
      <c r="P13" s="534"/>
      <c r="Q13" s="1503"/>
      <c r="R13" s="534"/>
      <c r="S13" s="1481"/>
      <c r="T13" s="1484" t="s">
        <v>252</v>
      </c>
      <c r="U13" s="1483"/>
      <c r="V13" s="1483"/>
      <c r="W13" s="1483"/>
      <c r="X13" s="1483"/>
      <c r="Y13" s="1483"/>
      <c r="Z13" s="1483"/>
      <c r="AA13" s="1483"/>
      <c r="AB13" s="1483"/>
      <c r="AC13" s="1483"/>
      <c r="AD13" s="1483"/>
      <c r="AE13" s="1483"/>
      <c r="AF13" s="1483"/>
      <c r="AG13" s="1483"/>
      <c r="AH13" s="1483"/>
      <c r="AI13" s="1483"/>
      <c r="AJ13" s="1483"/>
      <c r="AK13" s="1483"/>
      <c r="AM13" s="654"/>
      <c r="AN13" s="654" t="str">
        <f>IF(T13="","",T13)</f>
        <v>Добавить территорию для дифференциации</v>
      </c>
      <c r="AO13" s="654"/>
      <c r="AP13" s="654"/>
    </row>
    <row customHeight="1" ht="14.25" hidden="1">
      <c r="AB14" s="481"/>
      <c r="AI14" s="481"/>
    </row>
    <row customHeight="1" ht="14.25" hidden="1">
      <c r="AC15" s="1519"/>
      <c r="AD15" s="1519"/>
      <c r="AE15" s="1520"/>
      <c r="AF15" s="2318"/>
      <c r="AG15" s="2317" t="s">
        <v>64</v>
      </c>
      <c r="AH15" s="2318"/>
      <c r="AI15" s="2317" t="s">
        <v>64</v>
      </c>
    </row>
    <row customHeight="1" ht="14.25" hidden="1">
      <c r="AC16" s="1519"/>
      <c r="AD16" s="1519"/>
      <c r="AE16" s="482" t="str">
        <f>AF15&amp;"-"&amp;AH15</f>
        <v>-</v>
      </c>
      <c r="AF16" s="2317"/>
      <c r="AG16" s="2317"/>
      <c r="AH16" s="2317"/>
      <c r="AI16" s="2317"/>
    </row>
    <row customHeight="1" ht="14.25" hidden="1">
      <c r="AI17" s="481"/>
    </row>
    <row s="8721" customFormat="1" customHeight="1" ht="22.5" hidden="1">
      <c r="L18" s="1606"/>
      <c r="M18" s="1521"/>
      <c r="N18" s="1521"/>
      <c r="O18" s="1526" t="s">
        <v>415</v>
      </c>
      <c r="P18" s="1521"/>
      <c r="Q18" s="1530"/>
      <c r="R18" s="1530"/>
      <c r="S18" s="883"/>
      <c r="Y18" s="1526"/>
      <c r="AA18" s="1526"/>
      <c r="AB18" s="1525"/>
      <c r="AF18" s="1526"/>
      <c r="AH18" s="1526"/>
      <c r="AI18" s="1525"/>
      <c r="AL18" s="665"/>
      <c r="AM18" s="665"/>
      <c r="AN18" s="665"/>
      <c r="AO18" s="665"/>
      <c r="AP18" s="665"/>
    </row>
    <row s="8721" customFormat="1" customHeight="1" ht="14.25" hidden="1">
      <c r="L19" s="1606"/>
      <c r="M19" s="1521"/>
      <c r="N19" s="1521"/>
      <c r="O19" s="1521"/>
      <c r="P19" s="1521"/>
      <c r="Q19" s="1530"/>
      <c r="R19" s="1530"/>
      <c r="S19" s="883"/>
      <c r="AB19" s="1525"/>
      <c r="AI19" s="1525"/>
      <c r="AL19" s="665"/>
      <c r="AM19" s="665"/>
      <c r="AN19" s="665"/>
      <c r="AO19" s="665"/>
      <c r="AP19" s="665"/>
    </row>
    <row s="8721" customFormat="1" customHeight="1" ht="12" hidden="1">
      <c r="L20" s="1606"/>
      <c r="M20" s="1521"/>
      <c r="N20" s="1521"/>
      <c r="O20" s="1523" t="s">
        <v>416</v>
      </c>
      <c r="P20" s="1521"/>
      <c r="Q20" s="1601"/>
      <c r="R20" s="1601"/>
      <c r="S20" s="883"/>
      <c r="T20" s="1316" t="s">
        <v>417</v>
      </c>
      <c r="Z20" s="340" t="s">
        <v>418</v>
      </c>
      <c r="AB20" s="340" t="s">
        <v>419</v>
      </c>
      <c r="AC20" s="1316" t="s">
        <v>417</v>
      </c>
      <c r="AG20" s="340" t="s">
        <v>420</v>
      </c>
      <c r="AI20" s="340" t="s">
        <v>419</v>
      </c>
    </row>
    <row customHeight="1" ht="14.25" hidden="1">
      <c r="O21" s="1523"/>
    </row>
    <row customHeight="1" ht="14.25" hidden="1">
      <c r="O22" s="1523"/>
    </row>
    <row customHeight="1" ht="14.25">
      <c r="Q23" s="530"/>
      <c r="R23" s="530"/>
      <c r="S23" s="1434"/>
      <c r="T23" s="517"/>
      <c r="U23" s="517"/>
      <c r="V23" s="663"/>
      <c r="W23" s="663"/>
      <c r="X23" s="663"/>
      <c r="Y23" s="663"/>
      <c r="Z23" s="663"/>
      <c r="AA23" s="663"/>
      <c r="AB23" s="663"/>
      <c r="AC23" s="663"/>
      <c r="AD23" s="663"/>
      <c r="AE23" s="663"/>
      <c r="AF23" s="663"/>
      <c r="AG23" s="663"/>
      <c r="AH23" s="663"/>
      <c r="AI23" s="663"/>
    </row>
    <row customHeight="1" ht="14.25">
      <c r="Q24" s="530"/>
      <c r="R24" s="530"/>
      <c r="S24" s="2353" t="str">
        <f>IF(TEMPLATE_GROUP="P",PT_P_FORM_COLDVSNA_4_NAME_FORM,PT_R_FORM_COLDVSNA_16_NAME_FORM)</f>
        <v>Форма 2. Информация
о тарифах в сфере холодного водоснабжения на товары (услуги) организации холодного водоснабжения, подлежащих регулированию</v>
      </c>
      <c r="T24" s="2353"/>
      <c r="U24" s="2353"/>
      <c r="V24" s="2353"/>
      <c r="W24" s="2353"/>
      <c r="X24" s="2353"/>
      <c r="Y24" s="2353"/>
      <c r="Z24" s="2353"/>
      <c r="AA24" s="2353"/>
      <c r="AB24" s="2353"/>
      <c r="AC24" s="2353"/>
      <c r="AD24" s="2353"/>
      <c r="AE24" s="2353"/>
      <c r="AF24" s="2353"/>
      <c r="AG24" s="2353"/>
      <c r="AH24" s="2353"/>
      <c r="AI24" s="1401"/>
    </row>
    <row customHeight="1" ht="14.25">
      <c r="Q25" s="530"/>
      <c r="R25" s="530"/>
      <c r="S25" s="2354" t="str">
        <f>IF(org=0,"Не определено",org)</f>
        <v>АО "Теплокоммунэнерго"</v>
      </c>
      <c r="T25" s="2354"/>
      <c r="U25" s="2354"/>
      <c r="V25" s="2354"/>
      <c r="W25" s="2354"/>
      <c r="X25" s="2354"/>
      <c r="Y25" s="2354"/>
      <c r="Z25" s="2354"/>
      <c r="AA25" s="2354"/>
      <c r="AB25" s="2354"/>
      <c r="AC25" s="2354"/>
      <c r="AD25" s="2354"/>
      <c r="AE25" s="2354"/>
      <c r="AF25" s="2354"/>
      <c r="AG25" s="2354"/>
      <c r="AH25" s="2354"/>
      <c r="AI25" s="1401"/>
    </row>
    <row customHeight="1" ht="14.25">
      <c r="Q26" s="530"/>
      <c r="R26" s="530"/>
      <c r="S26" s="1434"/>
      <c r="T26" s="517"/>
      <c r="U26" s="517"/>
      <c r="V26" s="476"/>
      <c r="W26" s="476"/>
      <c r="X26" s="476"/>
      <c r="Y26" s="476"/>
      <c r="Z26" s="476"/>
      <c r="AA26" s="476"/>
      <c r="AB26" s="476"/>
      <c r="AC26" s="476"/>
      <c r="AD26" s="476"/>
      <c r="AE26" s="476"/>
      <c r="AF26" s="476"/>
      <c r="AG26" s="476"/>
      <c r="AH26" s="476"/>
      <c r="AI26" s="476"/>
      <c r="AJ26" s="663"/>
    </row>
    <row s="8735" customFormat="1" customHeight="1" ht="25.5">
      <c r="A27" s="1527"/>
      <c r="B27" s="1527"/>
      <c r="C27" s="1527"/>
      <c r="D27" s="1527"/>
      <c r="E27" s="1527"/>
      <c r="F27" s="1527"/>
      <c r="G27" s="1527"/>
      <c r="H27" s="1527"/>
      <c r="I27" s="1527"/>
      <c r="J27" s="1527"/>
      <c r="K27" s="1527"/>
      <c r="L27" s="1528"/>
      <c r="M27" s="1527"/>
      <c r="N27" s="1527"/>
      <c r="O27" s="1527"/>
      <c r="S27" s="2311" t="s">
        <v>38</v>
      </c>
      <c r="T27" s="2311"/>
      <c r="U27" s="1531"/>
      <c r="V27" s="2313" t="str">
        <f>IF(TITLE_NAME_OR_PR_CHANGE="",IF(TITLE_NAME_OR_PR="","",TITLE_NAME_OR_PR),TITLE_NAME_OR_PR_CHANGE)</f>
        <v>Региональная служба по тарифам Ростовской области</v>
      </c>
      <c r="W27" s="2313"/>
      <c r="X27" s="2313"/>
      <c r="Y27" s="2313"/>
      <c r="Z27" s="2313"/>
      <c r="AA27" s="2313"/>
      <c r="AB27" s="480"/>
      <c r="AC27" s="2313" t="str">
        <f>IF(TITLE_NAME_OR_PR_CHANGE="",IF(TITLE_NAME_OR_PR="","",TITLE_NAME_OR_PR),TITLE_NAME_OR_PR_CHANGE)</f>
        <v>Региональная служба по тарифам Ростовской области</v>
      </c>
      <c r="AD27" s="2313"/>
      <c r="AE27" s="2313"/>
      <c r="AF27" s="2313"/>
      <c r="AG27" s="2313"/>
      <c r="AH27" s="2313"/>
      <c r="AI27" s="480"/>
      <c r="AJ27" s="480"/>
      <c r="AK27" s="434"/>
      <c r="AL27" s="522"/>
      <c r="AM27" s="522"/>
      <c r="AN27" s="522"/>
      <c r="AO27" s="522"/>
      <c r="AP27" s="522"/>
    </row>
    <row s="8735" customFormat="1" customHeight="1" ht="18.75">
      <c r="A28" s="1527"/>
      <c r="B28" s="1527"/>
      <c r="C28" s="1527"/>
      <c r="D28" s="1527"/>
      <c r="E28" s="1527"/>
      <c r="F28" s="1527"/>
      <c r="G28" s="1527"/>
      <c r="H28" s="1527"/>
      <c r="I28" s="1527"/>
      <c r="J28" s="1527"/>
      <c r="K28" s="1527"/>
      <c r="L28" s="1528"/>
      <c r="M28" s="1527"/>
      <c r="N28" s="1527"/>
      <c r="O28" s="1527"/>
      <c r="S28" s="2311" t="s">
        <v>421</v>
      </c>
      <c r="T28" s="2311"/>
      <c r="U28" s="1531"/>
      <c r="V28" s="2312" t="str">
        <f>IF(TITLE_DATE_PR_CHANGE="",IF(TITLE_DATE_PR="","",TITLE_DATE_PR),TITLE_DATE_PR_CHANGE)</f>
        <v>45279</v>
      </c>
      <c r="W28" s="2312"/>
      <c r="X28" s="2312"/>
      <c r="Y28" s="2312"/>
      <c r="Z28" s="2312"/>
      <c r="AA28" s="2312"/>
      <c r="AB28" s="480"/>
      <c r="AC28" s="2312" t="str">
        <f>IF(TITLE_DATE_PR_CHANGE="",IF(TITLE_DATE_PR="","",TITLE_DATE_PR),TITLE_DATE_PR_CHANGE)</f>
        <v>45279</v>
      </c>
      <c r="AD28" s="2312"/>
      <c r="AE28" s="2312"/>
      <c r="AF28" s="2312"/>
      <c r="AG28" s="2312"/>
      <c r="AH28" s="2312"/>
      <c r="AI28" s="480"/>
      <c r="AJ28" s="480"/>
      <c r="AK28" s="434"/>
      <c r="AL28" s="522"/>
      <c r="AM28" s="522"/>
      <c r="AN28" s="522"/>
      <c r="AO28" s="522"/>
      <c r="AP28" s="522"/>
    </row>
    <row s="8735" customFormat="1" customHeight="1" ht="18.75">
      <c r="A29" s="1527"/>
      <c r="B29" s="1527"/>
      <c r="C29" s="1527"/>
      <c r="D29" s="1527"/>
      <c r="E29" s="1527"/>
      <c r="F29" s="1527"/>
      <c r="G29" s="1527"/>
      <c r="H29" s="1527"/>
      <c r="I29" s="1527"/>
      <c r="J29" s="1527"/>
      <c r="K29" s="1527"/>
      <c r="L29" s="1528"/>
      <c r="M29" s="1527"/>
      <c r="N29" s="1527"/>
      <c r="O29" s="1527"/>
      <c r="S29" s="2311" t="s">
        <v>422</v>
      </c>
      <c r="T29" s="2311"/>
      <c r="U29" s="1531"/>
      <c r="V29" s="2313" t="str">
        <f>IF(TITLE_NUMBER_PR_CHANGE="",IF(TITLE_NUMBER_PR="","",TITLE_NUMBER_PR),TITLE_NUMBER_PR_CHANGE)</f>
        <v>877</v>
      </c>
      <c r="W29" s="2313"/>
      <c r="X29" s="2313"/>
      <c r="Y29" s="2313"/>
      <c r="Z29" s="2313"/>
      <c r="AA29" s="2313"/>
      <c r="AB29" s="480"/>
      <c r="AC29" s="2313" t="str">
        <f>IF(TITLE_NUMBER_PR_CHANGE="",IF(TITLE_NUMBER_PR="","",TITLE_NUMBER_PR),TITLE_NUMBER_PR_CHANGE)</f>
        <v>877</v>
      </c>
      <c r="AD29" s="2313"/>
      <c r="AE29" s="2313"/>
      <c r="AF29" s="2313"/>
      <c r="AG29" s="2313"/>
      <c r="AH29" s="2313"/>
      <c r="AI29" s="480"/>
      <c r="AJ29" s="480"/>
      <c r="AK29" s="434"/>
      <c r="AL29" s="522"/>
      <c r="AM29" s="522"/>
      <c r="AN29" s="522"/>
      <c r="AO29" s="522"/>
      <c r="AP29" s="522"/>
    </row>
    <row s="8735" customFormat="1" customHeight="1" ht="18.75">
      <c r="A30" s="1527"/>
      <c r="B30" s="1527"/>
      <c r="C30" s="1527"/>
      <c r="D30" s="1527"/>
      <c r="E30" s="1527"/>
      <c r="F30" s="1527"/>
      <c r="G30" s="1527"/>
      <c r="H30" s="1527"/>
      <c r="I30" s="1527"/>
      <c r="J30" s="1527"/>
      <c r="K30" s="1527"/>
      <c r="L30" s="1528"/>
      <c r="M30" s="1527"/>
      <c r="N30" s="1527"/>
      <c r="O30" s="1527"/>
      <c r="S30" s="2311" t="s">
        <v>40</v>
      </c>
      <c r="T30" s="2311"/>
      <c r="U30" s="1531"/>
      <c r="V30" s="2313" t="str">
        <f>IF(TITLE_IST_PUB_CHANGE="",IF(TITLE_IST_PUB="","",TITLE_IST_PUB),TITLE_IST_PUB_CHANGE)</f>
        <v>Официальный портал правовой информации Ростовской области</v>
      </c>
      <c r="W30" s="2313"/>
      <c r="X30" s="2313"/>
      <c r="Y30" s="2313"/>
      <c r="Z30" s="2313"/>
      <c r="AA30" s="2313"/>
      <c r="AB30" s="480"/>
      <c r="AC30" s="2313" t="str">
        <f>IF(TITLE_IST_PUB_CHANGE="",IF(TITLE_IST_PUB="","",TITLE_IST_PUB),TITLE_IST_PUB_CHANGE)</f>
        <v>Официальный портал правовой информации Ростовской области</v>
      </c>
      <c r="AD30" s="2313"/>
      <c r="AE30" s="2313"/>
      <c r="AF30" s="2313"/>
      <c r="AG30" s="2313"/>
      <c r="AH30" s="2313"/>
      <c r="AI30" s="480"/>
      <c r="AJ30" s="480"/>
      <c r="AK30" s="434"/>
      <c r="AL30" s="522"/>
      <c r="AM30" s="522"/>
      <c r="AN30" s="522"/>
      <c r="AO30" s="522"/>
      <c r="AP30" s="522"/>
    </row>
    <row customHeight="1" ht="14.25" hidden="1">
      <c r="Q31" s="530"/>
      <c r="R31" s="530"/>
      <c r="S31" s="1434"/>
      <c r="T31" s="517"/>
      <c r="U31" s="517"/>
      <c r="V31" s="476"/>
      <c r="W31" s="476"/>
      <c r="X31" s="476"/>
      <c r="Y31" s="476"/>
      <c r="Z31" s="476"/>
      <c r="AA31" s="476"/>
      <c r="AB31" s="476"/>
      <c r="AC31" s="476"/>
      <c r="AD31" s="476"/>
      <c r="AE31" s="476"/>
      <c r="AF31" s="476"/>
      <c r="AG31" s="476"/>
      <c r="AH31" s="476"/>
      <c r="AI31" s="476"/>
      <c r="AJ31" s="663"/>
    </row>
    <row s="8735" customFormat="1" customHeight="1" ht="18.75" hidden="1">
      <c r="A32" s="1527"/>
      <c r="B32" s="1527"/>
      <c r="C32" s="1527"/>
      <c r="D32" s="1527"/>
      <c r="E32" s="1527"/>
      <c r="F32" s="1527"/>
      <c r="G32" s="1527"/>
      <c r="H32" s="1527"/>
      <c r="I32" s="1527"/>
      <c r="J32" s="1527"/>
      <c r="K32" s="1527"/>
      <c r="L32" s="1528"/>
      <c r="M32" s="1527"/>
      <c r="N32" s="1527"/>
      <c r="O32" s="1527"/>
      <c r="S32" s="2311" t="s">
        <v>423</v>
      </c>
      <c r="T32" s="2311"/>
      <c r="U32" s="1531"/>
      <c r="V32" s="2312" t="str">
        <f>IF(TITLE_DATE_PR_CHANGE="",IF(TITLE_DATE_PR="","",TITLE_DATE_PR),TITLE_DATE_PR_CHANGE)</f>
        <v>45279</v>
      </c>
      <c r="W32" s="2312"/>
      <c r="X32" s="2312"/>
      <c r="Y32" s="2312"/>
      <c r="Z32" s="2312"/>
      <c r="AA32" s="2312"/>
      <c r="AB32" s="480"/>
      <c r="AC32" s="2312" t="str">
        <f>IF(TITLE_DATE_PR_CHANGE="",IF(TITLE_DATE_PR="","",TITLE_DATE_PR),TITLE_DATE_PR_CHANGE)</f>
        <v>45279</v>
      </c>
      <c r="AD32" s="2312"/>
      <c r="AE32" s="2312"/>
      <c r="AF32" s="2312"/>
      <c r="AG32" s="2312"/>
      <c r="AH32" s="2312"/>
      <c r="AI32" s="480"/>
      <c r="AJ32" s="480"/>
      <c r="AK32" s="434"/>
      <c r="AL32" s="522"/>
      <c r="AM32" s="522"/>
      <c r="AN32" s="522"/>
      <c r="AO32" s="522"/>
      <c r="AP32" s="522"/>
    </row>
    <row s="8735" customFormat="1" customHeight="1" ht="18.75" hidden="1">
      <c r="A33" s="1527"/>
      <c r="B33" s="1527"/>
      <c r="C33" s="1527"/>
      <c r="D33" s="1527"/>
      <c r="E33" s="1527"/>
      <c r="F33" s="1527"/>
      <c r="G33" s="1527"/>
      <c r="H33" s="1527"/>
      <c r="I33" s="1527"/>
      <c r="J33" s="1527"/>
      <c r="K33" s="1527"/>
      <c r="L33" s="1528"/>
      <c r="M33" s="1527"/>
      <c r="N33" s="1527"/>
      <c r="O33" s="1527"/>
      <c r="S33" s="2311" t="s">
        <v>424</v>
      </c>
      <c r="T33" s="2311"/>
      <c r="U33" s="1531"/>
      <c r="V33" s="2313" t="str">
        <f>IF(TITLE_NUMBER_PR_CHANGE="",IF(TITLE_NUMBER_PR="","",TITLE_NUMBER_PR),TITLE_NUMBER_PR_CHANGE)</f>
        <v>877</v>
      </c>
      <c r="W33" s="2313"/>
      <c r="X33" s="2313"/>
      <c r="Y33" s="2313"/>
      <c r="Z33" s="2313"/>
      <c r="AA33" s="2313"/>
      <c r="AB33" s="480"/>
      <c r="AC33" s="2313" t="str">
        <f>IF(TITLE_NUMBER_PR_CHANGE="",IF(TITLE_NUMBER_PR="","",TITLE_NUMBER_PR),TITLE_NUMBER_PR_CHANGE)</f>
        <v>877</v>
      </c>
      <c r="AD33" s="2313"/>
      <c r="AE33" s="2313"/>
      <c r="AF33" s="2313"/>
      <c r="AG33" s="2313"/>
      <c r="AH33" s="2313"/>
      <c r="AI33" s="480"/>
      <c r="AJ33" s="480"/>
      <c r="AK33" s="434"/>
      <c r="AL33" s="522"/>
      <c r="AM33" s="522"/>
      <c r="AN33" s="522"/>
      <c r="AO33" s="522"/>
      <c r="AP33" s="522"/>
    </row>
    <row s="8735" customFormat="1" customHeight="1" ht="0.75">
      <c r="A34" s="1527"/>
      <c r="B34" s="1527"/>
      <c r="C34" s="1527"/>
      <c r="D34" s="1527"/>
      <c r="E34" s="1527"/>
      <c r="F34" s="1527"/>
      <c r="G34" s="1527"/>
      <c r="H34" s="1527"/>
      <c r="I34" s="1527"/>
      <c r="J34" s="1527"/>
      <c r="K34" s="1527"/>
      <c r="L34" s="1528"/>
      <c r="M34" s="1527"/>
      <c r="N34" s="1527"/>
      <c r="O34" s="1527"/>
      <c r="S34" s="477"/>
      <c r="T34" s="477"/>
      <c r="U34" s="1613"/>
      <c r="V34" s="480"/>
      <c r="W34" s="480"/>
      <c r="X34" s="480"/>
      <c r="Y34" s="480"/>
      <c r="Z34" s="480"/>
      <c r="AA34" s="480"/>
      <c r="AB34" s="432" t="s">
        <v>425</v>
      </c>
      <c r="AC34" s="480"/>
      <c r="AD34" s="480"/>
      <c r="AE34" s="480"/>
      <c r="AF34" s="480"/>
      <c r="AG34" s="480"/>
      <c r="AH34" s="480"/>
      <c r="AI34" s="432" t="s">
        <v>425</v>
      </c>
      <c r="AL34" s="522"/>
      <c r="AM34" s="522"/>
      <c r="AN34" s="522"/>
      <c r="AO34" s="522"/>
      <c r="AP34" s="522"/>
    </row>
    <row customHeight="1" ht="14.25">
      <c r="Q35" s="530"/>
      <c r="R35" s="530"/>
      <c r="S35" s="1434"/>
      <c r="T35" s="517"/>
      <c r="U35" s="1402"/>
      <c r="V35" s="2337"/>
      <c r="W35" s="2337"/>
      <c r="X35" s="2337"/>
      <c r="Y35" s="2337"/>
      <c r="Z35" s="2337"/>
      <c r="AA35" s="2337"/>
      <c r="AB35" s="2337"/>
      <c r="AC35" s="2337"/>
      <c r="AD35" s="2337"/>
      <c r="AE35" s="2337"/>
      <c r="AF35" s="2337"/>
      <c r="AG35" s="2337"/>
      <c r="AH35" s="2337"/>
      <c r="AI35" s="2337"/>
    </row>
    <row customHeight="1" ht="14.25">
      <c r="Q36" s="530"/>
      <c r="R36" s="530"/>
      <c r="S36" s="2185" t="s">
        <v>300</v>
      </c>
      <c r="T36" s="2185"/>
      <c r="U36" s="2185"/>
      <c r="V36" s="2185"/>
      <c r="W36" s="2185"/>
      <c r="X36" s="2185"/>
      <c r="Y36" s="2185"/>
      <c r="Z36" s="2185"/>
      <c r="AA36" s="2185"/>
      <c r="AB36" s="2185"/>
      <c r="AC36" s="2185"/>
      <c r="AD36" s="2185"/>
      <c r="AE36" s="2185"/>
      <c r="AF36" s="2185"/>
      <c r="AG36" s="2185"/>
      <c r="AH36" s="2185"/>
      <c r="AI36" s="2185"/>
      <c r="AJ36" s="2185"/>
      <c r="AK36" s="2185" t="s">
        <v>301</v>
      </c>
    </row>
    <row customHeight="1" ht="14.25">
      <c r="Q37" s="530"/>
      <c r="R37" s="530"/>
      <c r="S37" s="2338" t="s">
        <v>85</v>
      </c>
      <c r="T37" s="2275" t="s">
        <v>426</v>
      </c>
      <c r="U37" s="455"/>
      <c r="V37" s="2339" t="s">
        <v>427</v>
      </c>
      <c r="W37" s="2340"/>
      <c r="X37" s="2340"/>
      <c r="Y37" s="2340"/>
      <c r="Z37" s="2340"/>
      <c r="AA37" s="2341"/>
      <c r="AB37" s="2342" t="s">
        <v>428</v>
      </c>
      <c r="AC37" s="2339" t="s">
        <v>427</v>
      </c>
      <c r="AD37" s="2340"/>
      <c r="AE37" s="2340"/>
      <c r="AF37" s="2340"/>
      <c r="AG37" s="2340"/>
      <c r="AH37" s="2341"/>
      <c r="AI37" s="2342" t="s">
        <v>429</v>
      </c>
      <c r="AJ37" s="2345" t="s">
        <v>430</v>
      </c>
      <c r="AK37" s="2185"/>
    </row>
    <row customHeight="1" ht="33.75">
      <c r="Q38" s="530"/>
      <c r="R38" s="530"/>
      <c r="S38" s="2338"/>
      <c r="T38" s="2275"/>
      <c r="U38" s="1186"/>
      <c r="V38" s="1611" t="s">
        <v>487</v>
      </c>
      <c r="W38" s="2331" t="s">
        <v>433</v>
      </c>
      <c r="X38" s="2333"/>
      <c r="Y38" s="2331" t="s">
        <v>434</v>
      </c>
      <c r="Z38" s="2332"/>
      <c r="AA38" s="2333"/>
      <c r="AB38" s="2343"/>
      <c r="AC38" s="1611" t="s">
        <v>487</v>
      </c>
      <c r="AD38" s="2331" t="s">
        <v>433</v>
      </c>
      <c r="AE38" s="2333"/>
      <c r="AF38" s="2331" t="s">
        <v>434</v>
      </c>
      <c r="AG38" s="2332"/>
      <c r="AH38" s="2333"/>
      <c r="AI38" s="2343"/>
      <c r="AJ38" s="2346"/>
      <c r="AK38" s="2185"/>
    </row>
    <row customHeight="1" ht="33.75">
      <c r="A39" s="1529"/>
      <c r="B39" s="1529" t="s">
        <v>132</v>
      </c>
      <c r="C39" s="1529" t="s">
        <v>133</v>
      </c>
      <c r="D39" s="1529" t="s">
        <v>134</v>
      </c>
      <c r="E39" s="1523" t="s">
        <v>435</v>
      </c>
      <c r="F39" s="1523" t="s">
        <v>436</v>
      </c>
      <c r="G39" s="1523" t="s">
        <v>437</v>
      </c>
      <c r="H39" s="1523"/>
      <c r="I39" s="1523" t="s">
        <v>488</v>
      </c>
      <c r="J39" s="1523" t="s">
        <v>440</v>
      </c>
      <c r="K39" s="1523" t="s">
        <v>489</v>
      </c>
      <c r="L39" s="1523" t="s">
        <v>416</v>
      </c>
      <c r="Q39" s="530"/>
      <c r="R39" s="530"/>
      <c r="S39" s="2338"/>
      <c r="T39" s="2275"/>
      <c r="U39" s="456"/>
      <c r="V39" s="1611" t="s">
        <v>490</v>
      </c>
      <c r="W39" s="1380" t="s">
        <v>491</v>
      </c>
      <c r="X39" s="1380" t="s">
        <v>492</v>
      </c>
      <c r="Y39" s="1614" t="s">
        <v>444</v>
      </c>
      <c r="Z39" s="2334" t="s">
        <v>445</v>
      </c>
      <c r="AA39" s="2335"/>
      <c r="AB39" s="2344"/>
      <c r="AC39" s="1611" t="s">
        <v>490</v>
      </c>
      <c r="AD39" s="1380" t="s">
        <v>491</v>
      </c>
      <c r="AE39" s="1380" t="s">
        <v>492</v>
      </c>
      <c r="AF39" s="1614" t="s">
        <v>444</v>
      </c>
      <c r="AG39" s="2334" t="s">
        <v>445</v>
      </c>
      <c r="AH39" s="2335"/>
      <c r="AI39" s="2344"/>
      <c r="AJ39" s="2347"/>
      <c r="AK39" s="2185"/>
    </row>
    <row s="8552" customFormat="1" customHeight="1" ht="0">
      <c r="A40" s="1529"/>
      <c r="B40" s="1529"/>
      <c r="C40" s="1529"/>
      <c r="D40" s="1529"/>
      <c r="E40" s="1529"/>
      <c r="F40" s="1529"/>
      <c r="G40" s="1529"/>
      <c r="H40" s="1529"/>
      <c r="I40" s="1529"/>
      <c r="J40" s="1529"/>
      <c r="K40" s="1529"/>
      <c r="L40" s="1523"/>
      <c r="M40" s="1521"/>
      <c r="N40" s="1521"/>
      <c r="O40" s="1521"/>
      <c r="P40" s="1404"/>
      <c r="Q40" s="1405"/>
      <c r="R40" s="1412">
        <v>1</v>
      </c>
      <c r="S40" s="1436" t="s">
        <v>106</v>
      </c>
      <c r="T40" s="1413" t="s">
        <v>107</v>
      </c>
      <c r="U40" s="1403" t="str">
        <f>OFFSET(U40,0,-1)</f>
        <v>2</v>
      </c>
      <c r="V40" s="1610">
        <f>OFFSET(V40,0,-1)+1</f>
        <v>3</v>
      </c>
      <c r="W40" s="1610">
        <f>OFFSET(W40,0,-1)+1</f>
        <v>4</v>
      </c>
      <c r="X40" s="1610">
        <f>OFFSET(X40,0,-1)+1</f>
        <v>5</v>
      </c>
      <c r="Y40" s="1610">
        <f>OFFSET(Y40,0,-1)+1</f>
        <v>6</v>
      </c>
      <c r="Z40" s="2336">
        <f>OFFSET(Z40,0,-1)+1</f>
        <v>7</v>
      </c>
      <c r="AA40" s="2336"/>
      <c r="AB40" s="1610">
        <f>OFFSET(AB40,0,-2)+1</f>
        <v>8</v>
      </c>
      <c r="AC40" s="1610">
        <f>OFFSET(AC40,0,-1)+1</f>
        <v>9</v>
      </c>
      <c r="AD40" s="1610">
        <f>OFFSET(AD40,0,-1)+1</f>
        <v>10</v>
      </c>
      <c r="AE40" s="1610">
        <f>OFFSET(AE40,0,-1)+1</f>
        <v>11</v>
      </c>
      <c r="AF40" s="1610">
        <f>OFFSET(AF40,0,-1)+1</f>
        <v>12</v>
      </c>
      <c r="AG40" s="2336">
        <f>OFFSET(AG40,0,-1)+1</f>
        <v>13</v>
      </c>
      <c r="AH40" s="2336"/>
      <c r="AI40" s="1610">
        <f>OFFSET(AI40,0,-2)+1</f>
        <v>14</v>
      </c>
      <c r="AJ40" s="1403">
        <f>OFFSET(AJ40,0,-1)</f>
        <v>14</v>
      </c>
      <c r="AK40" s="1610">
        <f>OFFSET(AK40,0,-1)+1</f>
        <v>15</v>
      </c>
      <c r="AL40" s="665"/>
      <c r="AM40" s="665"/>
      <c r="AN40" s="665"/>
      <c r="AO40" s="665"/>
      <c r="AP40" s="665"/>
    </row>
    <row customHeight="1" ht="23.25">
      <c r="A41" s="1522" t="s">
        <v>236</v>
      </c>
      <c r="B41" s="1522"/>
      <c r="C41" s="1522"/>
      <c r="D41" s="1522"/>
      <c r="E41" s="2320">
        <v>1</v>
      </c>
      <c r="F41" s="1522"/>
      <c r="G41" s="1522"/>
      <c r="H41" s="1522"/>
      <c r="I41" s="1522"/>
      <c r="J41" s="1522"/>
      <c r="K41" s="1522"/>
      <c r="L41" s="1523"/>
      <c r="M41" s="1524"/>
      <c r="N41" s="1524"/>
      <c r="O41" s="1524"/>
      <c r="P41" s="515"/>
      <c r="Q41" s="514"/>
      <c r="R41" s="509"/>
      <c r="S41" s="1616">
        <f>INDEX(PT_DIFFERENTIATION_NUM_NTAR,MATCH(A41,PT_DIFFERENTIATION_NTAR_ID,0))</f>
        <v>0</v>
      </c>
      <c r="T41" s="452" t="s">
        <v>120</v>
      </c>
      <c r="U41" s="454"/>
      <c r="V41" s="2314"/>
      <c r="W41" s="2315"/>
      <c r="X41" s="2315"/>
      <c r="Y41" s="2315"/>
      <c r="Z41" s="2315"/>
      <c r="AA41" s="2315"/>
      <c r="AB41" s="2316"/>
      <c r="AC41" s="2314" t="str">
        <f>INDEX(PT_DIFFERENTIATION_NTAR,MATCH(A41,PT_DIFFERENTIATION_NTAR_ID,0))</f>
        <v/>
      </c>
      <c r="AD41" s="2315"/>
      <c r="AE41" s="2315"/>
      <c r="AF41" s="2315"/>
      <c r="AG41" s="2315"/>
      <c r="AH41" s="2315"/>
      <c r="AI41" s="2315"/>
      <c r="AJ41" s="2316"/>
      <c r="AK41" s="1416"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41" s="654"/>
      <c r="AN41" s="654" t="str">
        <f>IF(T41="","",T41)</f>
        <v>Наименование тарифа</v>
      </c>
      <c r="AO41" s="654"/>
      <c r="AP41" s="654"/>
    </row>
    <row customHeight="1" ht="23.25">
      <c r="A42" s="1522" t="s">
        <v>236</v>
      </c>
      <c r="B42" s="1522" t="s">
        <v>237</v>
      </c>
      <c r="C42" s="1522"/>
      <c r="D42" s="1522"/>
      <c r="E42" s="2321"/>
      <c r="F42" s="2320">
        <v>1</v>
      </c>
      <c r="G42" s="1522"/>
      <c r="H42" s="1522"/>
      <c r="I42" s="1522"/>
      <c r="J42" s="1522"/>
      <c r="K42" s="1522"/>
      <c r="L42" s="1523"/>
      <c r="M42" s="1524"/>
      <c r="N42" s="1524"/>
      <c r="O42" s="1524"/>
      <c r="P42" s="1612"/>
      <c r="Q42" s="506"/>
      <c r="R42" s="507"/>
      <c r="S42" s="1616" t="str">
        <f>INDEX(PT_DIFFERENTIATION_NUM_TER,MATCH(B42,PT_DIFFERENTIATION_TER_ID,0))</f>
        <v>.</v>
      </c>
      <c r="T42" s="462" t="s">
        <v>397</v>
      </c>
      <c r="U42" s="454"/>
      <c r="V42" s="2314"/>
      <c r="W42" s="2315"/>
      <c r="X42" s="2315"/>
      <c r="Y42" s="2315"/>
      <c r="Z42" s="2315"/>
      <c r="AA42" s="2315"/>
      <c r="AB42" s="2316"/>
      <c r="AC42" s="2314" t="str">
        <f>INDEX(PT_DIFFERENTIATION_TER,MATCH(B42,PT_DIFFERENTIATION_TER_ID,0))</f>
        <v/>
      </c>
      <c r="AD42" s="2315"/>
      <c r="AE42" s="2315"/>
      <c r="AF42" s="2315"/>
      <c r="AG42" s="2315"/>
      <c r="AH42" s="2315"/>
      <c r="AI42" s="2315"/>
      <c r="AJ42" s="2316"/>
      <c r="AK42" s="1416" t="s">
        <v>398</v>
      </c>
      <c r="AM42" s="654"/>
      <c r="AN42" s="654" t="str">
        <f>IF(T42="","",T42)</f>
        <v>Территория действия тарифа</v>
      </c>
      <c r="AO42" s="654"/>
      <c r="AP42" s="654"/>
    </row>
    <row customHeight="1" ht="23.25">
      <c r="A43" s="1522" t="s">
        <v>236</v>
      </c>
      <c r="B43" s="1522" t="s">
        <v>237</v>
      </c>
      <c r="C43" s="1522" t="s">
        <v>238</v>
      </c>
      <c r="D43" s="1522"/>
      <c r="E43" s="2321"/>
      <c r="F43" s="2321"/>
      <c r="G43" s="2320">
        <v>1</v>
      </c>
      <c r="H43" s="1522"/>
      <c r="I43" s="1522"/>
      <c r="J43" s="1522"/>
      <c r="K43" s="1522"/>
      <c r="L43" s="1523"/>
      <c r="M43" s="1524"/>
      <c r="N43" s="1524"/>
      <c r="O43" s="1524"/>
      <c r="P43" s="508"/>
      <c r="Q43" s="506"/>
      <c r="R43" s="507"/>
      <c r="S43" s="1616" t="str">
        <f>INDEX(PT_DIFFERENTIATION_NUM_CS,MATCH(C43,PT_DIFFERENTIATION_CS_ID,0))</f>
        <v>..</v>
      </c>
      <c r="T43" s="463" t="s">
        <v>479</v>
      </c>
      <c r="U43" s="454"/>
      <c r="V43" s="2314"/>
      <c r="W43" s="2315"/>
      <c r="X43" s="2315"/>
      <c r="Y43" s="2315"/>
      <c r="Z43" s="2315"/>
      <c r="AA43" s="2315"/>
      <c r="AB43" s="2316"/>
      <c r="AC43" s="2314" t="str">
        <f>INDEX(PT_DIFFERENTIATION_CS,MATCH(C43,PT_DIFFERENTIATION_CS_ID,0))</f>
        <v/>
      </c>
      <c r="AD43" s="2315"/>
      <c r="AE43" s="2315"/>
      <c r="AF43" s="2315"/>
      <c r="AG43" s="2315"/>
      <c r="AH43" s="2315"/>
      <c r="AI43" s="2315"/>
      <c r="AJ43" s="2316"/>
      <c r="AK43" s="1416" t="s">
        <v>480</v>
      </c>
      <c r="AM43" s="654"/>
      <c r="AN43" s="654" t="str">
        <f>IF(T43="","",T43)</f>
        <v>Наименование централизованной системы холодного водоснабжения</v>
      </c>
      <c r="AO43" s="654"/>
      <c r="AP43" s="654"/>
    </row>
    <row customHeight="1" ht="23.25">
      <c r="A44" s="1522" t="s">
        <v>236</v>
      </c>
      <c r="B44" s="1522" t="s">
        <v>237</v>
      </c>
      <c r="C44" s="1522" t="s">
        <v>238</v>
      </c>
      <c r="D44" s="1522" t="s">
        <v>496</v>
      </c>
      <c r="E44" s="2321"/>
      <c r="F44" s="2321"/>
      <c r="G44" s="2321"/>
      <c r="H44" s="2321"/>
      <c r="I44" s="2322" t="str">
        <f>S43&amp;".1"</f>
        <v>...1</v>
      </c>
      <c r="J44" s="1522"/>
      <c r="K44" s="1522"/>
      <c r="L44" s="1523"/>
      <c r="P44" s="2324">
        <v>1</v>
      </c>
      <c r="Q44" s="1609"/>
      <c r="R44" s="510"/>
      <c r="S44" s="1616" t="str">
        <f>$I44</f>
        <v>...1</v>
      </c>
      <c r="T44" s="439" t="s">
        <v>481</v>
      </c>
      <c r="U44" s="454"/>
      <c r="V44" s="2407"/>
      <c r="W44" s="2408"/>
      <c r="X44" s="2408"/>
      <c r="Y44" s="2408"/>
      <c r="Z44" s="2408"/>
      <c r="AA44" s="2408"/>
      <c r="AB44" s="2409"/>
      <c r="AC44" s="2410"/>
      <c r="AD44" s="2411"/>
      <c r="AE44" s="2411"/>
      <c r="AF44" s="2411"/>
      <c r="AG44" s="2411"/>
      <c r="AH44" s="2411"/>
      <c r="AI44" s="2411"/>
      <c r="AJ44" s="2412"/>
      <c r="AK44" s="1416" t="s">
        <v>482</v>
      </c>
      <c r="AM44" s="654"/>
      <c r="AN44" s="654" t="str">
        <f>IF(T44="","",T44)</f>
        <v>Наименование признака дифференциации</v>
      </c>
      <c r="AO44" s="654"/>
      <c r="AP44" s="654"/>
    </row>
    <row customHeight="1" ht="23.25">
      <c r="A45" s="1522" t="s">
        <v>236</v>
      </c>
      <c r="B45" s="1522" t="s">
        <v>237</v>
      </c>
      <c r="C45" s="1522" t="s">
        <v>238</v>
      </c>
      <c r="D45" s="1522" t="s">
        <v>496</v>
      </c>
      <c r="E45" s="2321"/>
      <c r="F45" s="2321"/>
      <c r="G45" s="2321"/>
      <c r="H45" s="2321"/>
      <c r="I45" s="2323"/>
      <c r="J45" s="2322" t="str">
        <f>I44&amp;".1"</f>
        <v>...1.1</v>
      </c>
      <c r="K45" s="1522"/>
      <c r="L45" s="1523" t="s">
        <v>406</v>
      </c>
      <c r="P45" s="2324"/>
      <c r="Q45" s="2324">
        <v>1</v>
      </c>
      <c r="R45" s="511"/>
      <c r="S45" s="1616" t="str">
        <f>$J45</f>
        <v>...1.1</v>
      </c>
      <c r="T45" s="440" t="s">
        <v>407</v>
      </c>
      <c r="U45" s="454"/>
      <c r="V45" s="2308"/>
      <c r="W45" s="2309"/>
      <c r="X45" s="2309"/>
      <c r="Y45" s="2309"/>
      <c r="Z45" s="2309"/>
      <c r="AA45" s="2309"/>
      <c r="AB45" s="2310"/>
      <c r="AC45" s="2308"/>
      <c r="AD45" s="2309"/>
      <c r="AE45" s="2309"/>
      <c r="AF45" s="2309"/>
      <c r="AG45" s="2309"/>
      <c r="AH45" s="2309"/>
      <c r="AI45" s="2309"/>
      <c r="AJ45" s="2310"/>
      <c r="AK45" s="1466" t="s">
        <v>483</v>
      </c>
      <c r="AM45" s="654"/>
      <c r="AN45" s="654" t="str">
        <f>IF(T45="","",T45)</f>
        <v>Группа потребителей</v>
      </c>
      <c r="AO45" s="654"/>
      <c r="AP45" s="654"/>
    </row>
    <row customHeight="1" ht="23.25">
      <c r="A46" s="1522" t="s">
        <v>236</v>
      </c>
      <c r="B46" s="1522" t="s">
        <v>237</v>
      </c>
      <c r="C46" s="1522" t="s">
        <v>238</v>
      </c>
      <c r="D46" s="1522" t="s">
        <v>496</v>
      </c>
      <c r="E46" s="2321"/>
      <c r="F46" s="2321"/>
      <c r="G46" s="2321"/>
      <c r="H46" s="2321"/>
      <c r="I46" s="2323"/>
      <c r="J46" s="2323"/>
      <c r="K46" s="2322" t="str">
        <f>J45&amp;".1"</f>
        <v>...1.1.1</v>
      </c>
      <c r="L46" s="1523"/>
      <c r="P46" s="2324"/>
      <c r="Q46" s="2324"/>
      <c r="R46" s="511">
        <v>1</v>
      </c>
      <c r="S46" s="1616" t="str">
        <f>$K46</f>
        <v>...1.1.1</v>
      </c>
      <c r="T46" s="1596"/>
      <c r="U46" s="454"/>
      <c r="V46" s="905"/>
      <c r="W46" s="905"/>
      <c r="X46" s="1415"/>
      <c r="Y46" s="2325"/>
      <c r="Z46" s="2195" t="s">
        <v>64</v>
      </c>
      <c r="AA46" s="2325"/>
      <c r="AB46" s="2195" t="s">
        <v>64</v>
      </c>
      <c r="AC46" s="905"/>
      <c r="AD46" s="905"/>
      <c r="AE46" s="1415"/>
      <c r="AF46" s="2325"/>
      <c r="AG46" s="2195" t="s">
        <v>64</v>
      </c>
      <c r="AH46" s="2327"/>
      <c r="AI46" s="2195" t="s">
        <v>64</v>
      </c>
      <c r="AJ46" s="1597"/>
      <c r="AK46" s="241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65">
        <f>STRCHECKDATE(V47:AJ47)</f>
      </c>
      <c r="AM46" s="654"/>
      <c r="AN46" s="654" t="str">
        <f>IF(T46="","",T46)</f>
        <v/>
      </c>
      <c r="AO46" s="654"/>
      <c r="AP46" s="654"/>
    </row>
    <row customHeight="1" ht="0">
      <c r="A47" s="1522" t="s">
        <v>236</v>
      </c>
      <c r="B47" s="1522" t="s">
        <v>237</v>
      </c>
      <c r="C47" s="1522" t="s">
        <v>238</v>
      </c>
      <c r="D47" s="1522" t="s">
        <v>496</v>
      </c>
      <c r="E47" s="2321"/>
      <c r="F47" s="2321"/>
      <c r="G47" s="2321"/>
      <c r="H47" s="2321"/>
      <c r="I47" s="2323"/>
      <c r="J47" s="2323"/>
      <c r="K47" s="2322"/>
      <c r="L47" s="1523"/>
      <c r="P47" s="2324"/>
      <c r="Q47" s="2324"/>
      <c r="R47" s="511"/>
      <c r="S47" s="1615"/>
      <c r="T47" s="454"/>
      <c r="U47" s="454"/>
      <c r="V47" s="479"/>
      <c r="W47" s="479"/>
      <c r="X47" s="482" t="str">
        <f>Y46&amp;"-"&amp;AA46</f>
        <v>-</v>
      </c>
      <c r="Y47" s="2326"/>
      <c r="Z47" s="2195"/>
      <c r="AA47" s="2326"/>
      <c r="AB47" s="2195"/>
      <c r="AC47" s="479"/>
      <c r="AD47" s="479"/>
      <c r="AE47" s="482" t="str">
        <f>AF46&amp;"-"&amp;AH46</f>
        <v>-</v>
      </c>
      <c r="AF47" s="2326"/>
      <c r="AG47" s="2195"/>
      <c r="AH47" s="2328"/>
      <c r="AI47" s="2195"/>
      <c r="AJ47" s="1598"/>
      <c r="AK47" s="2413"/>
      <c r="AM47" s="654"/>
      <c r="AN47" s="654" t="str">
        <f>IF(T47="","",T47)</f>
        <v/>
      </c>
      <c r="AO47" s="654"/>
      <c r="AP47" s="654"/>
    </row>
    <row customHeight="1" ht="21">
      <c r="A48" s="1522" t="s">
        <v>236</v>
      </c>
      <c r="B48" s="1522" t="s">
        <v>237</v>
      </c>
      <c r="C48" s="1522" t="s">
        <v>238</v>
      </c>
      <c r="D48" s="1522" t="s">
        <v>496</v>
      </c>
      <c r="E48" s="2321"/>
      <c r="F48" s="2321"/>
      <c r="G48" s="2321"/>
      <c r="H48" s="2321"/>
      <c r="I48" s="2323"/>
      <c r="J48" s="2322"/>
      <c r="K48" s="1522"/>
      <c r="L48" s="1523"/>
      <c r="P48" s="2324"/>
      <c r="Q48" s="2324"/>
      <c r="R48" s="510"/>
      <c r="S48" s="1437"/>
      <c r="T48" s="441" t="s">
        <v>484</v>
      </c>
      <c r="U48" s="521"/>
      <c r="V48" s="521"/>
      <c r="W48" s="521"/>
      <c r="X48" s="521"/>
      <c r="Y48" s="521"/>
      <c r="Z48" s="521"/>
      <c r="AA48" s="521"/>
      <c r="AB48" s="521"/>
      <c r="AC48" s="521"/>
      <c r="AD48" s="521"/>
      <c r="AE48" s="521"/>
      <c r="AF48" s="521"/>
      <c r="AG48" s="521"/>
      <c r="AH48" s="521"/>
      <c r="AI48" s="521"/>
      <c r="AJ48" s="521"/>
      <c r="AK48" s="1416" t="s">
        <v>485</v>
      </c>
      <c r="AM48" s="654"/>
      <c r="AN48" s="654" t="str">
        <f>IF(T48="","",T48)</f>
        <v>Добавить значение признака дифференциации</v>
      </c>
      <c r="AO48" s="654"/>
      <c r="AP48" s="654"/>
    </row>
    <row customHeight="1" ht="21">
      <c r="A49" s="1522" t="s">
        <v>236</v>
      </c>
      <c r="B49" s="1522" t="s">
        <v>237</v>
      </c>
      <c r="C49" s="1522" t="s">
        <v>238</v>
      </c>
      <c r="D49" s="1522" t="s">
        <v>496</v>
      </c>
      <c r="E49" s="2321"/>
      <c r="F49" s="2321"/>
      <c r="G49" s="2321"/>
      <c r="H49" s="2321"/>
      <c r="I49" s="2322"/>
      <c r="J49" s="1522"/>
      <c r="K49" s="1522"/>
      <c r="L49" s="1523"/>
      <c r="P49" s="2324"/>
      <c r="Q49" s="1609"/>
      <c r="R49" s="510"/>
      <c r="S49" s="1437"/>
      <c r="T49" s="519" t="s">
        <v>412</v>
      </c>
      <c r="U49" s="521"/>
      <c r="V49" s="521"/>
      <c r="W49" s="521"/>
      <c r="X49" s="521"/>
      <c r="Y49" s="521"/>
      <c r="Z49" s="521"/>
      <c r="AA49" s="521"/>
      <c r="AB49" s="520"/>
      <c r="AC49" s="521"/>
      <c r="AD49" s="521"/>
      <c r="AE49" s="521"/>
      <c r="AF49" s="521"/>
      <c r="AG49" s="521"/>
      <c r="AH49" s="521"/>
      <c r="AI49" s="520"/>
      <c r="AJ49" s="521"/>
      <c r="AK49" s="1599"/>
      <c r="AM49" s="654"/>
      <c r="AN49" s="654" t="str">
        <f>IF(T49="","",T49)</f>
        <v>Добавить группу потребителей</v>
      </c>
      <c r="AO49" s="654"/>
      <c r="AP49" s="654"/>
    </row>
    <row customHeight="1" ht="21">
      <c r="A50" s="1522" t="s">
        <v>236</v>
      </c>
      <c r="B50" s="1522" t="s">
        <v>237</v>
      </c>
      <c r="C50" s="1522" t="s">
        <v>238</v>
      </c>
      <c r="D50" s="1522" t="s">
        <v>496</v>
      </c>
      <c r="E50" s="2321"/>
      <c r="F50" s="2321"/>
      <c r="G50" s="2321"/>
      <c r="H50" s="2320"/>
      <c r="I50" s="1522"/>
      <c r="J50" s="1522"/>
      <c r="K50" s="1522"/>
      <c r="L50" s="1523"/>
      <c r="M50" s="1524"/>
      <c r="N50" s="1524"/>
      <c r="O50" s="691"/>
      <c r="P50" s="514"/>
      <c r="Q50" s="529"/>
      <c r="R50" s="509"/>
      <c r="S50" s="1437"/>
      <c r="T50" s="526" t="s">
        <v>486</v>
      </c>
      <c r="U50" s="521"/>
      <c r="V50" s="521"/>
      <c r="W50" s="521"/>
      <c r="X50" s="521"/>
      <c r="Y50" s="521"/>
      <c r="Z50" s="521"/>
      <c r="AA50" s="521"/>
      <c r="AB50" s="520"/>
      <c r="AC50" s="521"/>
      <c r="AD50" s="521"/>
      <c r="AE50" s="521"/>
      <c r="AF50" s="521"/>
      <c r="AG50" s="521"/>
      <c r="AH50" s="521"/>
      <c r="AI50" s="520"/>
      <c r="AJ50" s="521"/>
      <c r="AK50" s="457"/>
      <c r="AM50" s="654"/>
      <c r="AN50" s="654" t="str">
        <f>IF(T50="","",T50)</f>
        <v>Добавить наименование признака дифференциации</v>
      </c>
      <c r="AO50" s="654"/>
      <c r="AP50" s="654"/>
    </row>
    <row s="8702" customFormat="1" customHeight="1" ht="0">
      <c r="A51" s="1502" t="s">
        <v>236</v>
      </c>
      <c r="B51" s="1502" t="s">
        <v>237</v>
      </c>
      <c r="C51" s="1473"/>
      <c r="D51" s="1473"/>
      <c r="E51" s="2321"/>
      <c r="F51" s="2320"/>
      <c r="G51" s="1473"/>
      <c r="H51" s="1473"/>
      <c r="I51" s="1473"/>
      <c r="J51" s="1473"/>
      <c r="K51" s="1473"/>
      <c r="L51" s="1617"/>
      <c r="M51" s="1480"/>
      <c r="N51" s="1480"/>
      <c r="P51" s="1475"/>
      <c r="Q51" s="1476"/>
      <c r="R51" s="1475"/>
      <c r="S51" s="1481"/>
      <c r="T51" s="1484" t="s">
        <v>251</v>
      </c>
      <c r="U51" s="1483"/>
      <c r="V51" s="1483"/>
      <c r="W51" s="1483"/>
      <c r="X51" s="1483"/>
      <c r="Y51" s="1483"/>
      <c r="Z51" s="1483"/>
      <c r="AA51" s="1483"/>
      <c r="AB51" s="1483"/>
      <c r="AC51" s="1483"/>
      <c r="AD51" s="1483"/>
      <c r="AE51" s="1483"/>
      <c r="AF51" s="1483"/>
      <c r="AG51" s="1483"/>
      <c r="AH51" s="1483"/>
      <c r="AI51" s="1483"/>
      <c r="AJ51" s="1483"/>
      <c r="AK51" s="1483"/>
      <c r="AM51" s="943"/>
      <c r="AN51" s="943" t="str">
        <f>IF(T51="","",T51)</f>
        <v>Добавить централизованную систему для дифференциации</v>
      </c>
      <c r="AO51" s="943"/>
      <c r="AP51" s="943"/>
    </row>
    <row s="8794" customFormat="1" customHeight="1" ht="0">
      <c r="A52" s="1502" t="s">
        <v>236</v>
      </c>
      <c r="B52" s="1502"/>
      <c r="C52" s="1502"/>
      <c r="D52" s="1502"/>
      <c r="E52" s="2320"/>
      <c r="F52" s="1502"/>
      <c r="G52" s="1502"/>
      <c r="H52" s="1502"/>
      <c r="I52" s="1502"/>
      <c r="J52" s="1502"/>
      <c r="K52" s="1502"/>
      <c r="L52" s="1505"/>
      <c r="M52" s="1480"/>
      <c r="N52" s="1480"/>
      <c r="O52" s="672"/>
      <c r="P52" s="534"/>
      <c r="Q52" s="1503"/>
      <c r="R52" s="534"/>
      <c r="S52" s="1481"/>
      <c r="T52" s="1484" t="s">
        <v>252</v>
      </c>
      <c r="U52" s="1483"/>
      <c r="V52" s="1483"/>
      <c r="W52" s="1483"/>
      <c r="X52" s="1483"/>
      <c r="Y52" s="1483"/>
      <c r="Z52" s="1483"/>
      <c r="AA52" s="1483"/>
      <c r="AB52" s="1483"/>
      <c r="AC52" s="1483"/>
      <c r="AD52" s="1483"/>
      <c r="AE52" s="1483"/>
      <c r="AF52" s="1483"/>
      <c r="AG52" s="1483"/>
      <c r="AH52" s="1483"/>
      <c r="AI52" s="1483"/>
      <c r="AJ52" s="1483"/>
      <c r="AK52" s="1483"/>
      <c r="AM52" s="654"/>
      <c r="AN52" s="654" t="str">
        <f>IF(T52="","",T52)</f>
        <v>Добавить территорию для дифференциации</v>
      </c>
      <c r="AO52" s="654"/>
      <c r="AP52" s="654"/>
    </row>
    <row s="8702" customFormat="1" customHeight="1" ht="0">
      <c r="A53" s="1473"/>
      <c r="B53" s="1473"/>
      <c r="C53" s="1473"/>
      <c r="D53" s="1473"/>
      <c r="E53" s="1502"/>
      <c r="F53" s="1473"/>
      <c r="G53" s="1473"/>
      <c r="H53" s="1473"/>
      <c r="I53" s="1473"/>
      <c r="J53" s="1473"/>
      <c r="K53" s="1473"/>
      <c r="L53" s="1617"/>
      <c r="M53" s="1480"/>
      <c r="N53" s="1480"/>
      <c r="P53" s="1475"/>
      <c r="Q53" s="1476"/>
      <c r="R53" s="1475"/>
      <c r="S53" s="1481"/>
      <c r="T53" s="1484" t="s">
        <v>253</v>
      </c>
      <c r="U53" s="1483"/>
      <c r="V53" s="1483"/>
      <c r="W53" s="1483"/>
      <c r="X53" s="1483"/>
      <c r="Y53" s="1483"/>
      <c r="Z53" s="1483"/>
      <c r="AA53" s="1483"/>
      <c r="AB53" s="1483"/>
      <c r="AC53" s="1483"/>
      <c r="AD53" s="1483"/>
      <c r="AE53" s="1483"/>
      <c r="AF53" s="1483"/>
      <c r="AG53" s="1483"/>
      <c r="AH53" s="1483"/>
      <c r="AI53" s="1483"/>
      <c r="AJ53" s="1483"/>
      <c r="AK53" s="1483"/>
      <c r="AM53" s="943"/>
      <c r="AN53" s="943" t="str">
        <f>IF(T53="","",T53)</f>
        <v>Добавить наименование тарифа</v>
      </c>
      <c r="AO53" s="943"/>
      <c r="AP53" s="943"/>
    </row>
    <row customHeight="1" ht="11.25">
      <c r="M54" s="1316"/>
      <c r="N54" s="1316"/>
      <c r="O54" s="691"/>
      <c r="P54" s="1311"/>
      <c r="Q54" s="1311"/>
      <c r="R54" s="1311"/>
      <c r="S54" s="1311"/>
      <c r="AL54" s="1311"/>
      <c r="AM54" s="1311"/>
      <c r="AN54" s="1311"/>
      <c r="AO54" s="1311"/>
      <c r="AP54" s="1311"/>
    </row>
    <row customHeight="1" ht="14.25">
      <c r="O55" s="691"/>
      <c r="S55" s="1411"/>
      <c r="T55" s="2319"/>
      <c r="U55" s="2319"/>
      <c r="V55" s="2319"/>
      <c r="W55" s="2319"/>
      <c r="X55" s="2319"/>
      <c r="Y55" s="2319"/>
      <c r="Z55" s="2319"/>
      <c r="AA55" s="2319"/>
      <c r="AB55" s="2319"/>
      <c r="AC55" s="2319"/>
      <c r="AD55" s="2319"/>
      <c r="AE55" s="2319"/>
      <c r="AF55" s="2319"/>
      <c r="AG55" s="2319"/>
      <c r="AH55" s="2319"/>
      <c r="AI55" s="2319"/>
      <c r="AJ55" s="2319"/>
      <c r="AK55" s="2319"/>
    </row>
    <row customHeight="1" ht="14.25">
      <c r="O56" s="691"/>
    </row>
    <row customHeight="1" ht="14.25">
      <c r="O57" s="691"/>
      <c r="S57" s="1411"/>
      <c r="T57" s="2319"/>
      <c r="U57" s="2319"/>
      <c r="V57" s="2319"/>
      <c r="W57" s="2319"/>
      <c r="X57" s="2319"/>
      <c r="Y57" s="2319"/>
      <c r="Z57" s="2319"/>
      <c r="AA57" s="2319"/>
      <c r="AB57" s="2319"/>
      <c r="AC57" s="2319"/>
      <c r="AD57" s="2319"/>
      <c r="AE57" s="2319"/>
      <c r="AF57" s="2319"/>
      <c r="AG57" s="2319"/>
      <c r="AH57" s="2319"/>
      <c r="AI57" s="2319"/>
      <c r="AJ57" s="2319"/>
      <c r="AK57" s="2319"/>
    </row>
  </sheetData>
  <sheetProtection formatColumns="0" formatRows="0" autoFilter="0" sort="0" insertRows="0" insertColumns="1" deleteRows="0" deleteColumns="0"/>
  <mergeCells count="101">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 ref="AK7:AK8"/>
    <mergeCell ref="AF15:AF16"/>
    <mergeCell ref="AG15:AG16"/>
    <mergeCell ref="AH15:AH16"/>
    <mergeCell ref="AI15:AI16"/>
    <mergeCell ref="Z7:Z8"/>
    <mergeCell ref="AA7:AA8"/>
    <mergeCell ref="AB7:AB8"/>
    <mergeCell ref="AF7:AF8"/>
    <mergeCell ref="AG7:AG8"/>
    <mergeCell ref="AH7:AH8"/>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46:AK47"/>
    <mergeCell ref="T55:AK55"/>
    <mergeCell ref="T57:AK57"/>
    <mergeCell ref="K46:K47"/>
    <mergeCell ref="Y46:Y47"/>
    <mergeCell ref="Z46:Z47"/>
    <mergeCell ref="AA46:AA47"/>
    <mergeCell ref="AB46:AB47"/>
    <mergeCell ref="AF46:AF47"/>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F4AEAAE-4F45-6AA5-0465-F12D995F7748}" mc:Ignorable="x14ac xr xr2 xr3">
  <sheetPr>
    <tabColor theme="6" tint="0.4"/>
  </sheetPr>
  <dimension ref="A1:AP66"/>
  <sheetViews>
    <sheetView topLeftCell="A1" showGridLines="0" zoomScale="90" workbookViewId="0">
      <selection activeCell="AK27" sqref="AK27"/>
    </sheetView>
  </sheetViews>
  <sheetFormatPr defaultColWidth="10.57421875" customHeight="1" defaultRowHeight="14.25"/>
  <cols>
    <col min="1" max="3" style="8849" width="10.140625" customWidth="1"/>
    <col min="4" max="4" style="8849" width="11.8515625" customWidth="1"/>
    <col min="5" max="11" style="8849" width="10.140625" customWidth="1"/>
    <col min="12" max="12" style="8850" width="10.140625" customWidth="1"/>
    <col min="13" max="15" style="8851" width="10.140625" customWidth="1"/>
    <col min="16" max="16" style="8803" width="3.7109375" customWidth="1"/>
    <col min="17" max="17" style="8976" width="3.7109375" customWidth="1"/>
    <col min="18" max="18" style="8805" width="3.7109375" customWidth="1"/>
    <col min="19" max="19" style="8806" width="12.7109375" customWidth="1"/>
    <col min="20" max="20" style="8849" width="32.00390625" customWidth="1"/>
    <col min="21" max="21" style="8849" width="0.140625" customWidth="1"/>
    <col min="22" max="23" style="8849" width="21.7109375" customWidth="1"/>
    <col min="24" max="24" style="8849" width="11.7109375" customWidth="1"/>
    <col min="25" max="25" style="8849" width="3.7109375" customWidth="1"/>
    <col min="26" max="26" style="8849" width="11.7109375" customWidth="1"/>
    <col min="27" max="27" style="8849" width="8.57421875" customWidth="1"/>
    <col min="28" max="28" style="8849" width="28.00390625" customWidth="1"/>
    <col min="29" max="29" style="8849" width="24.57421875" customWidth="1"/>
    <col min="30" max="31" style="8849" width="21.7109375" customWidth="1"/>
    <col min="32" max="32" style="8849" width="11.7109375" customWidth="1"/>
    <col min="33" max="33" style="8849" width="3.7109375" customWidth="1"/>
    <col min="34" max="34" style="8849" width="11.7109375" customWidth="1"/>
    <col min="35" max="35" style="8849" width="8.57421875" customWidth="1"/>
    <col min="36" max="36" style="8849" width="4.7109375" customWidth="1"/>
    <col min="37" max="37" style="8849" width="115.7109375" customWidth="1"/>
    <col min="38" max="39" style="8847" width="10.57421875"/>
    <col min="40" max="40" style="8847" width="11.140625" customWidth="1"/>
    <col min="41" max="42" style="8847" width="10.57421875"/>
  </cols>
  <sheetData>
    <row r="2" customHeight="1" ht="21">
      <c r="A2" s="1426"/>
      <c r="B2" s="1426"/>
      <c r="C2" s="1426"/>
      <c r="D2" s="1426"/>
      <c r="E2" s="2355">
        <v>1</v>
      </c>
      <c r="F2" s="1426"/>
      <c r="G2" s="1426"/>
      <c r="H2" s="1426"/>
      <c r="I2" s="1426"/>
      <c r="J2" s="1426"/>
      <c r="K2" s="1426"/>
      <c r="L2" s="1469"/>
      <c r="M2" s="1769"/>
      <c r="N2" s="1769"/>
      <c r="O2" s="1769"/>
      <c r="P2" s="1568"/>
      <c r="Q2" s="1027"/>
      <c r="R2" s="509"/>
      <c r="S2" s="2118">
        <f>INDEX(PT_DIFFERENTIATION_NUM_NTAR,MATCH(A2,PT_DIFFERENTIATION_NTAR_ID,0))</f>
      </c>
      <c r="T2" s="1684" t="s">
        <v>120</v>
      </c>
      <c r="U2" s="454"/>
      <c r="V2" s="2315"/>
      <c r="W2" s="2315"/>
      <c r="X2" s="2315"/>
      <c r="Y2" s="2315"/>
      <c r="Z2" s="2315"/>
      <c r="AA2" s="2316"/>
      <c r="AB2" s="2112"/>
      <c r="AC2" s="2315"/>
      <c r="AD2" s="2315"/>
      <c r="AE2" s="2315"/>
      <c r="AF2" s="2315"/>
      <c r="AG2" s="2315"/>
      <c r="AH2" s="2315"/>
      <c r="AI2" s="2315"/>
      <c r="AJ2" s="2316"/>
      <c r="AK2" s="1416" t="s">
        <v>396</v>
      </c>
      <c r="AM2" s="1783"/>
      <c r="AN2" s="1783" t="str">
        <f>IF(T2="","",T2)</f>
        <v>Наименование тарифа</v>
      </c>
      <c r="AO2" s="1783"/>
      <c r="AP2" s="1783"/>
    </row>
    <row customHeight="1" ht="21">
      <c r="A3" s="1426"/>
      <c r="B3" s="1426"/>
      <c r="C3" s="1426"/>
      <c r="D3" s="1426"/>
      <c r="E3" s="2356"/>
      <c r="F3" s="2355">
        <v>1</v>
      </c>
      <c r="G3" s="1426"/>
      <c r="H3" s="1426"/>
      <c r="I3" s="1426"/>
      <c r="J3" s="1426"/>
      <c r="K3" s="1426"/>
      <c r="L3" s="1469"/>
      <c r="M3" s="1769"/>
      <c r="N3" s="1769"/>
      <c r="O3" s="1769"/>
      <c r="P3" s="2129"/>
      <c r="Q3" s="1570"/>
      <c r="R3" s="507"/>
      <c r="S3" s="2118">
        <f>INDEX(PT_DIFFERENTIATION_NUM_TER,MATCH(B3,PT_DIFFERENTIATION_TER_ID,0))</f>
      </c>
      <c r="T3" s="1681" t="s">
        <v>397</v>
      </c>
      <c r="U3" s="454"/>
      <c r="V3" s="2315"/>
      <c r="W3" s="2315"/>
      <c r="X3" s="2315"/>
      <c r="Y3" s="2315"/>
      <c r="Z3" s="2315"/>
      <c r="AA3" s="2316"/>
      <c r="AB3" s="2112"/>
      <c r="AC3" s="2315"/>
      <c r="AD3" s="2315"/>
      <c r="AE3" s="2315"/>
      <c r="AF3" s="2315"/>
      <c r="AG3" s="2315"/>
      <c r="AH3" s="2315"/>
      <c r="AI3" s="2315"/>
      <c r="AJ3" s="2316"/>
      <c r="AK3" s="1416" t="s">
        <v>398</v>
      </c>
      <c r="AM3" s="1783"/>
      <c r="AN3" s="1783" t="str">
        <f>IF(T3="","",T3)</f>
        <v>Территория действия тарифа</v>
      </c>
      <c r="AO3" s="1783"/>
      <c r="AP3" s="1783"/>
    </row>
    <row customHeight="1" ht="22.5">
      <c r="A4" s="1426"/>
      <c r="B4" s="1426"/>
      <c r="C4" s="1426"/>
      <c r="D4" s="1426"/>
      <c r="E4" s="2356"/>
      <c r="F4" s="2356"/>
      <c r="G4" s="2355">
        <v>1</v>
      </c>
      <c r="H4" s="1426"/>
      <c r="I4" s="1426"/>
      <c r="J4" s="1426"/>
      <c r="K4" s="1426"/>
      <c r="L4" s="1469"/>
      <c r="M4" s="1769"/>
      <c r="N4" s="1769"/>
      <c r="O4" s="1769"/>
      <c r="P4" s="1571"/>
      <c r="Q4" s="1570"/>
      <c r="R4" s="507"/>
      <c r="S4" s="2118">
        <f>INDEX(PT_DIFFERENTIATION_NUM_CS,MATCH(C4,PT_DIFFERENTIATION_CS_ID,0))</f>
      </c>
      <c r="T4" s="463" t="s">
        <v>399</v>
      </c>
      <c r="U4" s="454"/>
      <c r="V4" s="2315"/>
      <c r="W4" s="2315"/>
      <c r="X4" s="2315"/>
      <c r="Y4" s="2315"/>
      <c r="Z4" s="2315"/>
      <c r="AA4" s="2316"/>
      <c r="AB4" s="2112"/>
      <c r="AC4" s="2315"/>
      <c r="AD4" s="2315"/>
      <c r="AE4" s="2315"/>
      <c r="AF4" s="2315"/>
      <c r="AG4" s="2315"/>
      <c r="AH4" s="2315"/>
      <c r="AI4" s="2315"/>
      <c r="AJ4" s="2316"/>
      <c r="AK4" s="1416" t="s">
        <v>400</v>
      </c>
      <c r="AM4" s="1783"/>
      <c r="AN4" s="1783" t="str">
        <f>IF(T4="","",T4)</f>
        <v>Наименование системы теплоснабжения </v>
      </c>
      <c r="AO4" s="1783"/>
      <c r="AP4" s="1783"/>
    </row>
    <row customHeight="1" ht="21">
      <c r="A5" s="1426"/>
      <c r="B5" s="1426"/>
      <c r="C5" s="1426"/>
      <c r="D5" s="1426"/>
      <c r="E5" s="2356"/>
      <c r="F5" s="2356"/>
      <c r="G5" s="2356"/>
      <c r="H5" s="2355">
        <v>1</v>
      </c>
      <c r="I5" s="1426"/>
      <c r="J5" s="1426"/>
      <c r="K5" s="1426"/>
      <c r="L5" s="1469"/>
      <c r="M5" s="1769"/>
      <c r="N5" s="1769"/>
      <c r="O5" s="1769"/>
      <c r="P5" s="1571"/>
      <c r="Q5" s="1570"/>
      <c r="R5" s="507"/>
      <c r="S5" s="2118">
        <f>INDEX(PT_DIFFERENTIATION_NUM_IST_TE,MATCH(D5,PT_DIFFERENTIATION_IST_TE_ID,0))</f>
      </c>
      <c r="T5" s="464" t="s">
        <v>401</v>
      </c>
      <c r="U5" s="454"/>
      <c r="V5" s="2315"/>
      <c r="W5" s="2315"/>
      <c r="X5" s="2315"/>
      <c r="Y5" s="2315"/>
      <c r="Z5" s="2315"/>
      <c r="AA5" s="2316"/>
      <c r="AB5" s="2112"/>
      <c r="AC5" s="2315"/>
      <c r="AD5" s="2315"/>
      <c r="AE5" s="2315"/>
      <c r="AF5" s="2315"/>
      <c r="AG5" s="2315"/>
      <c r="AH5" s="2315"/>
      <c r="AI5" s="2315"/>
      <c r="AJ5" s="2316"/>
      <c r="AK5" s="1416" t="s">
        <v>402</v>
      </c>
      <c r="AM5" s="1783"/>
      <c r="AN5" s="1783" t="str">
        <f>IF(T5="","",T5)</f>
        <v>Источник тепловой энергии  </v>
      </c>
      <c r="AO5" s="1783"/>
      <c r="AP5" s="1783"/>
    </row>
    <row s="8847" customFormat="1" customHeight="1" ht="0">
      <c r="A6" s="1534"/>
      <c r="B6" s="1534"/>
      <c r="C6" s="1534"/>
      <c r="D6" s="1534"/>
      <c r="E6" s="2356"/>
      <c r="F6" s="2356"/>
      <c r="G6" s="2356"/>
      <c r="H6" s="2356"/>
      <c r="I6" s="2185">
        <f>S5&amp;".1"</f>
      </c>
      <c r="J6" s="1534"/>
      <c r="K6" s="1534"/>
      <c r="L6" s="1540" t="s">
        <v>403</v>
      </c>
      <c r="M6" s="1404"/>
      <c r="N6" s="1404"/>
      <c r="O6" s="1404"/>
      <c r="P6" s="2324">
        <v>1</v>
      </c>
      <c r="Q6" s="2114"/>
      <c r="R6" s="510"/>
      <c r="S6" s="1197"/>
      <c r="T6" s="1542"/>
      <c r="U6" s="1543"/>
      <c r="V6" s="2363"/>
      <c r="W6" s="2363"/>
      <c r="X6" s="2363"/>
      <c r="Y6" s="2363"/>
      <c r="Z6" s="2363"/>
      <c r="AA6" s="2364"/>
      <c r="AB6" s="2120"/>
      <c r="AC6" s="2363"/>
      <c r="AD6" s="2363"/>
      <c r="AE6" s="2363"/>
      <c r="AF6" s="2363"/>
      <c r="AG6" s="2363"/>
      <c r="AH6" s="2363"/>
      <c r="AI6" s="2363"/>
      <c r="AJ6" s="2364"/>
      <c r="AK6" s="1544"/>
      <c r="AM6" s="1783"/>
      <c r="AN6" s="1783" t="str">
        <f>IF(T6="","",T6)</f>
        <v/>
      </c>
      <c r="AO6" s="1783"/>
      <c r="AP6" s="1783"/>
    </row>
    <row s="8847" customFormat="1" customHeight="1" ht="0">
      <c r="A7" s="1534"/>
      <c r="B7" s="1534"/>
      <c r="C7" s="1534"/>
      <c r="D7" s="1534"/>
      <c r="E7" s="2356"/>
      <c r="F7" s="2356"/>
      <c r="G7" s="2356"/>
      <c r="H7" s="2356"/>
      <c r="I7" s="2169"/>
      <c r="J7" s="2185">
        <f>S5&amp;".1"</f>
      </c>
      <c r="K7" s="1534"/>
      <c r="L7" s="1540"/>
      <c r="M7" s="1404"/>
      <c r="N7" s="1404"/>
      <c r="O7" s="1404"/>
      <c r="P7" s="2324"/>
      <c r="Q7" s="2324">
        <v>1</v>
      </c>
      <c r="R7" s="511"/>
      <c r="S7" s="1197"/>
      <c r="T7" s="1558"/>
      <c r="U7" s="1543"/>
      <c r="V7" s="2363"/>
      <c r="W7" s="2363"/>
      <c r="X7" s="2363"/>
      <c r="Y7" s="2363"/>
      <c r="Z7" s="2363"/>
      <c r="AA7" s="2364"/>
      <c r="AB7" s="2120"/>
      <c r="AC7" s="2363"/>
      <c r="AD7" s="2363"/>
      <c r="AE7" s="2363"/>
      <c r="AF7" s="2363"/>
      <c r="AG7" s="2363"/>
      <c r="AH7" s="2363"/>
      <c r="AI7" s="2363"/>
      <c r="AJ7" s="2364"/>
      <c r="AK7" s="1544"/>
      <c r="AM7" s="1783"/>
      <c r="AN7" s="1783" t="str">
        <f>IF(T7="","",T7)</f>
        <v/>
      </c>
      <c r="AO7" s="1783"/>
      <c r="AP7" s="1783"/>
    </row>
    <row customHeight="1" ht="21">
      <c r="A8" s="1426"/>
      <c r="B8" s="1426"/>
      <c r="C8" s="1426"/>
      <c r="D8" s="1426"/>
      <c r="E8" s="2356"/>
      <c r="F8" s="2356"/>
      <c r="G8" s="2356"/>
      <c r="H8" s="2356"/>
      <c r="I8" s="2169"/>
      <c r="J8" s="2169"/>
      <c r="K8" s="2185">
        <f>S5&amp;".1"</f>
      </c>
      <c r="L8" s="1469"/>
      <c r="P8" s="2324"/>
      <c r="Q8" s="2324"/>
      <c r="R8" s="2400">
        <v>1</v>
      </c>
      <c r="S8" s="2397">
        <f>$K8</f>
      </c>
      <c r="T8" s="2394"/>
      <c r="U8" s="454"/>
      <c r="V8" s="905"/>
      <c r="W8" s="1415"/>
      <c r="X8" s="2325"/>
      <c r="Y8" s="2195" t="s">
        <v>64</v>
      </c>
      <c r="Z8" s="2325"/>
      <c r="AA8" s="2195" t="s">
        <v>64</v>
      </c>
      <c r="AB8" s="2102"/>
      <c r="AC8" s="2406"/>
      <c r="AD8" s="905"/>
      <c r="AE8" s="1415"/>
      <c r="AF8" s="2115"/>
      <c r="AG8" s="2102" t="s">
        <v>64</v>
      </c>
      <c r="AH8" s="2115"/>
      <c r="AI8" s="2102" t="s">
        <v>64</v>
      </c>
      <c r="AJ8" s="1507"/>
      <c r="AK8" s="2350" t="s">
        <v>461</v>
      </c>
      <c r="AL8" s="1795">
        <f>STRCHECKDATE(V11:AJ11)</f>
      </c>
      <c r="AM8" s="1783"/>
      <c r="AN8" s="1783" t="str">
        <f>IF(T8="","",T8)</f>
        <v/>
      </c>
      <c r="AO8" s="1783"/>
      <c r="AP8" s="1783"/>
    </row>
    <row customHeight="1" ht="11.25">
      <c r="A9" s="1426"/>
      <c r="B9" s="1426"/>
      <c r="C9" s="1426"/>
      <c r="D9" s="1426"/>
      <c r="E9" s="2356"/>
      <c r="F9" s="2356"/>
      <c r="G9" s="2356"/>
      <c r="H9" s="2356"/>
      <c r="I9" s="2169"/>
      <c r="J9" s="2169"/>
      <c r="K9" s="2185"/>
      <c r="L9" s="1469"/>
      <c r="P9" s="2324"/>
      <c r="Q9" s="2324"/>
      <c r="R9" s="2400"/>
      <c r="S9" s="2398"/>
      <c r="T9" s="2395"/>
      <c r="U9" s="454"/>
      <c r="V9" s="1552"/>
      <c r="W9" s="1556"/>
      <c r="X9" s="2325"/>
      <c r="Y9" s="2195"/>
      <c r="Z9" s="2325"/>
      <c r="AA9" s="2195"/>
      <c r="AB9" s="2102"/>
      <c r="AC9" s="2406"/>
      <c r="AD9" s="1552"/>
      <c r="AE9" s="1655"/>
      <c r="AF9" s="1552"/>
      <c r="AG9" s="1552"/>
      <c r="AH9" s="1552"/>
      <c r="AI9" s="1552"/>
      <c r="AJ9" s="1549"/>
      <c r="AK9" s="2351"/>
      <c r="AM9" s="1783"/>
      <c r="AN9" s="1783"/>
      <c r="AO9" s="1783"/>
      <c r="AP9" s="1783"/>
    </row>
    <row customHeight="1" ht="11.25">
      <c r="A10" s="1426"/>
      <c r="B10" s="1426"/>
      <c r="C10" s="1426"/>
      <c r="D10" s="1426"/>
      <c r="E10" s="2356"/>
      <c r="F10" s="2356"/>
      <c r="G10" s="2356"/>
      <c r="H10" s="2356"/>
      <c r="I10" s="2169"/>
      <c r="J10" s="2169"/>
      <c r="K10" s="2185"/>
      <c r="L10" s="1469"/>
      <c r="P10" s="2324"/>
      <c r="Q10" s="2324"/>
      <c r="R10" s="2400"/>
      <c r="S10" s="2398"/>
      <c r="T10" s="2395"/>
      <c r="U10" s="454"/>
      <c r="V10" s="1552"/>
      <c r="W10" s="1556"/>
      <c r="X10" s="2325"/>
      <c r="Y10" s="2195"/>
      <c r="Z10" s="2325"/>
      <c r="AA10" s="2195"/>
      <c r="AB10" s="2102"/>
      <c r="AC10" s="2406"/>
      <c r="AD10" s="1552"/>
      <c r="AE10" s="1655"/>
      <c r="AF10" s="1552"/>
      <c r="AG10" s="1552"/>
      <c r="AH10" s="1552"/>
      <c r="AI10" s="1552"/>
      <c r="AJ10" s="1549"/>
      <c r="AK10" s="2351"/>
      <c r="AM10" s="1783"/>
      <c r="AN10" s="1783"/>
      <c r="AO10" s="1783"/>
      <c r="AP10" s="1783"/>
    </row>
    <row customHeight="1" ht="11.25">
      <c r="A11" s="1426"/>
      <c r="B11" s="1426"/>
      <c r="C11" s="1426"/>
      <c r="D11" s="1426"/>
      <c r="E11" s="2356"/>
      <c r="F11" s="2356"/>
      <c r="G11" s="2356"/>
      <c r="H11" s="2356"/>
      <c r="I11" s="2169"/>
      <c r="J11" s="2169"/>
      <c r="K11" s="2185"/>
      <c r="L11" s="1469"/>
      <c r="P11" s="2324"/>
      <c r="Q11" s="2324"/>
      <c r="R11" s="2400"/>
      <c r="S11" s="2399"/>
      <c r="T11" s="2396"/>
      <c r="U11" s="454"/>
      <c r="V11" s="1552"/>
      <c r="W11" s="1555" t="str">
        <f>X8&amp;"-"&amp;Z8</f>
        <v>-</v>
      </c>
      <c r="X11" s="2326"/>
      <c r="Y11" s="2195"/>
      <c r="Z11" s="2326"/>
      <c r="AA11" s="2195"/>
      <c r="AB11" s="2131"/>
      <c r="AC11" s="1324" t="s">
        <v>464</v>
      </c>
      <c r="AD11" s="1552"/>
      <c r="AE11" s="1553" t="str">
        <f>AF8&amp;"-"&amp;AH8</f>
        <v>-</v>
      </c>
      <c r="AF11" s="1552"/>
      <c r="AG11" s="1552"/>
      <c r="AH11" s="1552"/>
      <c r="AI11" s="1552"/>
      <c r="AJ11" s="1508"/>
      <c r="AK11" s="2351"/>
      <c r="AM11" s="1783"/>
      <c r="AN11" s="1783" t="str">
        <f>IF(T11="","",T11)</f>
        <v/>
      </c>
      <c r="AO11" s="1783"/>
      <c r="AP11" s="1783"/>
    </row>
    <row customHeight="1" ht="11.25">
      <c r="A12" s="1426"/>
      <c r="B12" s="1426"/>
      <c r="C12" s="1426"/>
      <c r="D12" s="1426"/>
      <c r="E12" s="2356"/>
      <c r="F12" s="2356"/>
      <c r="G12" s="2356"/>
      <c r="H12" s="2356"/>
      <c r="I12" s="2169"/>
      <c r="J12" s="2185"/>
      <c r="K12" s="1426"/>
      <c r="L12" s="1469"/>
      <c r="P12" s="2324"/>
      <c r="Q12" s="2324"/>
      <c r="R12" s="510"/>
      <c r="S12" s="1437"/>
      <c r="T12" s="441" t="s">
        <v>465</v>
      </c>
      <c r="U12" s="754"/>
      <c r="V12" s="754"/>
      <c r="W12" s="754"/>
      <c r="X12" s="754"/>
      <c r="Y12" s="754"/>
      <c r="Z12" s="754"/>
      <c r="AA12" s="754"/>
      <c r="AB12" s="754"/>
      <c r="AC12" s="754"/>
      <c r="AD12" s="754"/>
      <c r="AE12" s="754"/>
      <c r="AF12" s="754"/>
      <c r="AG12" s="754"/>
      <c r="AH12" s="754"/>
      <c r="AI12" s="754"/>
      <c r="AJ12" s="478"/>
      <c r="AK12" s="2352"/>
      <c r="AM12" s="1783"/>
      <c r="AN12" s="1783" t="str">
        <f>IF(T12="","",T12)</f>
        <v>Добавить строку</v>
      </c>
      <c r="AO12" s="1783"/>
      <c r="AP12" s="1783"/>
    </row>
    <row s="8847" customFormat="1" customHeight="1" ht="0">
      <c r="A13" s="1534"/>
      <c r="B13" s="1534"/>
      <c r="C13" s="1534"/>
      <c r="D13" s="1534"/>
      <c r="E13" s="2356"/>
      <c r="F13" s="2356"/>
      <c r="G13" s="2356"/>
      <c r="H13" s="2356"/>
      <c r="I13" s="2185"/>
      <c r="J13" s="1534"/>
      <c r="K13" s="1534"/>
      <c r="L13" s="1540"/>
      <c r="M13" s="1404"/>
      <c r="N13" s="1404"/>
      <c r="O13" s="1404"/>
      <c r="P13" s="2324"/>
      <c r="Q13" s="2114"/>
      <c r="R13" s="510"/>
      <c r="S13" s="1545"/>
      <c r="T13" s="1546"/>
      <c r="U13" s="1547"/>
      <c r="V13" s="1547"/>
      <c r="W13" s="1547"/>
      <c r="X13" s="1547"/>
      <c r="Y13" s="1547"/>
      <c r="Z13" s="1547"/>
      <c r="AA13" s="1547"/>
      <c r="AB13" s="1547"/>
      <c r="AC13" s="1547"/>
      <c r="AD13" s="1547"/>
      <c r="AE13" s="1547"/>
      <c r="AF13" s="1547"/>
      <c r="AG13" s="1547"/>
      <c r="AH13" s="1547"/>
      <c r="AI13" s="1547"/>
      <c r="AJ13" s="1547"/>
      <c r="AK13" s="1548"/>
      <c r="AM13" s="1783"/>
      <c r="AN13" s="1783" t="str">
        <f>IF(T13="","",T13)</f>
        <v/>
      </c>
      <c r="AO13" s="1783"/>
      <c r="AP13" s="1783"/>
    </row>
    <row s="8847" customFormat="1" customHeight="1" ht="0">
      <c r="A14" s="1534"/>
      <c r="B14" s="1534"/>
      <c r="C14" s="1534"/>
      <c r="D14" s="1534"/>
      <c r="E14" s="2356"/>
      <c r="F14" s="2356"/>
      <c r="G14" s="2356"/>
      <c r="H14" s="2355"/>
      <c r="I14" s="1534"/>
      <c r="J14" s="1534"/>
      <c r="K14" s="1534"/>
      <c r="L14" s="1540"/>
      <c r="M14" s="1537"/>
      <c r="N14" s="1537"/>
      <c r="O14" s="505"/>
      <c r="P14" s="534"/>
      <c r="Q14" s="1503"/>
      <c r="R14" s="1560"/>
      <c r="S14" s="1545"/>
      <c r="T14" s="1546"/>
      <c r="U14" s="1547"/>
      <c r="V14" s="1547"/>
      <c r="W14" s="1547"/>
      <c r="X14" s="1547"/>
      <c r="Y14" s="1547"/>
      <c r="Z14" s="1547"/>
      <c r="AA14" s="1547"/>
      <c r="AB14" s="1547"/>
      <c r="AC14" s="1547"/>
      <c r="AD14" s="1547"/>
      <c r="AE14" s="1547"/>
      <c r="AF14" s="1547"/>
      <c r="AG14" s="1547"/>
      <c r="AH14" s="1547"/>
      <c r="AI14" s="1547"/>
      <c r="AJ14" s="1547"/>
      <c r="AK14" s="1548"/>
      <c r="AM14" s="1783"/>
      <c r="AN14" s="1783" t="str">
        <f>IF(T14="","",T14)</f>
        <v/>
      </c>
      <c r="AO14" s="1783"/>
      <c r="AP14" s="1783"/>
    </row>
    <row s="8827" customFormat="1" customHeight="1" ht="0">
      <c r="A15" s="1534"/>
      <c r="B15" s="1534"/>
      <c r="C15" s="1534"/>
      <c r="D15" s="1533"/>
      <c r="E15" s="2356"/>
      <c r="F15" s="2356"/>
      <c r="G15" s="2355"/>
      <c r="H15" s="1533"/>
      <c r="I15" s="1533"/>
      <c r="J15" s="1533"/>
      <c r="K15" s="1533"/>
      <c r="L15" s="1536"/>
      <c r="M15" s="1537"/>
      <c r="N15" s="1537"/>
      <c r="O15" s="505"/>
      <c r="P15" s="1475"/>
      <c r="Q15" s="1476"/>
      <c r="R15" s="1475"/>
      <c r="S15" s="1481"/>
      <c r="T15" s="1484" t="s">
        <v>414</v>
      </c>
      <c r="U15" s="1483"/>
      <c r="V15" s="1483"/>
      <c r="W15" s="1483"/>
      <c r="X15" s="1483"/>
      <c r="Y15" s="1483"/>
      <c r="Z15" s="1483"/>
      <c r="AA15" s="1483"/>
      <c r="AB15" s="1483"/>
      <c r="AC15" s="1483"/>
      <c r="AD15" s="1483"/>
      <c r="AE15" s="1483"/>
      <c r="AF15" s="1483"/>
      <c r="AG15" s="1483"/>
      <c r="AH15" s="1483"/>
      <c r="AI15" s="1483"/>
      <c r="AJ15" s="1483"/>
      <c r="AK15" s="1483"/>
      <c r="AM15" s="1409"/>
      <c r="AN15" s="1409" t="str">
        <f>IF(T15="","",T15)</f>
        <v>Добавить источник для дифференциации</v>
      </c>
      <c r="AO15" s="1409"/>
      <c r="AP15" s="1409"/>
    </row>
    <row s="8827" customFormat="1" customHeight="1" ht="0">
      <c r="A16" s="1534"/>
      <c r="B16" s="1534"/>
      <c r="C16" s="1533"/>
      <c r="D16" s="1533"/>
      <c r="E16" s="2356"/>
      <c r="F16" s="2355"/>
      <c r="G16" s="1533"/>
      <c r="H16" s="1533"/>
      <c r="I16" s="1533"/>
      <c r="J16" s="1533"/>
      <c r="K16" s="1533"/>
      <c r="L16" s="1536"/>
      <c r="M16" s="1538"/>
      <c r="N16" s="1538"/>
      <c r="O16" s="505"/>
      <c r="P16" s="1475"/>
      <c r="Q16" s="1476"/>
      <c r="R16" s="1475"/>
      <c r="S16" s="1481"/>
      <c r="T16" s="1484" t="s">
        <v>251</v>
      </c>
      <c r="U16" s="1483"/>
      <c r="V16" s="1483"/>
      <c r="W16" s="1483"/>
      <c r="X16" s="1483"/>
      <c r="Y16" s="1483"/>
      <c r="Z16" s="1483"/>
      <c r="AA16" s="1483"/>
      <c r="AB16" s="1483"/>
      <c r="AC16" s="1483"/>
      <c r="AD16" s="1483"/>
      <c r="AE16" s="1483"/>
      <c r="AF16" s="1483"/>
      <c r="AG16" s="1483"/>
      <c r="AH16" s="1483"/>
      <c r="AI16" s="1483"/>
      <c r="AJ16" s="1483"/>
      <c r="AK16" s="1483"/>
      <c r="AM16" s="1409"/>
      <c r="AN16" s="1409" t="str">
        <f>IF(T16="","",T16)</f>
        <v>Добавить централизованную систему для дифференциации</v>
      </c>
      <c r="AO16" s="1409"/>
      <c r="AP16" s="1409"/>
    </row>
    <row s="8847" customFormat="1" customHeight="1" ht="0">
      <c r="A17" s="1534"/>
      <c r="B17" s="1534"/>
      <c r="C17" s="1534"/>
      <c r="D17" s="1534"/>
      <c r="E17" s="2355"/>
      <c r="F17" s="1534"/>
      <c r="G17" s="1534"/>
      <c r="H17" s="1534"/>
      <c r="I17" s="1534"/>
      <c r="J17" s="1534"/>
      <c r="K17" s="1534"/>
      <c r="L17" s="1540"/>
      <c r="M17" s="1538"/>
      <c r="N17" s="1538"/>
      <c r="O17" s="505"/>
      <c r="P17" s="534"/>
      <c r="Q17" s="1503"/>
      <c r="R17" s="534"/>
      <c r="S17" s="1481"/>
      <c r="T17" s="1484" t="s">
        <v>252</v>
      </c>
      <c r="U17" s="1483"/>
      <c r="V17" s="1483"/>
      <c r="W17" s="1483"/>
      <c r="X17" s="1483"/>
      <c r="Y17" s="1483"/>
      <c r="Z17" s="1483"/>
      <c r="AA17" s="1483"/>
      <c r="AB17" s="1483"/>
      <c r="AC17" s="1483"/>
      <c r="AD17" s="1483"/>
      <c r="AE17" s="1483"/>
      <c r="AF17" s="1483"/>
      <c r="AG17" s="1483"/>
      <c r="AH17" s="1483"/>
      <c r="AI17" s="1483"/>
      <c r="AJ17" s="1483"/>
      <c r="AK17" s="1483"/>
      <c r="AM17" s="1783"/>
      <c r="AN17" s="1783" t="str">
        <f>IF(T17="","",T17)</f>
        <v>Добавить территорию для дифференциации</v>
      </c>
      <c r="AO17" s="1783"/>
      <c r="AP17" s="1783"/>
    </row>
    <row r="19" customHeight="1" ht="14.25">
      <c r="AC19" s="1661"/>
      <c r="AD19" s="1562"/>
      <c r="AE19" s="1563"/>
      <c r="AF19" s="1895"/>
      <c r="AG19" s="2126" t="s">
        <v>64</v>
      </c>
      <c r="AH19" s="1895"/>
      <c r="AI19" s="2126" t="s">
        <v>64</v>
      </c>
    </row>
    <row customHeight="1" ht="14.25">
      <c r="AL20" s="1800"/>
      <c r="AM20" s="1800"/>
      <c r="AN20" s="1800"/>
      <c r="AO20" s="1800"/>
      <c r="AP20" s="1800"/>
    </row>
    <row customHeight="1" ht="14.25">
      <c r="O21" s="1504" t="s">
        <v>415</v>
      </c>
      <c r="X21" s="1504"/>
      <c r="Z21" s="1504"/>
      <c r="AF21" s="1504"/>
      <c r="AH21" s="1504"/>
      <c r="AL21" s="1800"/>
      <c r="AM21" s="1800"/>
      <c r="AN21" s="1800"/>
      <c r="AO21" s="1800"/>
      <c r="AP21" s="1800"/>
    </row>
    <row customHeight="1" ht="14.25">
      <c r="AL22" s="1800"/>
      <c r="AM22" s="1800"/>
      <c r="AN22" s="1800"/>
      <c r="AO22" s="1800"/>
      <c r="AP22" s="1800"/>
    </row>
    <row s="8950" customFormat="1" customHeight="1" ht="14.25">
      <c r="A23" s="2132"/>
      <c r="B23" s="2132"/>
      <c r="C23" s="2132"/>
      <c r="D23" s="2132"/>
      <c r="E23" s="2132"/>
      <c r="F23" s="2132"/>
      <c r="G23" s="2132"/>
      <c r="H23" s="2132"/>
      <c r="I23" s="2132"/>
      <c r="J23" s="2132"/>
      <c r="K23" s="2132"/>
      <c r="L23" s="2132"/>
      <c r="M23" s="2133"/>
      <c r="N23" s="2133"/>
      <c r="O23" s="2134" t="s">
        <v>416</v>
      </c>
      <c r="P23" s="1667"/>
      <c r="Q23" s="1669"/>
      <c r="R23" s="1669"/>
      <c r="Y23" s="1666" t="s">
        <v>418</v>
      </c>
      <c r="AA23" s="1666" t="s">
        <v>419</v>
      </c>
      <c r="AC23" s="1666" t="s">
        <v>467</v>
      </c>
      <c r="AG23" s="1666" t="s">
        <v>418</v>
      </c>
      <c r="AI23" s="1666" t="s">
        <v>419</v>
      </c>
      <c r="AL23" s="1670"/>
      <c r="AM23" s="1670"/>
      <c r="AN23" s="1670"/>
      <c r="AO23" s="1670"/>
      <c r="AP23" s="1670"/>
    </row>
    <row customHeight="1" ht="14.25">
      <c r="O24" s="1469"/>
      <c r="AL24" s="1800"/>
      <c r="AM24" s="1800"/>
      <c r="AN24" s="1800"/>
      <c r="AO24" s="1800"/>
      <c r="AP24" s="1800"/>
    </row>
    <row customHeight="1" ht="14.25">
      <c r="O25" s="1469"/>
      <c r="AL25" s="1800"/>
      <c r="AM25" s="1800"/>
      <c r="AN25" s="1800"/>
      <c r="AO25" s="1800"/>
      <c r="AP25" s="1800"/>
    </row>
    <row customHeight="1" ht="14.25">
      <c r="Q26" s="445"/>
      <c r="R26" s="530"/>
      <c r="S26" s="1434"/>
      <c r="T26" s="611"/>
      <c r="U26" s="611"/>
      <c r="V26" s="1794"/>
      <c r="W26" s="1794"/>
      <c r="X26" s="1794"/>
      <c r="Y26" s="1794"/>
      <c r="Z26" s="1794"/>
      <c r="AA26" s="1794"/>
      <c r="AB26" s="1794"/>
      <c r="AC26" s="1794"/>
      <c r="AD26" s="1794"/>
      <c r="AE26" s="1794"/>
      <c r="AF26" s="1794"/>
      <c r="AG26" s="1794"/>
      <c r="AH26" s="1794"/>
      <c r="AI26" s="1794"/>
    </row>
    <row customHeight="1" ht="38.25">
      <c r="Q27" s="445"/>
      <c r="R27" s="530"/>
      <c r="S27" s="2353" t="str">
        <f>IF(TEMPLATE_GROUP="P",PT_P_FORM_HEAT_7_NAME_FORM,PT_R_FORM_HEAT_24_NAME_FORM)</f>
        <v>Форма 6. Информация об установленной плате за подключение (технологическое присоединение) к системе теплоснабжения,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7" s="2353"/>
      <c r="U27" s="2353"/>
      <c r="V27" s="2353"/>
      <c r="W27" s="2353"/>
      <c r="X27" s="2353"/>
      <c r="Y27" s="2353"/>
      <c r="Z27" s="2353"/>
      <c r="AA27" s="2353"/>
      <c r="AB27" s="2353"/>
      <c r="AC27" s="2353"/>
      <c r="AD27" s="2353"/>
      <c r="AE27" s="2353"/>
      <c r="AF27" s="2353"/>
      <c r="AG27" s="2353"/>
      <c r="AH27" s="2353"/>
      <c r="AI27" s="1401"/>
    </row>
    <row customHeight="1" ht="14.25">
      <c r="Q28" s="445"/>
      <c r="R28" s="530"/>
      <c r="S28" s="2354" t="str">
        <f>IF(org=0,"Не определено",org)</f>
        <v>АО "Теплокоммунэнерго"</v>
      </c>
      <c r="T28" s="2354"/>
      <c r="U28" s="2354"/>
      <c r="V28" s="2354"/>
      <c r="W28" s="2354"/>
      <c r="X28" s="2354"/>
      <c r="Y28" s="2354"/>
      <c r="Z28" s="2354"/>
      <c r="AA28" s="2354"/>
      <c r="AB28" s="2354"/>
      <c r="AC28" s="2354"/>
      <c r="AD28" s="2354"/>
      <c r="AE28" s="2354"/>
      <c r="AF28" s="2354"/>
      <c r="AG28" s="2354"/>
      <c r="AH28" s="2354"/>
      <c r="AI28" s="1401"/>
    </row>
    <row customHeight="1" ht="14.25" hidden="1">
      <c r="Q29" s="445"/>
      <c r="R29" s="530"/>
      <c r="S29" s="1434"/>
      <c r="T29" s="611"/>
      <c r="U29" s="611"/>
      <c r="V29" s="476"/>
      <c r="W29" s="476"/>
      <c r="X29" s="476"/>
      <c r="Y29" s="476"/>
      <c r="Z29" s="476"/>
      <c r="AA29" s="476"/>
      <c r="AB29" s="476"/>
      <c r="AC29" s="476"/>
      <c r="AD29" s="476"/>
      <c r="AE29" s="476"/>
      <c r="AF29" s="476"/>
      <c r="AG29" s="476"/>
      <c r="AH29" s="476"/>
      <c r="AI29" s="476"/>
      <c r="AJ29" s="1794"/>
    </row>
    <row s="8735" customFormat="1" customHeight="1" ht="25.5" hidden="1">
      <c r="A30" s="1406"/>
      <c r="B30" s="1406"/>
      <c r="C30" s="1406"/>
      <c r="D30" s="1406"/>
      <c r="E30" s="1406"/>
      <c r="F30" s="1406"/>
      <c r="G30" s="1406"/>
      <c r="H30" s="1406"/>
      <c r="I30" s="1406"/>
      <c r="J30" s="1406"/>
      <c r="K30" s="1406"/>
      <c r="L30" s="1539"/>
      <c r="M30" s="1406"/>
      <c r="N30" s="1406"/>
      <c r="O30" s="1406"/>
      <c r="P30" s="1527"/>
      <c r="Q30" s="1527"/>
      <c r="S30" s="2311" t="s">
        <v>38</v>
      </c>
      <c r="T30" s="2311"/>
      <c r="U30" s="1531"/>
      <c r="V30" s="2313" t="str">
        <f>IF(TITLE_NAME_OR_PR_CHANGE="",IF(TITLE_NAME_OR_PR="","",TITLE_NAME_OR_PR),TITLE_NAME_OR_PR_CHANGE)</f>
        <v>Региональная служба по тарифам Ростовской области</v>
      </c>
      <c r="W30" s="2313"/>
      <c r="X30" s="2313"/>
      <c r="Y30" s="2313"/>
      <c r="Z30" s="2313"/>
      <c r="AA30" s="1794"/>
      <c r="AB30" s="1794"/>
      <c r="AC30" s="2313"/>
      <c r="AD30" s="2313"/>
      <c r="AE30" s="2313"/>
      <c r="AF30" s="2313"/>
      <c r="AG30" s="2313"/>
      <c r="AH30" s="2313"/>
      <c r="AI30" s="1794"/>
      <c r="AJ30" s="1794"/>
      <c r="AK30" s="434"/>
      <c r="AL30" s="522"/>
      <c r="AM30" s="522"/>
      <c r="AN30" s="522"/>
      <c r="AO30" s="522"/>
      <c r="AP30" s="522"/>
    </row>
    <row s="8735" customFormat="1" customHeight="1" ht="18.75" hidden="1">
      <c r="A31" s="1406"/>
      <c r="B31" s="1406"/>
      <c r="C31" s="1406"/>
      <c r="D31" s="1406"/>
      <c r="E31" s="1406"/>
      <c r="F31" s="1406"/>
      <c r="G31" s="1406"/>
      <c r="H31" s="1406"/>
      <c r="I31" s="1406"/>
      <c r="J31" s="1406"/>
      <c r="K31" s="1406"/>
      <c r="L31" s="1539"/>
      <c r="M31" s="1406"/>
      <c r="N31" s="1406"/>
      <c r="O31" s="1406"/>
      <c r="P31" s="1527"/>
      <c r="Q31" s="1527"/>
      <c r="S31" s="2311" t="s">
        <v>421</v>
      </c>
      <c r="T31" s="2311"/>
      <c r="U31" s="1531"/>
      <c r="V31" s="2312" t="str">
        <f>IF(TITLE_DATE_PR_CHANGE="",IF(TITLE_DATE_PR="","",TITLE_DATE_PR),TITLE_DATE_PR_CHANGE)</f>
        <v>45279</v>
      </c>
      <c r="W31" s="2312"/>
      <c r="X31" s="2312"/>
      <c r="Y31" s="2312"/>
      <c r="Z31" s="2312"/>
      <c r="AA31" s="1794"/>
      <c r="AB31" s="1794"/>
      <c r="AC31" s="2312"/>
      <c r="AD31" s="2312"/>
      <c r="AE31" s="2312"/>
      <c r="AF31" s="2312"/>
      <c r="AG31" s="2312"/>
      <c r="AH31" s="2312"/>
      <c r="AI31" s="1794"/>
      <c r="AJ31" s="1794"/>
      <c r="AK31" s="434"/>
      <c r="AL31" s="522"/>
      <c r="AM31" s="522"/>
      <c r="AN31" s="522"/>
      <c r="AO31" s="522"/>
      <c r="AP31" s="522"/>
    </row>
    <row s="8735" customFormat="1" customHeight="1" ht="18.75" hidden="1">
      <c r="A32" s="1406"/>
      <c r="B32" s="1406"/>
      <c r="C32" s="1406"/>
      <c r="D32" s="1406"/>
      <c r="E32" s="1406"/>
      <c r="F32" s="1406"/>
      <c r="G32" s="1406"/>
      <c r="H32" s="1406"/>
      <c r="I32" s="1406"/>
      <c r="J32" s="1406"/>
      <c r="K32" s="1406"/>
      <c r="L32" s="1539"/>
      <c r="M32" s="1406"/>
      <c r="N32" s="1406"/>
      <c r="O32" s="1406"/>
      <c r="P32" s="1527"/>
      <c r="Q32" s="1527"/>
      <c r="S32" s="2311" t="s">
        <v>422</v>
      </c>
      <c r="T32" s="2311"/>
      <c r="U32" s="1531"/>
      <c r="V32" s="2313" t="str">
        <f>IF(TITLE_NUMBER_PR_CHANGE="",IF(TITLE_NUMBER_PR="","",TITLE_NUMBER_PR),TITLE_NUMBER_PR_CHANGE)</f>
        <v>877</v>
      </c>
      <c r="W32" s="2313"/>
      <c r="X32" s="2313"/>
      <c r="Y32" s="2313"/>
      <c r="Z32" s="2313"/>
      <c r="AA32" s="1794"/>
      <c r="AB32" s="1794"/>
      <c r="AC32" s="2313"/>
      <c r="AD32" s="2313"/>
      <c r="AE32" s="2313"/>
      <c r="AF32" s="2313"/>
      <c r="AG32" s="2313"/>
      <c r="AH32" s="2313"/>
      <c r="AI32" s="1794"/>
      <c r="AJ32" s="1794"/>
      <c r="AK32" s="434"/>
      <c r="AL32" s="522"/>
      <c r="AM32" s="522"/>
      <c r="AN32" s="522"/>
      <c r="AO32" s="522"/>
      <c r="AP32" s="522"/>
    </row>
    <row s="8735" customFormat="1" customHeight="1" ht="18.75" hidden="1">
      <c r="A33" s="1406"/>
      <c r="B33" s="1406"/>
      <c r="C33" s="1406"/>
      <c r="D33" s="1406"/>
      <c r="E33" s="1406"/>
      <c r="F33" s="1406"/>
      <c r="G33" s="1406"/>
      <c r="H33" s="1406"/>
      <c r="I33" s="1406"/>
      <c r="J33" s="1406"/>
      <c r="K33" s="1406"/>
      <c r="L33" s="1539"/>
      <c r="M33" s="1406"/>
      <c r="N33" s="1406"/>
      <c r="O33" s="1406"/>
      <c r="P33" s="1527"/>
      <c r="Q33" s="1527"/>
      <c r="S33" s="2311" t="s">
        <v>40</v>
      </c>
      <c r="T33" s="2311"/>
      <c r="U33" s="1531"/>
      <c r="V33" s="2313" t="str">
        <f>IF(TITLE_IST_PUB_CHANGE="",IF(TITLE_IST_PUB="","",TITLE_IST_PUB),TITLE_IST_PUB_CHANGE)</f>
        <v>Официальный портал правовой информации Ростовской области</v>
      </c>
      <c r="W33" s="2313"/>
      <c r="X33" s="2313"/>
      <c r="Y33" s="2313"/>
      <c r="Z33" s="2313"/>
      <c r="AA33" s="1794"/>
      <c r="AB33" s="1794"/>
      <c r="AC33" s="2313"/>
      <c r="AD33" s="2313"/>
      <c r="AE33" s="2313"/>
      <c r="AF33" s="2313"/>
      <c r="AG33" s="2313"/>
      <c r="AH33" s="2313"/>
      <c r="AI33" s="1794"/>
      <c r="AJ33" s="1794"/>
      <c r="AK33" s="434"/>
      <c r="AL33" s="522"/>
      <c r="AM33" s="522"/>
      <c r="AN33" s="522"/>
      <c r="AO33" s="522"/>
      <c r="AP33" s="522"/>
    </row>
    <row customHeight="1" ht="14.25" hidden="1">
      <c r="Q34" s="445"/>
      <c r="R34" s="530"/>
      <c r="S34" s="1434"/>
      <c r="T34" s="611"/>
      <c r="U34" s="611"/>
      <c r="V34" s="476"/>
      <c r="W34" s="476"/>
      <c r="X34" s="476"/>
      <c r="Y34" s="476"/>
      <c r="Z34" s="476"/>
      <c r="AA34" s="476"/>
      <c r="AB34" s="476"/>
      <c r="AC34" s="476"/>
      <c r="AD34" s="476"/>
      <c r="AE34" s="476"/>
      <c r="AF34" s="476"/>
      <c r="AG34" s="476"/>
      <c r="AH34" s="476"/>
      <c r="AI34" s="476"/>
      <c r="AJ34" s="1794"/>
    </row>
    <row s="8735" customFormat="1" customHeight="1" ht="18.75" hidden="1">
      <c r="A35" s="1406"/>
      <c r="B35" s="1406"/>
      <c r="C35" s="1406"/>
      <c r="D35" s="1406"/>
      <c r="E35" s="1406"/>
      <c r="F35" s="1406"/>
      <c r="G35" s="1406"/>
      <c r="H35" s="1406"/>
      <c r="I35" s="1406"/>
      <c r="J35" s="1406"/>
      <c r="K35" s="1406"/>
      <c r="L35" s="1539"/>
      <c r="M35" s="1406"/>
      <c r="N35" s="1406"/>
      <c r="O35" s="1406"/>
      <c r="P35" s="1527"/>
      <c r="Q35" s="1527"/>
      <c r="S35" s="2311" t="s">
        <v>421</v>
      </c>
      <c r="T35" s="2311"/>
      <c r="U35" s="1531"/>
      <c r="V35" s="2312" t="str">
        <f>IF(TITLE_DATE_PR_CHANGE="",IF(TITLE_DATE_PR="","",TITLE_DATE_PR),TITLE_DATE_PR_CHANGE)</f>
        <v>45279</v>
      </c>
      <c r="W35" s="2312"/>
      <c r="X35" s="2312"/>
      <c r="Y35" s="2312"/>
      <c r="Z35" s="2312"/>
      <c r="AA35" s="1794"/>
      <c r="AB35" s="1794"/>
      <c r="AC35" s="2312"/>
      <c r="AD35" s="2312"/>
      <c r="AE35" s="2312"/>
      <c r="AF35" s="2312"/>
      <c r="AG35" s="2312"/>
      <c r="AH35" s="2312"/>
      <c r="AI35" s="1794"/>
      <c r="AJ35" s="1794"/>
      <c r="AK35" s="434"/>
      <c r="AL35" s="522"/>
      <c r="AM35" s="522"/>
      <c r="AN35" s="522"/>
      <c r="AO35" s="522"/>
      <c r="AP35" s="522"/>
    </row>
    <row s="8735" customFormat="1" customHeight="1" ht="18" hidden="1">
      <c r="A36" s="1406"/>
      <c r="B36" s="1406"/>
      <c r="C36" s="1406"/>
      <c r="D36" s="1406"/>
      <c r="E36" s="1406"/>
      <c r="F36" s="1406"/>
      <c r="G36" s="1406"/>
      <c r="H36" s="1406"/>
      <c r="I36" s="1406"/>
      <c r="J36" s="1406"/>
      <c r="K36" s="1406"/>
      <c r="L36" s="1539"/>
      <c r="M36" s="1406"/>
      <c r="N36" s="1406"/>
      <c r="O36" s="1406"/>
      <c r="P36" s="1527"/>
      <c r="Q36" s="1527"/>
      <c r="S36" s="2311" t="s">
        <v>422</v>
      </c>
      <c r="T36" s="2311"/>
      <c r="U36" s="1531"/>
      <c r="V36" s="2313" t="str">
        <f>IF(TITLE_NUMBER_PR_CHANGE="",IF(TITLE_NUMBER_PR="","",TITLE_NUMBER_PR),TITLE_NUMBER_PR_CHANGE)</f>
        <v>877</v>
      </c>
      <c r="W36" s="2313"/>
      <c r="X36" s="2313"/>
      <c r="Y36" s="2313"/>
      <c r="Z36" s="2313"/>
      <c r="AA36" s="1794"/>
      <c r="AB36" s="1794"/>
      <c r="AC36" s="2313"/>
      <c r="AD36" s="2313"/>
      <c r="AE36" s="2313"/>
      <c r="AF36" s="2313"/>
      <c r="AG36" s="2313"/>
      <c r="AH36" s="2313"/>
      <c r="AI36" s="1794"/>
      <c r="AJ36" s="1794"/>
      <c r="AK36" s="434"/>
      <c r="AL36" s="522"/>
      <c r="AM36" s="522"/>
      <c r="AN36" s="522"/>
      <c r="AO36" s="522"/>
      <c r="AP36" s="522"/>
    </row>
    <row s="8735" customFormat="1" customHeight="1" ht="0.75">
      <c r="A37" s="1406"/>
      <c r="B37" s="1406"/>
      <c r="C37" s="1406"/>
      <c r="D37" s="1406"/>
      <c r="E37" s="1406"/>
      <c r="F37" s="1406"/>
      <c r="G37" s="1406"/>
      <c r="H37" s="1406"/>
      <c r="I37" s="1406"/>
      <c r="J37" s="1406"/>
      <c r="K37" s="1406"/>
      <c r="L37" s="1539"/>
      <c r="M37" s="1406"/>
      <c r="N37" s="1406"/>
      <c r="O37" s="1406"/>
      <c r="P37" s="1527"/>
      <c r="Q37" s="1527"/>
      <c r="S37" s="1794"/>
      <c r="T37" s="1794"/>
      <c r="U37" s="2130"/>
      <c r="V37" s="1794"/>
      <c r="W37" s="1794"/>
      <c r="X37" s="1794"/>
      <c r="Y37" s="1794"/>
      <c r="Z37" s="1794"/>
      <c r="AA37" s="1801" t="s">
        <v>425</v>
      </c>
      <c r="AB37" s="1801"/>
      <c r="AC37" s="1794"/>
      <c r="AD37" s="1794"/>
      <c r="AE37" s="1794"/>
      <c r="AF37" s="1794"/>
      <c r="AG37" s="1794"/>
      <c r="AH37" s="1794"/>
      <c r="AI37" s="1801" t="s">
        <v>425</v>
      </c>
      <c r="AL37" s="522"/>
      <c r="AM37" s="522"/>
      <c r="AN37" s="522"/>
      <c r="AO37" s="522"/>
      <c r="AP37" s="522"/>
    </row>
    <row customHeight="1" ht="14.25">
      <c r="Q38" s="445"/>
      <c r="R38" s="530"/>
      <c r="S38" s="1434"/>
      <c r="T38" s="611"/>
      <c r="U38" s="1402"/>
      <c r="V38" s="2337"/>
      <c r="W38" s="2337"/>
      <c r="X38" s="2337"/>
      <c r="Y38" s="2337"/>
      <c r="Z38" s="2337"/>
      <c r="AA38" s="2337"/>
      <c r="AB38" s="2117"/>
      <c r="AC38" s="2337"/>
      <c r="AD38" s="2337"/>
      <c r="AE38" s="2337"/>
      <c r="AF38" s="2337"/>
      <c r="AG38" s="2337"/>
      <c r="AH38" s="2337"/>
      <c r="AI38" s="2337"/>
    </row>
    <row customHeight="1" ht="14.25">
      <c r="Q39" s="445"/>
      <c r="R39" s="530"/>
      <c r="S39" s="2185" t="s">
        <v>300</v>
      </c>
      <c r="T39" s="2185"/>
      <c r="U39" s="2185"/>
      <c r="V39" s="2185"/>
      <c r="W39" s="2185"/>
      <c r="X39" s="2185"/>
      <c r="Y39" s="2185"/>
      <c r="Z39" s="2185"/>
      <c r="AA39" s="2242"/>
      <c r="AB39" s="2242"/>
      <c r="AC39" s="2242"/>
      <c r="AD39" s="2185"/>
      <c r="AE39" s="2185"/>
      <c r="AF39" s="2185"/>
      <c r="AG39" s="2185"/>
      <c r="AH39" s="2185"/>
      <c r="AI39" s="2185"/>
      <c r="AJ39" s="2185"/>
      <c r="AK39" s="2185" t="s">
        <v>301</v>
      </c>
    </row>
    <row customHeight="1" ht="14.25">
      <c r="Q40" s="445"/>
      <c r="R40" s="530"/>
      <c r="S40" s="2338" t="s">
        <v>85</v>
      </c>
      <c r="T40" s="2275" t="s">
        <v>497</v>
      </c>
      <c r="U40" s="491"/>
      <c r="V40" s="2340"/>
      <c r="W40" s="2340"/>
      <c r="X40" s="2340"/>
      <c r="Y40" s="2340"/>
      <c r="Z40" s="2340"/>
      <c r="AA40" s="2275" t="s">
        <v>428</v>
      </c>
      <c r="AB40" s="2274" t="s">
        <v>498</v>
      </c>
      <c r="AC40" s="2274" t="s">
        <v>471</v>
      </c>
      <c r="AD40" s="2361" t="s">
        <v>427</v>
      </c>
      <c r="AE40" s="2361"/>
      <c r="AF40" s="2340"/>
      <c r="AG40" s="2340"/>
      <c r="AH40" s="2341"/>
      <c r="AI40" s="2342" t="s">
        <v>428</v>
      </c>
      <c r="AJ40" s="2345" t="s">
        <v>430</v>
      </c>
      <c r="AK40" s="2185"/>
    </row>
    <row customHeight="1" ht="33.75">
      <c r="Q41" s="445"/>
      <c r="R41" s="530"/>
      <c r="S41" s="2338"/>
      <c r="T41" s="2275"/>
      <c r="U41" s="1186"/>
      <c r="V41" s="2243" t="s">
        <v>474</v>
      </c>
      <c r="W41" s="2244"/>
      <c r="X41" s="2359" t="s">
        <v>434</v>
      </c>
      <c r="Y41" s="2377"/>
      <c r="Z41" s="2377"/>
      <c r="AA41" s="2275"/>
      <c r="AB41" s="2274"/>
      <c r="AC41" s="2274"/>
      <c r="AD41" s="2171" t="s">
        <v>475</v>
      </c>
      <c r="AE41" s="2185"/>
      <c r="AF41" s="2377" t="s">
        <v>434</v>
      </c>
      <c r="AG41" s="2377"/>
      <c r="AH41" s="2378"/>
      <c r="AI41" s="2343"/>
      <c r="AJ41" s="2346"/>
      <c r="AK41" s="2185"/>
    </row>
    <row customHeight="1" ht="14.25">
      <c r="Q42" s="445"/>
      <c r="R42" s="530"/>
      <c r="S42" s="2338"/>
      <c r="T42" s="2275"/>
      <c r="U42" s="1186"/>
      <c r="V42" s="2251"/>
      <c r="W42" s="2252"/>
      <c r="X42" s="2360"/>
      <c r="Y42" s="2379"/>
      <c r="Z42" s="2379"/>
      <c r="AA42" s="2275"/>
      <c r="AB42" s="2274"/>
      <c r="AC42" s="2274"/>
      <c r="AD42" s="2414"/>
      <c r="AE42" s="2405"/>
      <c r="AF42" s="2379"/>
      <c r="AG42" s="2379"/>
      <c r="AH42" s="2380"/>
      <c r="AI42" s="2343"/>
      <c r="AJ42" s="2346"/>
      <c r="AK42" s="2185"/>
    </row>
    <row customHeight="1" ht="14.25">
      <c r="A43" s="1425"/>
      <c r="B43" s="1425" t="s">
        <v>132</v>
      </c>
      <c r="C43" s="1425" t="s">
        <v>133</v>
      </c>
      <c r="D43" s="1425" t="s">
        <v>134</v>
      </c>
      <c r="E43" s="1469" t="s">
        <v>435</v>
      </c>
      <c r="F43" s="1469" t="s">
        <v>436</v>
      </c>
      <c r="G43" s="1469" t="s">
        <v>437</v>
      </c>
      <c r="H43" s="1469" t="s">
        <v>438</v>
      </c>
      <c r="I43" s="1469" t="s">
        <v>439</v>
      </c>
      <c r="J43" s="1469" t="s">
        <v>440</v>
      </c>
      <c r="K43" s="1469" t="s">
        <v>441</v>
      </c>
      <c r="L43" s="1469" t="s">
        <v>416</v>
      </c>
      <c r="Q43" s="445"/>
      <c r="R43" s="530"/>
      <c r="S43" s="2338"/>
      <c r="T43" s="2275"/>
      <c r="U43" s="456"/>
      <c r="V43" s="2110" t="s">
        <v>476</v>
      </c>
      <c r="W43" s="2110" t="s">
        <v>477</v>
      </c>
      <c r="X43" s="2098" t="s">
        <v>444</v>
      </c>
      <c r="Y43" s="2334" t="s">
        <v>445</v>
      </c>
      <c r="Z43" s="2372"/>
      <c r="AA43" s="2275"/>
      <c r="AB43" s="2274"/>
      <c r="AC43" s="2274"/>
      <c r="AD43" s="2128" t="s">
        <v>476</v>
      </c>
      <c r="AE43" s="2119" t="s">
        <v>477</v>
      </c>
      <c r="AF43" s="2098" t="s">
        <v>444</v>
      </c>
      <c r="AG43" s="2334" t="s">
        <v>445</v>
      </c>
      <c r="AH43" s="2335"/>
      <c r="AI43" s="2344"/>
      <c r="AJ43" s="2347"/>
      <c r="AK43" s="2185"/>
    </row>
    <row s="8844" customFormat="1" customHeight="1" ht="11.25" hidden="1">
      <c r="A44" s="1425"/>
      <c r="B44" s="1425"/>
      <c r="C44" s="1425"/>
      <c r="D44" s="1425"/>
      <c r="E44" s="1425"/>
      <c r="F44" s="1425"/>
      <c r="G44" s="1425"/>
      <c r="H44" s="1425"/>
      <c r="I44" s="1425"/>
      <c r="J44" s="1425"/>
      <c r="K44" s="1425"/>
      <c r="L44" s="1469"/>
      <c r="M44" s="2125"/>
      <c r="N44" s="2125"/>
      <c r="O44" s="2125"/>
      <c r="P44" s="664"/>
      <c r="Q44" s="1412"/>
      <c r="R44" s="1412">
        <v>1</v>
      </c>
      <c r="S44" s="1436" t="s">
        <v>106</v>
      </c>
      <c r="T44" s="1413" t="s">
        <v>107</v>
      </c>
      <c r="U44" s="1403" t="str">
        <f>OFFSET(U44,0,-1)</f>
        <v>2</v>
      </c>
      <c r="V44" s="2116">
        <f>OFFSET(V44,0,-1)+1</f>
        <v>3</v>
      </c>
      <c r="W44" s="2116">
        <f>OFFSET(W44,0,-1)+1</f>
        <v>4</v>
      </c>
      <c r="X44" s="2116">
        <f>OFFSET(X44,0,-1)+1</f>
        <v>5</v>
      </c>
      <c r="Y44" s="2336">
        <f>OFFSET(Y44,0,-1)+1</f>
        <v>6</v>
      </c>
      <c r="Z44" s="2336"/>
      <c r="AA44" s="1500">
        <f>OFFSET(AA44,0,-2)+1</f>
        <v>7</v>
      </c>
      <c r="AB44" s="1500"/>
      <c r="AC44" s="1500"/>
      <c r="AD44" s="2116">
        <f>OFFSET(AD44,0,-1)+1</f>
        <v>1</v>
      </c>
      <c r="AE44" s="2116">
        <f>OFFSET(AE44,0,-1)+1</f>
        <v>2</v>
      </c>
      <c r="AF44" s="2116">
        <f>OFFSET(AF44,0,-1)+1</f>
        <v>3</v>
      </c>
      <c r="AG44" s="2336">
        <f>OFFSET(AG44,0,-1)+1</f>
        <v>4</v>
      </c>
      <c r="AH44" s="2336"/>
      <c r="AI44" s="2116">
        <f>OFFSET(AI44,0,-2)+1</f>
        <v>5</v>
      </c>
      <c r="AJ44" s="1403">
        <f>OFFSET(AJ44,0,-1)</f>
        <v>5</v>
      </c>
      <c r="AK44" s="2116">
        <f>OFFSET(AK44,0,-1)+1</f>
        <v>6</v>
      </c>
      <c r="AL44" s="1795"/>
      <c r="AM44" s="1795"/>
      <c r="AN44" s="1795"/>
      <c r="AO44" s="1795"/>
      <c r="AP44" s="1795"/>
    </row>
    <row customHeight="1" ht="102">
      <c r="A45" s="1426" t="s">
        <v>201</v>
      </c>
      <c r="B45" s="1426"/>
      <c r="C45" s="1426"/>
      <c r="D45" s="1426"/>
      <c r="E45" s="2355">
        <v>1</v>
      </c>
      <c r="F45" s="1426"/>
      <c r="G45" s="1426"/>
      <c r="H45" s="1426"/>
      <c r="I45" s="1426"/>
      <c r="J45" s="1426"/>
      <c r="K45" s="1426"/>
      <c r="L45" s="1469"/>
      <c r="M45" s="1769"/>
      <c r="N45" s="1769"/>
      <c r="O45" s="1769"/>
      <c r="P45" s="1568"/>
      <c r="Q45" s="1027"/>
      <c r="R45" s="509"/>
      <c r="S45" s="2118">
        <f>INDEX(PT_DIFFERENTIATION_NUM_NTAR,MATCH(A45,PT_DIFFERENTIATION_NTAR_ID,0))</f>
        <v>0</v>
      </c>
      <c r="T45" s="1684" t="s">
        <v>120</v>
      </c>
      <c r="U45" s="454"/>
      <c r="V45" s="2315"/>
      <c r="W45" s="2315"/>
      <c r="X45" s="2315"/>
      <c r="Y45" s="2315"/>
      <c r="Z45" s="2315"/>
      <c r="AA45" s="2316"/>
      <c r="AB45" s="2112"/>
      <c r="AC45" s="2315"/>
      <c r="AD45" s="2315"/>
      <c r="AE45" s="2315"/>
      <c r="AF45" s="2315"/>
      <c r="AG45" s="2315"/>
      <c r="AH45" s="2315"/>
      <c r="AI45" s="2315"/>
      <c r="AJ45" s="2316"/>
      <c r="AK45" s="1416"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M45" s="1783"/>
      <c r="AN45" s="1783" t="str">
        <f>IF(T45="","",T45)</f>
        <v>Наименование тарифа</v>
      </c>
      <c r="AO45" s="1783"/>
      <c r="AP45" s="1783"/>
    </row>
    <row customHeight="1" ht="21">
      <c r="A46" s="1426" t="s">
        <v>201</v>
      </c>
      <c r="B46" s="1426" t="s">
        <v>202</v>
      </c>
      <c r="C46" s="1426"/>
      <c r="D46" s="1426"/>
      <c r="E46" s="2356"/>
      <c r="F46" s="2355">
        <v>1</v>
      </c>
      <c r="G46" s="1426"/>
      <c r="H46" s="1426"/>
      <c r="I46" s="1426"/>
      <c r="J46" s="1426"/>
      <c r="K46" s="1426"/>
      <c r="L46" s="1469"/>
      <c r="M46" s="1769"/>
      <c r="N46" s="1769"/>
      <c r="O46" s="1769"/>
      <c r="P46" s="2129"/>
      <c r="Q46" s="1570"/>
      <c r="R46" s="507"/>
      <c r="S46" s="2118" t="str">
        <f>INDEX(PT_DIFFERENTIATION_NUM_TER,MATCH(B46,PT_DIFFERENTIATION_TER_ID,0))</f>
        <v>.</v>
      </c>
      <c r="T46" s="1681" t="s">
        <v>397</v>
      </c>
      <c r="U46" s="454"/>
      <c r="V46" s="2315"/>
      <c r="W46" s="2315"/>
      <c r="X46" s="2315"/>
      <c r="Y46" s="2315"/>
      <c r="Z46" s="2315"/>
      <c r="AA46" s="2316"/>
      <c r="AB46" s="2112"/>
      <c r="AC46" s="2315"/>
      <c r="AD46" s="2315"/>
      <c r="AE46" s="2315"/>
      <c r="AF46" s="2315"/>
      <c r="AG46" s="2315"/>
      <c r="AH46" s="2315"/>
      <c r="AI46" s="2315"/>
      <c r="AJ46" s="2316"/>
      <c r="AK46" s="1416" t="s">
        <v>398</v>
      </c>
      <c r="AM46" s="1783"/>
      <c r="AN46" s="1783" t="str">
        <f>IF(T46="","",T46)</f>
        <v>Территория действия тарифа</v>
      </c>
      <c r="AO46" s="1783"/>
      <c r="AP46" s="1783"/>
    </row>
    <row customHeight="1" ht="23.25">
      <c r="A47" s="1426" t="s">
        <v>201</v>
      </c>
      <c r="B47" s="1426" t="s">
        <v>202</v>
      </c>
      <c r="C47" s="1426" t="s">
        <v>203</v>
      </c>
      <c r="D47" s="1426"/>
      <c r="E47" s="2356"/>
      <c r="F47" s="2356"/>
      <c r="G47" s="2355">
        <v>1</v>
      </c>
      <c r="H47" s="1426"/>
      <c r="I47" s="1426"/>
      <c r="J47" s="1426"/>
      <c r="K47" s="1426"/>
      <c r="L47" s="1469"/>
      <c r="M47" s="1769"/>
      <c r="N47" s="1769"/>
      <c r="O47" s="1769"/>
      <c r="P47" s="1571"/>
      <c r="Q47" s="1570"/>
      <c r="R47" s="507"/>
      <c r="S47" s="2118" t="str">
        <f>INDEX(PT_DIFFERENTIATION_NUM_CS,MATCH(C47,PT_DIFFERENTIATION_CS_ID,0))</f>
        <v>..</v>
      </c>
      <c r="T47" s="463" t="s">
        <v>399</v>
      </c>
      <c r="U47" s="454"/>
      <c r="V47" s="2315"/>
      <c r="W47" s="2315"/>
      <c r="X47" s="2315"/>
      <c r="Y47" s="2315"/>
      <c r="Z47" s="2315"/>
      <c r="AA47" s="2316"/>
      <c r="AB47" s="2112"/>
      <c r="AC47" s="2315"/>
      <c r="AD47" s="2315"/>
      <c r="AE47" s="2315"/>
      <c r="AF47" s="2315"/>
      <c r="AG47" s="2315"/>
      <c r="AH47" s="2315"/>
      <c r="AI47" s="2315"/>
      <c r="AJ47" s="2316"/>
      <c r="AK47" s="1416" t="s">
        <v>400</v>
      </c>
      <c r="AM47" s="1783"/>
      <c r="AN47" s="1783" t="str">
        <f>IF(T47="","",T47)</f>
        <v>Наименование системы теплоснабжения </v>
      </c>
      <c r="AO47" s="1783"/>
      <c r="AP47" s="1783"/>
    </row>
    <row customHeight="1" ht="21">
      <c r="A48" s="1426" t="s">
        <v>201</v>
      </c>
      <c r="B48" s="1426" t="s">
        <v>202</v>
      </c>
      <c r="C48" s="1426" t="s">
        <v>203</v>
      </c>
      <c r="D48" s="1426" t="s">
        <v>204</v>
      </c>
      <c r="E48" s="2356"/>
      <c r="F48" s="2356"/>
      <c r="G48" s="2356"/>
      <c r="H48" s="2355">
        <v>1</v>
      </c>
      <c r="I48" s="1426"/>
      <c r="J48" s="1426"/>
      <c r="K48" s="1426"/>
      <c r="L48" s="1469"/>
      <c r="M48" s="1769"/>
      <c r="N48" s="1769"/>
      <c r="O48" s="1769"/>
      <c r="P48" s="1571"/>
      <c r="Q48" s="1570"/>
      <c r="R48" s="507"/>
      <c r="S48" s="2118" t="str">
        <f>INDEX(PT_DIFFERENTIATION_NUM_IST_TE,MATCH(D48,PT_DIFFERENTIATION_IST_TE_ID,0))</f>
        <v>...</v>
      </c>
      <c r="T48" s="464" t="s">
        <v>401</v>
      </c>
      <c r="U48" s="454"/>
      <c r="V48" s="2315"/>
      <c r="W48" s="2315"/>
      <c r="X48" s="2315"/>
      <c r="Y48" s="2315"/>
      <c r="Z48" s="2315"/>
      <c r="AA48" s="2316"/>
      <c r="AB48" s="2112"/>
      <c r="AC48" s="2315"/>
      <c r="AD48" s="2315"/>
      <c r="AE48" s="2315"/>
      <c r="AF48" s="2315"/>
      <c r="AG48" s="2315"/>
      <c r="AH48" s="2315"/>
      <c r="AI48" s="2315"/>
      <c r="AJ48" s="2316"/>
      <c r="AK48" s="1416" t="s">
        <v>402</v>
      </c>
      <c r="AM48" s="1783"/>
      <c r="AN48" s="1783" t="str">
        <f>IF(T48="","",T48)</f>
        <v>Источник тепловой энергии  </v>
      </c>
      <c r="AO48" s="1783"/>
      <c r="AP48" s="1783"/>
    </row>
    <row s="8847" customFormat="1" customHeight="1" ht="0">
      <c r="A49" s="1534" t="s">
        <v>201</v>
      </c>
      <c r="B49" s="1534" t="s">
        <v>202</v>
      </c>
      <c r="C49" s="1534" t="s">
        <v>203</v>
      </c>
      <c r="D49" s="1534" t="s">
        <v>204</v>
      </c>
      <c r="E49" s="2356"/>
      <c r="F49" s="2356"/>
      <c r="G49" s="2356"/>
      <c r="H49" s="2356"/>
      <c r="I49" s="2185" t="str">
        <f>S48&amp;".1"</f>
        <v>....1</v>
      </c>
      <c r="J49" s="1534"/>
      <c r="K49" s="1534"/>
      <c r="L49" s="1540" t="s">
        <v>403</v>
      </c>
      <c r="M49" s="1404"/>
      <c r="N49" s="1404"/>
      <c r="O49" s="1404"/>
      <c r="P49" s="2324">
        <v>1</v>
      </c>
      <c r="Q49" s="2114"/>
      <c r="R49" s="510"/>
      <c r="S49" s="1197"/>
      <c r="T49" s="1542"/>
      <c r="U49" s="1543"/>
      <c r="V49" s="2363"/>
      <c r="W49" s="2363"/>
      <c r="X49" s="2363"/>
      <c r="Y49" s="2363"/>
      <c r="Z49" s="2363"/>
      <c r="AA49" s="2364"/>
      <c r="AB49" s="2120"/>
      <c r="AC49" s="2363"/>
      <c r="AD49" s="2363"/>
      <c r="AE49" s="2363"/>
      <c r="AF49" s="2363"/>
      <c r="AG49" s="2363"/>
      <c r="AH49" s="2363"/>
      <c r="AI49" s="2363"/>
      <c r="AJ49" s="2364"/>
      <c r="AK49" s="1544"/>
      <c r="AM49" s="1783"/>
      <c r="AN49" s="1783" t="str">
        <f>IF(T49="","",T49)</f>
        <v/>
      </c>
      <c r="AO49" s="1783"/>
      <c r="AP49" s="1783"/>
    </row>
    <row s="8847" customFormat="1" customHeight="1" ht="0">
      <c r="A50" s="1534" t="s">
        <v>201</v>
      </c>
      <c r="B50" s="1534" t="s">
        <v>202</v>
      </c>
      <c r="C50" s="1534" t="s">
        <v>203</v>
      </c>
      <c r="D50" s="1534" t="s">
        <v>204</v>
      </c>
      <c r="E50" s="2356"/>
      <c r="F50" s="2356"/>
      <c r="G50" s="2356"/>
      <c r="H50" s="2356"/>
      <c r="I50" s="2169"/>
      <c r="J50" s="2185" t="str">
        <f>S48&amp;".1"</f>
        <v>....1</v>
      </c>
      <c r="K50" s="1534"/>
      <c r="L50" s="1540"/>
      <c r="M50" s="1404"/>
      <c r="N50" s="1404"/>
      <c r="O50" s="1404"/>
      <c r="P50" s="2324"/>
      <c r="Q50" s="2324">
        <v>1</v>
      </c>
      <c r="R50" s="511"/>
      <c r="S50" s="1197"/>
      <c r="T50" s="1558"/>
      <c r="U50" s="1543"/>
      <c r="V50" s="2363"/>
      <c r="W50" s="2363"/>
      <c r="X50" s="2363"/>
      <c r="Y50" s="2363"/>
      <c r="Z50" s="2363"/>
      <c r="AA50" s="2364"/>
      <c r="AB50" s="2120"/>
      <c r="AC50" s="2363"/>
      <c r="AD50" s="2363"/>
      <c r="AE50" s="2363"/>
      <c r="AF50" s="2363"/>
      <c r="AG50" s="2363"/>
      <c r="AH50" s="2363"/>
      <c r="AI50" s="2363"/>
      <c r="AJ50" s="2364"/>
      <c r="AK50" s="1544"/>
      <c r="AM50" s="1783"/>
      <c r="AN50" s="1783" t="str">
        <f>IF(T50="","",T50)</f>
        <v/>
      </c>
      <c r="AO50" s="1783"/>
      <c r="AP50" s="1783"/>
    </row>
    <row customHeight="1" ht="21">
      <c r="A51" s="1426" t="s">
        <v>201</v>
      </c>
      <c r="B51" s="1426" t="s">
        <v>202</v>
      </c>
      <c r="C51" s="1426" t="s">
        <v>203</v>
      </c>
      <c r="D51" s="1426" t="s">
        <v>204</v>
      </c>
      <c r="E51" s="2356"/>
      <c r="F51" s="2356"/>
      <c r="G51" s="2356"/>
      <c r="H51" s="2356"/>
      <c r="I51" s="2169"/>
      <c r="J51" s="2169"/>
      <c r="K51" s="2101" t="str">
        <f>S48&amp;".1"</f>
        <v>....1</v>
      </c>
      <c r="L51" s="1469"/>
      <c r="P51" s="2324"/>
      <c r="Q51" s="2324"/>
      <c r="R51" s="511">
        <v>1</v>
      </c>
      <c r="S51" s="2122" t="str">
        <f>$K51</f>
        <v>....1</v>
      </c>
      <c r="T51" s="2121"/>
      <c r="U51" s="454"/>
      <c r="V51" s="905"/>
      <c r="W51" s="1415"/>
      <c r="X51" s="2115"/>
      <c r="Y51" s="2102" t="s">
        <v>64</v>
      </c>
      <c r="Z51" s="2115"/>
      <c r="AA51" s="2102" t="s">
        <v>64</v>
      </c>
      <c r="AB51" s="2124"/>
      <c r="AC51" s="2123" t="s">
        <v>24</v>
      </c>
      <c r="AD51" s="905"/>
      <c r="AE51" s="1415"/>
      <c r="AF51" s="2115"/>
      <c r="AG51" s="2102" t="s">
        <v>64</v>
      </c>
      <c r="AH51" s="2115"/>
      <c r="AI51" s="2102" t="s">
        <v>64</v>
      </c>
      <c r="AJ51" s="1507"/>
      <c r="AK51" s="2350" t="s">
        <v>478</v>
      </c>
      <c r="AL51" s="1795">
        <f>STRCHECKDATE(#REF!)</f>
      </c>
      <c r="AM51" s="1783"/>
      <c r="AN51" s="1783" t="str">
        <f>IF(T51="","",T51)</f>
        <v/>
      </c>
      <c r="AO51" s="1783"/>
      <c r="AP51" s="1783"/>
    </row>
    <row customHeight="1" ht="11.25">
      <c r="A52" s="1426" t="s">
        <v>201</v>
      </c>
      <c r="B52" s="1426" t="s">
        <v>202</v>
      </c>
      <c r="C52" s="1426" t="s">
        <v>203</v>
      </c>
      <c r="D52" s="1426" t="s">
        <v>204</v>
      </c>
      <c r="E52" s="2356"/>
      <c r="F52" s="2356"/>
      <c r="G52" s="2356"/>
      <c r="H52" s="2356"/>
      <c r="I52" s="2169"/>
      <c r="J52" s="2185"/>
      <c r="K52" s="1426"/>
      <c r="L52" s="1469"/>
      <c r="P52" s="2324"/>
      <c r="Q52" s="2324"/>
      <c r="R52" s="510"/>
      <c r="S52" s="1437"/>
      <c r="T52" s="441" t="s">
        <v>465</v>
      </c>
      <c r="U52" s="754"/>
      <c r="V52" s="754"/>
      <c r="W52" s="754"/>
      <c r="X52" s="754"/>
      <c r="Y52" s="754"/>
      <c r="Z52" s="754"/>
      <c r="AA52" s="478"/>
      <c r="AB52" s="754"/>
      <c r="AC52" s="754"/>
      <c r="AD52" s="754"/>
      <c r="AE52" s="754"/>
      <c r="AF52" s="754"/>
      <c r="AG52" s="754"/>
      <c r="AH52" s="754"/>
      <c r="AI52" s="754"/>
      <c r="AJ52" s="478"/>
      <c r="AK52" s="2352"/>
      <c r="AM52" s="1783"/>
      <c r="AN52" s="1783" t="str">
        <f>IF(T52="","",T52)</f>
        <v>Добавить строку</v>
      </c>
      <c r="AO52" s="1783"/>
      <c r="AP52" s="1783"/>
    </row>
    <row s="8847" customFormat="1" customHeight="1" ht="5.25">
      <c r="A53" s="1534" t="s">
        <v>201</v>
      </c>
      <c r="B53" s="1534" t="s">
        <v>202</v>
      </c>
      <c r="C53" s="1534" t="s">
        <v>203</v>
      </c>
      <c r="D53" s="1534" t="s">
        <v>204</v>
      </c>
      <c r="E53" s="2356"/>
      <c r="F53" s="2356"/>
      <c r="G53" s="2356"/>
      <c r="H53" s="2356"/>
      <c r="I53" s="2185"/>
      <c r="J53" s="1534"/>
      <c r="K53" s="1534"/>
      <c r="L53" s="1540"/>
      <c r="M53" s="1404"/>
      <c r="N53" s="1404"/>
      <c r="O53" s="1404"/>
      <c r="P53" s="2324"/>
      <c r="Q53" s="2114"/>
      <c r="R53" s="510"/>
      <c r="S53" s="1545"/>
      <c r="T53" s="1546" t="s">
        <v>412</v>
      </c>
      <c r="U53" s="1547"/>
      <c r="V53" s="1547"/>
      <c r="W53" s="1547"/>
      <c r="X53" s="1547"/>
      <c r="Y53" s="1547"/>
      <c r="Z53" s="1547"/>
      <c r="AA53" s="1547"/>
      <c r="AB53" s="1547"/>
      <c r="AC53" s="1547"/>
      <c r="AD53" s="1547"/>
      <c r="AE53" s="1547"/>
      <c r="AF53" s="1547"/>
      <c r="AG53" s="1547"/>
      <c r="AH53" s="1547"/>
      <c r="AI53" s="1547"/>
      <c r="AJ53" s="1547"/>
      <c r="AK53" s="1548"/>
      <c r="AM53" s="1783"/>
      <c r="AN53" s="1783" t="str">
        <f>IF(T53="","",T53)</f>
        <v>Добавить группу потребителей</v>
      </c>
      <c r="AO53" s="1783"/>
      <c r="AP53" s="1783"/>
    </row>
    <row s="8844" customFormat="1" customHeight="1" ht="5.25">
      <c r="A54" s="1534" t="s">
        <v>201</v>
      </c>
      <c r="B54" s="1534" t="s">
        <v>202</v>
      </c>
      <c r="C54" s="1534" t="s">
        <v>203</v>
      </c>
      <c r="D54" s="1534" t="s">
        <v>204</v>
      </c>
      <c r="E54" s="2356"/>
      <c r="F54" s="2356"/>
      <c r="G54" s="2356"/>
      <c r="H54" s="2355"/>
      <c r="I54" s="1534"/>
      <c r="J54" s="1534"/>
      <c r="K54" s="1534"/>
      <c r="L54" s="1540"/>
      <c r="M54" s="1537"/>
      <c r="N54" s="1537"/>
      <c r="O54" s="505"/>
      <c r="P54" s="534"/>
      <c r="Q54" s="1503"/>
      <c r="R54" s="1559"/>
      <c r="S54" s="1545"/>
      <c r="T54" s="1546"/>
      <c r="U54" s="1547"/>
      <c r="V54" s="1547"/>
      <c r="W54" s="1547"/>
      <c r="X54" s="1547"/>
      <c r="Y54" s="1547"/>
      <c r="Z54" s="1547"/>
      <c r="AA54" s="1547"/>
      <c r="AB54" s="1547"/>
      <c r="AC54" s="1547"/>
      <c r="AD54" s="1547"/>
      <c r="AE54" s="1547"/>
      <c r="AF54" s="1547"/>
      <c r="AG54" s="1547"/>
      <c r="AH54" s="1547"/>
      <c r="AI54" s="1547"/>
      <c r="AJ54" s="1547"/>
      <c r="AK54" s="1548"/>
      <c r="AL54" s="1795"/>
      <c r="AM54" s="1783"/>
      <c r="AN54" s="1783" t="str">
        <f>IF(T54="","",T54)</f>
        <v/>
      </c>
      <c r="AO54" s="1783"/>
      <c r="AP54" s="1783"/>
    </row>
    <row s="8827" customFormat="1" customHeight="1" ht="5.25">
      <c r="A55" s="1534" t="s">
        <v>201</v>
      </c>
      <c r="B55" s="1534" t="s">
        <v>202</v>
      </c>
      <c r="C55" s="1534" t="s">
        <v>203</v>
      </c>
      <c r="D55" s="1533"/>
      <c r="E55" s="2356"/>
      <c r="F55" s="2356"/>
      <c r="G55" s="2355"/>
      <c r="H55" s="1533"/>
      <c r="I55" s="1533"/>
      <c r="J55" s="1533"/>
      <c r="K55" s="1533"/>
      <c r="L55" s="1536"/>
      <c r="M55" s="1537"/>
      <c r="N55" s="1537"/>
      <c r="O55" s="505"/>
      <c r="P55" s="1475"/>
      <c r="Q55" s="1476"/>
      <c r="R55" s="1475"/>
      <c r="S55" s="1481"/>
      <c r="T55" s="1484" t="s">
        <v>414</v>
      </c>
      <c r="U55" s="1483"/>
      <c r="V55" s="1483"/>
      <c r="W55" s="1483"/>
      <c r="X55" s="1483"/>
      <c r="Y55" s="1483"/>
      <c r="Z55" s="1483"/>
      <c r="AA55" s="1483"/>
      <c r="AB55" s="1483"/>
      <c r="AC55" s="1483"/>
      <c r="AD55" s="1483"/>
      <c r="AE55" s="1483"/>
      <c r="AF55" s="1483"/>
      <c r="AG55" s="1483"/>
      <c r="AH55" s="1483"/>
      <c r="AI55" s="1483"/>
      <c r="AJ55" s="1483"/>
      <c r="AK55" s="1483"/>
      <c r="AM55" s="1409"/>
      <c r="AN55" s="1409" t="str">
        <f>IF(T55="","",T55)</f>
        <v>Добавить источник для дифференциации</v>
      </c>
      <c r="AO55" s="1409"/>
      <c r="AP55" s="1409"/>
    </row>
    <row s="8827" customFormat="1" customHeight="1" ht="5.25">
      <c r="A56" s="1534" t="s">
        <v>201</v>
      </c>
      <c r="B56" s="1534" t="s">
        <v>202</v>
      </c>
      <c r="C56" s="1533"/>
      <c r="D56" s="1533"/>
      <c r="E56" s="2356"/>
      <c r="F56" s="2355"/>
      <c r="G56" s="1533"/>
      <c r="H56" s="1533"/>
      <c r="I56" s="1533"/>
      <c r="J56" s="1533"/>
      <c r="K56" s="1533"/>
      <c r="L56" s="1536"/>
      <c r="M56" s="1538"/>
      <c r="N56" s="1538"/>
      <c r="O56" s="505"/>
      <c r="P56" s="1475"/>
      <c r="Q56" s="1476"/>
      <c r="R56" s="1475"/>
      <c r="S56" s="1481"/>
      <c r="T56" s="1484" t="s">
        <v>251</v>
      </c>
      <c r="U56" s="1483"/>
      <c r="V56" s="1483"/>
      <c r="W56" s="1483"/>
      <c r="X56" s="1483"/>
      <c r="Y56" s="1483"/>
      <c r="Z56" s="1483"/>
      <c r="AA56" s="1483"/>
      <c r="AB56" s="1483"/>
      <c r="AC56" s="1483"/>
      <c r="AD56" s="1483"/>
      <c r="AE56" s="1483"/>
      <c r="AF56" s="1483"/>
      <c r="AG56" s="1483"/>
      <c r="AH56" s="1483"/>
      <c r="AI56" s="1483"/>
      <c r="AJ56" s="1483"/>
      <c r="AK56" s="1483"/>
      <c r="AM56" s="1409"/>
      <c r="AN56" s="1409" t="str">
        <f>IF(T56="","",T56)</f>
        <v>Добавить централизованную систему для дифференциации</v>
      </c>
      <c r="AO56" s="1409"/>
      <c r="AP56" s="1409"/>
    </row>
    <row s="8847" customFormat="1" customHeight="1" ht="5.25">
      <c r="A57" s="1534" t="s">
        <v>201</v>
      </c>
      <c r="B57" s="1534"/>
      <c r="C57" s="1534"/>
      <c r="D57" s="1534"/>
      <c r="E57" s="2356"/>
      <c r="F57" s="1534"/>
      <c r="G57" s="1534"/>
      <c r="H57" s="1534"/>
      <c r="I57" s="1534"/>
      <c r="J57" s="1534"/>
      <c r="K57" s="1534"/>
      <c r="L57" s="1540"/>
      <c r="M57" s="1538"/>
      <c r="N57" s="1538"/>
      <c r="O57" s="505"/>
      <c r="P57" s="534"/>
      <c r="Q57" s="1503"/>
      <c r="R57" s="534"/>
      <c r="S57" s="1481"/>
      <c r="T57" s="1484" t="s">
        <v>252</v>
      </c>
      <c r="U57" s="1483"/>
      <c r="V57" s="1483"/>
      <c r="W57" s="1483"/>
      <c r="X57" s="1483"/>
      <c r="Y57" s="1483"/>
      <c r="Z57" s="1483"/>
      <c r="AA57" s="1483"/>
      <c r="AB57" s="1483"/>
      <c r="AC57" s="1483"/>
      <c r="AD57" s="1483"/>
      <c r="AE57" s="1483"/>
      <c r="AF57" s="1483"/>
      <c r="AG57" s="1483"/>
      <c r="AH57" s="1483"/>
      <c r="AI57" s="1483"/>
      <c r="AJ57" s="1483"/>
      <c r="AK57" s="1483"/>
      <c r="AM57" s="1783"/>
      <c r="AN57" s="1783" t="str">
        <f>IF(T57="","",T57)</f>
        <v>Добавить территорию для дифференциации</v>
      </c>
      <c r="AO57" s="1783"/>
      <c r="AP57" s="1783"/>
    </row>
    <row s="8847" customFormat="1" customHeight="1" ht="5.25">
      <c r="A58" s="1534" t="s">
        <v>201</v>
      </c>
      <c r="B58" s="1534"/>
      <c r="C58" s="1534"/>
      <c r="D58" s="1534"/>
      <c r="E58" s="2355"/>
      <c r="F58" s="1534"/>
      <c r="G58" s="1534"/>
      <c r="H58" s="1534"/>
      <c r="I58" s="1534"/>
      <c r="J58" s="1534"/>
      <c r="K58" s="1534"/>
      <c r="L58" s="1540"/>
      <c r="M58" s="1538"/>
      <c r="N58" s="1538"/>
      <c r="O58" s="505"/>
      <c r="P58" s="534"/>
      <c r="Q58" s="1503"/>
      <c r="R58" s="534"/>
      <c r="S58" s="1481"/>
      <c r="T58" s="1484" t="s">
        <v>252</v>
      </c>
      <c r="U58" s="1483"/>
      <c r="V58" s="1483"/>
      <c r="W58" s="1483"/>
      <c r="X58" s="1483"/>
      <c r="Y58" s="1483"/>
      <c r="Z58" s="1483"/>
      <c r="AA58" s="1483"/>
      <c r="AB58" s="1483"/>
      <c r="AC58" s="1483"/>
      <c r="AD58" s="1483"/>
      <c r="AE58" s="1483"/>
      <c r="AF58" s="1483"/>
      <c r="AG58" s="1483"/>
      <c r="AH58" s="1483"/>
      <c r="AI58" s="1483"/>
      <c r="AJ58" s="1483"/>
      <c r="AK58" s="1483"/>
      <c r="AM58" s="1783"/>
      <c r="AN58" s="1783" t="str">
        <f>IF(T58="","",T58)</f>
        <v>Добавить территорию для дифференциации</v>
      </c>
      <c r="AO58" s="1783"/>
      <c r="AP58" s="1783"/>
    </row>
    <row s="8827" customFormat="1" customHeight="1" ht="5.25">
      <c r="A59" s="1533"/>
      <c r="B59" s="1533"/>
      <c r="C59" s="1533"/>
      <c r="D59" s="1533"/>
      <c r="E59" s="1534"/>
      <c r="F59" s="1533"/>
      <c r="G59" s="1533"/>
      <c r="H59" s="1533"/>
      <c r="I59" s="1533"/>
      <c r="J59" s="1533"/>
      <c r="K59" s="1533"/>
      <c r="L59" s="1536"/>
      <c r="M59" s="1538"/>
      <c r="N59" s="1538"/>
      <c r="O59" s="505"/>
      <c r="P59" s="1475"/>
      <c r="Q59" s="1476"/>
      <c r="R59" s="1475"/>
      <c r="S59" s="1481"/>
      <c r="T59" s="1484" t="s">
        <v>253</v>
      </c>
      <c r="U59" s="1483"/>
      <c r="V59" s="1483"/>
      <c r="W59" s="1483"/>
      <c r="X59" s="1483"/>
      <c r="Y59" s="1483"/>
      <c r="Z59" s="1483"/>
      <c r="AA59" s="1483"/>
      <c r="AB59" s="1483"/>
      <c r="AC59" s="1483"/>
      <c r="AD59" s="1483"/>
      <c r="AE59" s="1483"/>
      <c r="AF59" s="1483"/>
      <c r="AG59" s="1483"/>
      <c r="AH59" s="1483"/>
      <c r="AI59" s="1483"/>
      <c r="AJ59" s="1483"/>
      <c r="AK59" s="1483"/>
      <c r="AM59" s="1409"/>
      <c r="AN59" s="1409" t="str">
        <f>IF(T59="","",T59)</f>
        <v>Добавить наименование тарифа</v>
      </c>
      <c r="AO59" s="1409"/>
      <c r="AP59" s="1409"/>
    </row>
    <row customHeight="1" ht="11.25">
      <c r="M60" s="1790"/>
      <c r="N60" s="1790"/>
      <c r="O60" s="1794"/>
      <c r="P60" s="1525"/>
      <c r="Q60" s="1525"/>
      <c r="R60" s="1790"/>
      <c r="S60" s="1790"/>
      <c r="AL60" s="1790"/>
      <c r="AM60" s="1790"/>
      <c r="AN60" s="1790"/>
      <c r="AO60" s="1790"/>
      <c r="AP60" s="1790"/>
    </row>
    <row customHeight="1" ht="18.75">
      <c r="O61" s="1794"/>
      <c r="S61" s="1411"/>
      <c r="T61" s="2319"/>
      <c r="U61" s="2319"/>
      <c r="V61" s="2319"/>
      <c r="W61" s="2319"/>
      <c r="X61" s="2319"/>
      <c r="Y61" s="2319"/>
      <c r="Z61" s="2319"/>
      <c r="AA61" s="2319"/>
      <c r="AB61" s="2319"/>
      <c r="AC61" s="2319"/>
      <c r="AD61" s="2319"/>
      <c r="AE61" s="2319"/>
      <c r="AF61" s="2319"/>
      <c r="AG61" s="2319"/>
      <c r="AH61" s="2319"/>
      <c r="AI61" s="2319"/>
      <c r="AJ61" s="2319"/>
      <c r="AK61" s="2319"/>
    </row>
    <row customHeight="1" ht="19.5">
      <c r="O62" s="1794"/>
      <c r="T62" s="2319"/>
      <c r="U62" s="2319"/>
      <c r="V62" s="2319"/>
      <c r="W62" s="2319"/>
      <c r="X62" s="2319"/>
      <c r="Y62" s="2319"/>
      <c r="Z62" s="2319"/>
      <c r="AA62" s="2319"/>
      <c r="AB62" s="2319"/>
      <c r="AC62" s="2319"/>
      <c r="AD62" s="2319"/>
      <c r="AE62" s="2319"/>
      <c r="AF62" s="2319"/>
      <c r="AG62" s="2319"/>
      <c r="AH62" s="2319"/>
      <c r="AI62" s="2319"/>
      <c r="AJ62" s="2319"/>
      <c r="AK62" s="2319"/>
    </row>
    <row customHeight="1" ht="14.25">
      <c r="O63" s="1794"/>
      <c r="T63" s="2113"/>
      <c r="U63" s="2113"/>
      <c r="V63" s="2113"/>
      <c r="W63" s="2113"/>
      <c r="X63" s="2113"/>
      <c r="Y63" s="2113"/>
      <c r="Z63" s="2113"/>
      <c r="AA63" s="2113"/>
      <c r="AB63" s="2113"/>
      <c r="AC63" s="2113"/>
      <c r="AD63" s="2113"/>
      <c r="AE63" s="2113"/>
      <c r="AF63" s="2113"/>
      <c r="AG63" s="2113"/>
      <c r="AH63" s="2113"/>
      <c r="AI63" s="2113"/>
      <c r="AJ63" s="2113"/>
      <c r="AK63" s="2113"/>
    </row>
    <row customHeight="1" ht="18.75">
      <c r="O64" s="1794"/>
      <c r="T64" s="2319"/>
      <c r="U64" s="2319"/>
      <c r="V64" s="2319"/>
      <c r="W64" s="2319"/>
      <c r="X64" s="2319"/>
      <c r="Y64" s="2319"/>
      <c r="Z64" s="2319"/>
      <c r="AA64" s="2319"/>
      <c r="AB64" s="2319"/>
      <c r="AC64" s="2319"/>
      <c r="AD64" s="2319"/>
      <c r="AE64" s="2319"/>
      <c r="AF64" s="2319"/>
      <c r="AG64" s="2319"/>
      <c r="AH64" s="2319"/>
      <c r="AI64" s="2319"/>
      <c r="AJ64" s="2319"/>
      <c r="AK64" s="2319"/>
    </row>
    <row customHeight="1" ht="15.75">
      <c r="O65" s="1794"/>
      <c r="T65" s="2319"/>
      <c r="U65" s="2319"/>
      <c r="V65" s="2319"/>
      <c r="W65" s="2319"/>
      <c r="X65" s="2319"/>
      <c r="Y65" s="2319"/>
      <c r="Z65" s="2319"/>
      <c r="AA65" s="2319"/>
      <c r="AB65" s="2319"/>
      <c r="AC65" s="2319"/>
      <c r="AD65" s="2319"/>
      <c r="AE65" s="2319"/>
      <c r="AF65" s="2319"/>
      <c r="AG65" s="2319"/>
      <c r="AH65" s="2319"/>
      <c r="AI65" s="2319"/>
      <c r="AJ65" s="2319"/>
      <c r="AK65" s="2319"/>
    </row>
    <row customHeight="1" ht="14.25">
      <c r="O66" s="1794"/>
    </row>
  </sheetData>
  <sheetProtection sort="0" autoFilter="0" insertRows="0" insertColumns="1" deleteRows="0" deleteColumns="0"/>
  <mergeCells count="97">
    <mergeCell ref="T65:AK65"/>
    <mergeCell ref="V50:AA50"/>
    <mergeCell ref="AC50:AJ50"/>
    <mergeCell ref="AK51:AK52"/>
    <mergeCell ref="T61:AK61"/>
    <mergeCell ref="T62:AK62"/>
    <mergeCell ref="T64:AK64"/>
    <mergeCell ref="I49:I53"/>
    <mergeCell ref="P49:P53"/>
    <mergeCell ref="V49:AA49"/>
    <mergeCell ref="AC49:AJ49"/>
    <mergeCell ref="J50:J52"/>
    <mergeCell ref="Q50:Q52"/>
    <mergeCell ref="Y43:Z43"/>
    <mergeCell ref="AG43:AH43"/>
    <mergeCell ref="Y44:Z44"/>
    <mergeCell ref="AG44:AH44"/>
    <mergeCell ref="E45:E58"/>
    <mergeCell ref="V45:AA45"/>
    <mergeCell ref="AC45:AJ45"/>
    <mergeCell ref="F46:F56"/>
    <mergeCell ref="V46:AA46"/>
    <mergeCell ref="AC46:AJ46"/>
    <mergeCell ref="G47:G55"/>
    <mergeCell ref="V47:AA47"/>
    <mergeCell ref="AC47:AJ47"/>
    <mergeCell ref="H48:H54"/>
    <mergeCell ref="V48:AA48"/>
    <mergeCell ref="AC48:AJ48"/>
    <mergeCell ref="S39:AJ39"/>
    <mergeCell ref="AK39:AK43"/>
    <mergeCell ref="S40:S43"/>
    <mergeCell ref="T40:T43"/>
    <mergeCell ref="V40:Z40"/>
    <mergeCell ref="AA40:AA43"/>
    <mergeCell ref="AB40:AB43"/>
    <mergeCell ref="AC40:AC43"/>
    <mergeCell ref="AD40:AH40"/>
    <mergeCell ref="AI40:AI43"/>
    <mergeCell ref="AJ40:AJ43"/>
    <mergeCell ref="V41:W42"/>
    <mergeCell ref="X41:Z42"/>
    <mergeCell ref="AD41:AE41"/>
    <mergeCell ref="AF41:AH42"/>
    <mergeCell ref="AD42:AE42"/>
    <mergeCell ref="S36:T36"/>
    <mergeCell ref="V36:Z36"/>
    <mergeCell ref="AC36:AH36"/>
    <mergeCell ref="V38:AA38"/>
    <mergeCell ref="AC38:AI38"/>
    <mergeCell ref="S33:T33"/>
    <mergeCell ref="V33:Z33"/>
    <mergeCell ref="AC33:AH33"/>
    <mergeCell ref="S35:T35"/>
    <mergeCell ref="V35:Z35"/>
    <mergeCell ref="AC35:AH35"/>
    <mergeCell ref="S31:T31"/>
    <mergeCell ref="V31:Z31"/>
    <mergeCell ref="AC31:AH31"/>
    <mergeCell ref="S32:T32"/>
    <mergeCell ref="V32:Z32"/>
    <mergeCell ref="AC32:AH32"/>
    <mergeCell ref="AK8:AK12"/>
    <mergeCell ref="S27:AH27"/>
    <mergeCell ref="S30:T30"/>
    <mergeCell ref="V30:Z30"/>
    <mergeCell ref="AC30:AH30"/>
    <mergeCell ref="J7:J12"/>
    <mergeCell ref="Q7:Q12"/>
    <mergeCell ref="V7:AA7"/>
    <mergeCell ref="AC7:AJ7"/>
    <mergeCell ref="S28:AH28"/>
    <mergeCell ref="K8:K11"/>
    <mergeCell ref="R8:R11"/>
    <mergeCell ref="S8:S11"/>
    <mergeCell ref="T8:T11"/>
    <mergeCell ref="X8:X11"/>
    <mergeCell ref="Y8:Y11"/>
    <mergeCell ref="Z8:Z11"/>
    <mergeCell ref="AA8:AA11"/>
    <mergeCell ref="AC8:AC10"/>
    <mergeCell ref="E2:E17"/>
    <mergeCell ref="V2:AA2"/>
    <mergeCell ref="AC2:AJ2"/>
    <mergeCell ref="F3:F16"/>
    <mergeCell ref="V3:AA3"/>
    <mergeCell ref="AC3:AJ3"/>
    <mergeCell ref="G4:G15"/>
    <mergeCell ref="V4:AA4"/>
    <mergeCell ref="AC4:AJ4"/>
    <mergeCell ref="H5:H14"/>
    <mergeCell ref="V5:AA5"/>
    <mergeCell ref="AC5:AJ5"/>
    <mergeCell ref="I6:I13"/>
    <mergeCell ref="P6:P13"/>
    <mergeCell ref="V6:AA6"/>
    <mergeCell ref="AC6:AJ6"/>
  </mergeCells>
  <dataValidations count="10">
    <dataValidation type="list" allowBlank="1" showInputMessage="1" showErrorMessage="1" errorTitle="Ошибка" error="Выберите значение из списка" prompt="Выберите значение из списка" sqref="AD42:AE42">
      <formula1>UNIT_CONNECT_LIST</formula1>
    </dataValidation>
    <dataValidation type="list" allowBlank="1" showInputMessage="1" showErrorMessage="1" errorTitle="Ошибка" error="Выберите значение из списка" sqref="T65587 T131123 T196659 T262195 T327731 T393267 T458803 T524339 T589875 T655411 T720947 T786483 T852019 T917555 T983091">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87 X131123 X196659 X262195 X327731 X393267 X458803 X524339 X589875 X655411 X720947 X786483 X852019 X917555 X983091 Z65587 Z131123 Z196659 Z262195 Z327731 Z393267 Z458803 Z524339 Z589875 Z655411 Z720947 Z786483 Z852019 Z917555 Z983091 X8:X10 Z8:Z10 AF65587 AF131123 AF196659 AF262195 AF327731 AF393267 AF458803 AF524339 AF589875 AF655411 AF720947 AF786483 AF852019 AF917555 AF983091 AH65587 AH131123 AH196659 AH262195 AH327731 AH393267 AH458803 AH524339 AH589875 AH655411 AH720947 AH786483 AH852019 AH917555 AH983091 AH8 AH51 AH19 AF19 AF8 AF51 Z51 X51"/>
    <dataValidation allowBlank="1" promptTitle="checkPeriodRange" sqref="W65588 W131124 W196660 W262196 W327732 W393268 W458804 W524340 W589876 W655412 W720948 W786484 W852020 W917556 W983092 W11 AE65588 AE131124 AE196660 AE262196 AE327732 AE393268 AE458804 AE524340 AE589876 AE655412 AE720948 AE786484 AE852020 AE917556 AE983092 AE11"/>
    <dataValidation type="textLength" operator="lessThanOrEqual" allowBlank="1" showInputMessage="1" showErrorMessage="1" errorTitle="Ошибка" error="Допускается ввод не более 900 символов!" sqref="AK65581:AK65588 AK131117:AK131124 AK196653:AK196660 AK262189:AK262196 AK327725:AK327732 AK393261:AK393268 AK458797:AK458804 AK524333:AK524340 AK589869:AK589876 AK655405:AK655412 AK720941:AK720948 AK786477:AK786484 AK852013:AK852020 AK917549:AK917556 AK983085:AK983092 T8:T11 T51 AB51">
      <formula1>900</formula1>
    </dataValidation>
    <dataValidation allowBlank="1" showInputMessage="1" showErrorMessage="1" prompt="Для выбора выполните двойной щелчок левой клавиши мыши по соответствующей ячейке." sqref="Y65587 Y131123 Y196659 Y262195 Y327731 Y393267 Y458803 Y524339 Y589875 Y655411 Y720947 Y786483 Y852019 Y917555 Y983091 AA131123:AB131123 AA458803:AB458803 AA196659:AB196659 AA262195:AB262195 AA327731:AB327731 AA393267:AB393267 AA524339:AB524339 AA589875:AB589875 AA655411:AB655411 AA720947:AB720947 AA786483:AB786483 AA852019:AB852019 AA917555:AB917555 AA983091:AB983091 AA65587:AB65587 AA8:AB10 Y8:Y10 AG65587 AG131123 AG196659 AG262195 AG327731 AG393267 AG458803 AG524339 AG589875 AG655411 AG720947 AG786483 AG852019 AG917555 AG983091 AI131123 AI458803 AI196659 AI262195 AI327731 AI393267 AI524339 AI589875 AI655411 AI720947 AI786483 AI852019 AI917555 AI983091 AI65587 AG8 AC8 AG19 AI51 AI19 AC19 Y51 AI8 AG51 AA51"/>
    <dataValidation type="list" allowBlank="1" showInputMessage="1" showErrorMessage="1" errorTitle="Ошибка" error="Выберите значение из списка" sqref="AC983089 AC917553 AC852017 AC786481 AC720945 AC655409 AC589873 AC524337 AC458801 AC393265 AC327729 AC262193 AC196657 AC131121 AC65585">
      <formula1>kind_of_scheme_in</formula1>
    </dataValidation>
    <dataValidation type="list" allowBlank="1" showInputMessage="1" errorTitle="Ошибка" error="Выберите значение из списка" prompt="Выберите значение из списка" sqref="V917554:AJ917554 V983090:AJ983090 V65586:AJ65586 V131122:AJ131122 V196658:AJ196658 V262194:AJ262194 V327730:AJ327730 V393266:AJ393266 V458802:AJ458802 V524338:AJ524338 V589874:AJ589874 V655410:AJ655410 V720946:AJ720946 V786482:AJ786482 V852018:AJ852018">
      <formula1>kind_of_cons</formula1>
    </dataValidation>
    <dataValidation allowBlank="1" sqref="S131125:AK131131 S196661:AK196667 S262197:AK262203 S327733:AK327739 S393269:AK393275 S458805:AK458811 S524341:AK524347 S589877:AK589883 S655413:AK655419 S720949:AK720955 S786485:AK786491 S852021:AK852027 S917557:AK917563 S983093:AK983099 S65589:AK65595"/>
    <dataValidation type="decimal" allowBlank="1" showErrorMessage="1" errorTitle="Ошибка" error="Допускается ввод только действительных чисел!" sqref="AC51">
      <formula1>-9.99999999999999E+23</formula1>
      <formula2>9.99999999999999E+23</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F5E2AF4-7513-35B4-78A6-D282B24698F4}" mc:Ignorable="x14ac xr xr2 xr3">
  <sheetPr>
    <tabColor theme="6" tint="0.4"/>
  </sheetPr>
  <dimension ref="A1:BH80"/>
  <sheetViews>
    <sheetView topLeftCell="A1" showGridLines="0" zoomScale="90" workbookViewId="0">
      <selection activeCell="AS80" sqref="AS80"/>
    </sheetView>
  </sheetViews>
  <sheetFormatPr defaultColWidth="10.57421875" customHeight="1" defaultRowHeight="14.25"/>
  <cols>
    <col min="1" max="1" style="8721" width="11.57421875" hidden="1" customWidth="1"/>
    <col min="2" max="2" style="8721" width="11.00390625" hidden="1" customWidth="1"/>
    <col min="3" max="3" style="8721" width="10.57421875" hidden="1"/>
    <col min="4" max="4" style="8721" width="12.8515625" hidden="1" customWidth="1"/>
    <col min="5" max="5" style="8721" width="10.00390625" hidden="1" customWidth="1"/>
    <col min="6" max="6" style="8721" width="8.7109375" hidden="1" customWidth="1"/>
    <col min="7" max="7" style="8721" width="7.57421875" hidden="1" customWidth="1"/>
    <col min="8" max="8" style="8721" width="11.421875" hidden="1" customWidth="1"/>
    <col min="9" max="9" style="8721" width="12.00390625" hidden="1" customWidth="1"/>
    <col min="10" max="10" style="8721" width="9.8515625" hidden="1" customWidth="1"/>
    <col min="11" max="11" style="8721" width="11.421875" hidden="1" customWidth="1"/>
    <col min="12" max="12" style="9061" width="19.140625" hidden="1" customWidth="1"/>
    <col min="13" max="14" style="8803" width="12.28125" hidden="1" customWidth="1"/>
    <col min="15" max="15" style="8803" width="23.421875" hidden="1" customWidth="1"/>
    <col min="16" max="16" style="8803" width="3.7109375" hidden="1" customWidth="1"/>
    <col min="17" max="17" style="8976" width="3.7109375" hidden="1" customWidth="1"/>
    <col min="18" max="18" style="8805" width="3.7109375" customWidth="1"/>
    <col min="19" max="19" style="8806" width="12.7109375" customWidth="1"/>
    <col min="20" max="20" style="8807" width="32.00390625" customWidth="1"/>
    <col min="21" max="21" style="8807" width="0.140625" customWidth="1"/>
    <col min="22" max="25" style="8807" width="21.7109375" hidden="1" customWidth="1"/>
    <col min="26" max="26" style="8807" width="11.7109375" hidden="1" customWidth="1"/>
    <col min="27" max="27" style="8807" width="3.7109375" hidden="1" customWidth="1"/>
    <col min="28" max="28" style="8807" width="11.7109375" hidden="1" customWidth="1"/>
    <col min="29" max="29" style="8807" width="8.57421875" hidden="1" customWidth="1"/>
    <col min="30" max="32" style="8807" width="3.7109375" customWidth="1"/>
    <col min="33" max="33" style="8807" width="24.7109375" customWidth="1"/>
    <col min="34" max="36" style="8807" width="3.7109375" customWidth="1"/>
    <col min="37" max="37" style="8807" width="24.7109375" customWidth="1"/>
    <col min="38" max="40" style="8807" width="3.7109375" customWidth="1"/>
    <col min="41" max="41" style="8807" width="18.8515625" customWidth="1"/>
    <col min="42" max="44" style="8807" width="3.7109375" customWidth="1"/>
    <col min="45" max="45" style="8807" width="18.8515625" customWidth="1"/>
    <col min="46" max="49" style="8807" width="21.7109375" customWidth="1"/>
    <col min="50" max="50" style="8807" width="11.7109375" customWidth="1"/>
    <col min="51" max="51" style="8807" width="3.7109375" customWidth="1"/>
    <col min="52" max="52" style="8807" width="11.7109375" customWidth="1"/>
    <col min="53" max="53" style="8807" width="8.57421875" hidden="1" customWidth="1"/>
    <col min="54" max="54" style="8807" width="4.7109375" customWidth="1"/>
    <col min="55" max="55" style="8807" width="115.7109375" customWidth="1"/>
    <col min="56" max="57" style="8794" width="10.57421875"/>
    <col min="58" max="58" style="8794" width="11.140625" customWidth="1"/>
    <col min="59" max="60" style="8794" width="10.57421875"/>
  </cols>
  <sheetData>
    <row customHeight="1" ht="14.25" hidden="1">
      <c r="W1" s="481"/>
      <c r="Y1" s="481"/>
      <c r="Z1" s="481"/>
      <c r="AW1" s="481"/>
      <c r="AX1" s="481"/>
    </row>
    <row customHeight="1" ht="21" hidden="1">
      <c r="A2" s="1522"/>
      <c r="B2" s="1522"/>
      <c r="C2" s="1522"/>
      <c r="D2" s="1522"/>
      <c r="E2" s="2320">
        <v>1</v>
      </c>
      <c r="F2" s="1522"/>
      <c r="G2" s="1522"/>
      <c r="H2" s="1522"/>
      <c r="I2" s="1522"/>
      <c r="J2" s="1522"/>
      <c r="K2" s="1522"/>
      <c r="L2" s="1523"/>
      <c r="M2" s="1524"/>
      <c r="N2" s="1524"/>
      <c r="O2" s="1524"/>
      <c r="P2" s="1568"/>
      <c r="Q2" s="1027"/>
      <c r="R2" s="509"/>
      <c r="S2" s="1624">
        <f>INDEX(PT_DIFFERENTIATION_NUM_NTAR,MATCH(A2,PT_DIFFERENTIATION_NTAR_ID,0))</f>
      </c>
      <c r="T2" s="452" t="s">
        <v>120</v>
      </c>
      <c r="U2" s="454"/>
      <c r="V2" s="2315"/>
      <c r="W2" s="2315"/>
      <c r="X2" s="2315"/>
      <c r="Y2" s="2315"/>
      <c r="Z2" s="2315"/>
      <c r="AA2" s="2315"/>
      <c r="AB2" s="2315"/>
      <c r="AC2" s="2316"/>
      <c r="AD2" s="2314">
        <f>INDEX(PT_DIFFERENTIATION_NTAR,MATCH(A2,PT_DIFFERENTIATION_NTAR_ID,0))</f>
      </c>
      <c r="AE2" s="2315"/>
      <c r="AF2" s="2315"/>
      <c r="AG2" s="2315"/>
      <c r="AH2" s="2315"/>
      <c r="AI2" s="2315"/>
      <c r="AJ2" s="2315"/>
      <c r="AK2" s="2315"/>
      <c r="AL2" s="2315"/>
      <c r="AM2" s="2315"/>
      <c r="AN2" s="2315"/>
      <c r="AO2" s="2315"/>
      <c r="AP2" s="2315"/>
      <c r="AQ2" s="2315"/>
      <c r="AR2" s="2315"/>
      <c r="AS2" s="2315"/>
      <c r="AT2" s="2315"/>
      <c r="AU2" s="2315"/>
      <c r="AV2" s="2315"/>
      <c r="AW2" s="2315"/>
      <c r="AX2" s="2315"/>
      <c r="AY2" s="2315"/>
      <c r="AZ2" s="2315"/>
      <c r="BA2" s="2315"/>
      <c r="BB2" s="2316"/>
      <c r="BC2" s="1416"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BE2" s="654"/>
      <c r="BF2" s="654" t="str">
        <f>IF(T2="","",T2)</f>
        <v>Наименование тарифа</v>
      </c>
      <c r="BG2" s="654"/>
      <c r="BH2" s="654"/>
    </row>
    <row customHeight="1" ht="21" hidden="1">
      <c r="A3" s="1522"/>
      <c r="B3" s="1522"/>
      <c r="C3" s="1522"/>
      <c r="D3" s="1522"/>
      <c r="E3" s="2321"/>
      <c r="F3" s="2320">
        <v>1</v>
      </c>
      <c r="G3" s="1522"/>
      <c r="H3" s="1522"/>
      <c r="I3" s="1522"/>
      <c r="J3" s="1522"/>
      <c r="K3" s="1522"/>
      <c r="L3" s="1523"/>
      <c r="M3" s="1524"/>
      <c r="N3" s="1524"/>
      <c r="O3" s="1524"/>
      <c r="P3" s="1569"/>
      <c r="Q3" s="1570"/>
      <c r="R3" s="507"/>
      <c r="S3" s="1624">
        <f>INDEX(PT_DIFFERENTIATION_NUM_TER,MATCH(B3,PT_DIFFERENTIATION_TER_ID,0))</f>
      </c>
      <c r="T3" s="462" t="s">
        <v>397</v>
      </c>
      <c r="U3" s="454"/>
      <c r="V3" s="2315"/>
      <c r="W3" s="2315"/>
      <c r="X3" s="2315"/>
      <c r="Y3" s="2315"/>
      <c r="Z3" s="2315"/>
      <c r="AA3" s="2315"/>
      <c r="AB3" s="2315"/>
      <c r="AC3" s="2316"/>
      <c r="AD3" s="2314">
        <f>INDEX(PT_DIFFERENTIATION_TER,MATCH(B3,PT_DIFFERENTIATION_TER_ID,0))</f>
      </c>
      <c r="AE3" s="2315"/>
      <c r="AF3" s="2315"/>
      <c r="AG3" s="2315"/>
      <c r="AH3" s="2315"/>
      <c r="AI3" s="2315"/>
      <c r="AJ3" s="2315"/>
      <c r="AK3" s="2315"/>
      <c r="AL3" s="2315"/>
      <c r="AM3" s="2315"/>
      <c r="AN3" s="2315"/>
      <c r="AO3" s="2315"/>
      <c r="AP3" s="2315"/>
      <c r="AQ3" s="2315"/>
      <c r="AR3" s="2315"/>
      <c r="AS3" s="2315"/>
      <c r="AT3" s="2315"/>
      <c r="AU3" s="2315"/>
      <c r="AV3" s="2315"/>
      <c r="AW3" s="2315"/>
      <c r="AX3" s="2315"/>
      <c r="AY3" s="2315"/>
      <c r="AZ3" s="2315"/>
      <c r="BA3" s="2315"/>
      <c r="BB3" s="2316"/>
      <c r="BC3" s="1416" t="s">
        <v>398</v>
      </c>
      <c r="BE3" s="654"/>
      <c r="BF3" s="654" t="str">
        <f>IF(T3="","",T3)</f>
        <v>Территория действия тарифа</v>
      </c>
      <c r="BG3" s="654"/>
      <c r="BH3" s="654"/>
    </row>
    <row customHeight="1" ht="42" hidden="1">
      <c r="A4" s="1522"/>
      <c r="B4" s="1522"/>
      <c r="C4" s="1522"/>
      <c r="D4" s="1522"/>
      <c r="E4" s="2321"/>
      <c r="F4" s="2321"/>
      <c r="G4" s="2320">
        <v>1</v>
      </c>
      <c r="H4" s="1522"/>
      <c r="I4" s="1522"/>
      <c r="J4" s="1522"/>
      <c r="K4" s="1522"/>
      <c r="L4" s="1523"/>
      <c r="M4" s="1524"/>
      <c r="N4" s="1524"/>
      <c r="O4" s="1524"/>
      <c r="P4" s="1571"/>
      <c r="Q4" s="1570"/>
      <c r="R4" s="507"/>
      <c r="S4" s="1624">
        <f>INDEX(PT_DIFFERENTIATION_NUM_CS,MATCH(C4,PT_DIFFERENTIATION_CS_ID,0))</f>
      </c>
      <c r="T4" s="463" t="s">
        <v>479</v>
      </c>
      <c r="U4" s="454"/>
      <c r="V4" s="2315"/>
      <c r="W4" s="2315"/>
      <c r="X4" s="2315"/>
      <c r="Y4" s="2315"/>
      <c r="Z4" s="2315"/>
      <c r="AA4" s="2315"/>
      <c r="AB4" s="2315"/>
      <c r="AC4" s="2316"/>
      <c r="AD4" s="2314">
        <f>INDEX(PT_DIFFERENTIATION_CS,MATCH(C4,PT_DIFFERENTIATION_CS_ID,0))</f>
      </c>
      <c r="AE4" s="2315"/>
      <c r="AF4" s="2315"/>
      <c r="AG4" s="2315"/>
      <c r="AH4" s="2315"/>
      <c r="AI4" s="2315"/>
      <c r="AJ4" s="2315"/>
      <c r="AK4" s="2315"/>
      <c r="AL4" s="2315"/>
      <c r="AM4" s="2315"/>
      <c r="AN4" s="2315"/>
      <c r="AO4" s="2315"/>
      <c r="AP4" s="2315"/>
      <c r="AQ4" s="2315"/>
      <c r="AR4" s="2315"/>
      <c r="AS4" s="2315"/>
      <c r="AT4" s="2315"/>
      <c r="AU4" s="2315"/>
      <c r="AV4" s="2315"/>
      <c r="AW4" s="2315"/>
      <c r="AX4" s="2315"/>
      <c r="AY4" s="2315"/>
      <c r="AZ4" s="2315"/>
      <c r="BA4" s="2315"/>
      <c r="BB4" s="2316"/>
      <c r="BC4" s="1416" t="s">
        <v>480</v>
      </c>
      <c r="BE4" s="654"/>
      <c r="BF4" s="654" t="str">
        <f>IF(T4="","",T4)</f>
        <v>Наименование централизованной системы холодного водоснабжения</v>
      </c>
      <c r="BG4" s="654"/>
      <c r="BH4" s="654"/>
    </row>
    <row s="8794" customFormat="1" customHeight="1" ht="14.25" hidden="1">
      <c r="A5" s="1502"/>
      <c r="B5" s="1502"/>
      <c r="C5" s="1502"/>
      <c r="D5" s="1502"/>
      <c r="E5" s="2321"/>
      <c r="F5" s="2321"/>
      <c r="G5" s="2321"/>
      <c r="H5" s="2320">
        <v>1</v>
      </c>
      <c r="I5" s="1502"/>
      <c r="J5" s="1502"/>
      <c r="K5" s="1502"/>
      <c r="L5" s="1505"/>
      <c r="M5" s="1474"/>
      <c r="N5" s="1474"/>
      <c r="O5" s="1474"/>
      <c r="P5" s="1656"/>
      <c r="Q5" s="1657"/>
      <c r="R5" s="511"/>
      <c r="S5" s="1197"/>
      <c r="T5" s="1658"/>
      <c r="U5" s="1543"/>
      <c r="V5" s="2363"/>
      <c r="W5" s="2363"/>
      <c r="X5" s="2363"/>
      <c r="Y5" s="2363"/>
      <c r="Z5" s="2363"/>
      <c r="AA5" s="2363"/>
      <c r="AB5" s="2363"/>
      <c r="AC5" s="2364"/>
      <c r="AD5" s="2362"/>
      <c r="AE5" s="2363"/>
      <c r="AF5" s="2363"/>
      <c r="AG5" s="2363"/>
      <c r="AH5" s="2363"/>
      <c r="AI5" s="2363"/>
      <c r="AJ5" s="2363"/>
      <c r="AK5" s="2363"/>
      <c r="AL5" s="2363"/>
      <c r="AM5" s="2363"/>
      <c r="AN5" s="2363"/>
      <c r="AO5" s="2363"/>
      <c r="AP5" s="2363"/>
      <c r="AQ5" s="2363"/>
      <c r="AR5" s="2363"/>
      <c r="AS5" s="2363"/>
      <c r="AT5" s="2363"/>
      <c r="AU5" s="2363"/>
      <c r="AV5" s="2363"/>
      <c r="AW5" s="2363"/>
      <c r="AX5" s="2363"/>
      <c r="AY5" s="2363"/>
      <c r="AZ5" s="2363"/>
      <c r="BA5" s="2363"/>
      <c r="BB5" s="2364"/>
      <c r="BC5" s="1544" t="s">
        <v>402</v>
      </c>
      <c r="BE5" s="654"/>
      <c r="BF5" s="654" t="str">
        <f>IF(T5="","",T5)</f>
        <v/>
      </c>
      <c r="BG5" s="654"/>
      <c r="BH5" s="654"/>
    </row>
    <row s="8794" customFormat="1" customHeight="1" ht="14.25" hidden="1">
      <c r="A6" s="1502"/>
      <c r="B6" s="1502"/>
      <c r="C6" s="1502"/>
      <c r="D6" s="1502"/>
      <c r="E6" s="2321"/>
      <c r="F6" s="2321"/>
      <c r="G6" s="2321"/>
      <c r="H6" s="2321"/>
      <c r="I6" s="2322" t="str">
        <f>S5&amp;".1"</f>
        <v>.1</v>
      </c>
      <c r="J6" s="1502"/>
      <c r="K6" s="1502"/>
      <c r="L6" s="1505" t="s">
        <v>403</v>
      </c>
      <c r="M6" s="664"/>
      <c r="N6" s="664"/>
      <c r="O6" s="664"/>
      <c r="P6" s="2324">
        <v>1</v>
      </c>
      <c r="Q6" s="1621"/>
      <c r="R6" s="510"/>
      <c r="S6" s="1197"/>
      <c r="T6" s="1542"/>
      <c r="U6" s="1543"/>
      <c r="V6" s="2363"/>
      <c r="W6" s="2363"/>
      <c r="X6" s="2363"/>
      <c r="Y6" s="2363"/>
      <c r="Z6" s="2363"/>
      <c r="AA6" s="2363"/>
      <c r="AB6" s="2363"/>
      <c r="AC6" s="2364"/>
      <c r="AD6" s="2362"/>
      <c r="AE6" s="2363"/>
      <c r="AF6" s="2363"/>
      <c r="AG6" s="2363"/>
      <c r="AH6" s="2363"/>
      <c r="AI6" s="2363"/>
      <c r="AJ6" s="2363"/>
      <c r="AK6" s="2363"/>
      <c r="AL6" s="2363"/>
      <c r="AM6" s="2363"/>
      <c r="AN6" s="2363"/>
      <c r="AO6" s="2363"/>
      <c r="AP6" s="2363"/>
      <c r="AQ6" s="2363"/>
      <c r="AR6" s="2363"/>
      <c r="AS6" s="2363"/>
      <c r="AT6" s="2363"/>
      <c r="AU6" s="2363"/>
      <c r="AV6" s="2363"/>
      <c r="AW6" s="2363"/>
      <c r="AX6" s="2363"/>
      <c r="AY6" s="2363"/>
      <c r="AZ6" s="2363"/>
      <c r="BA6" s="2363"/>
      <c r="BB6" s="2364"/>
      <c r="BC6" s="1544"/>
      <c r="BE6" s="654"/>
      <c r="BF6" s="654" t="str">
        <f>IF(T6="","",T6)</f>
        <v/>
      </c>
      <c r="BG6" s="654"/>
      <c r="BH6" s="654"/>
    </row>
    <row s="8794" customFormat="1" customHeight="1" ht="14.25" hidden="1">
      <c r="A7" s="1502"/>
      <c r="B7" s="1502"/>
      <c r="C7" s="1502"/>
      <c r="D7" s="1502"/>
      <c r="E7" s="2321"/>
      <c r="F7" s="2321"/>
      <c r="G7" s="2321"/>
      <c r="H7" s="2321"/>
      <c r="I7" s="2323"/>
      <c r="J7" s="2322" t="str">
        <f>S5&amp;".1"</f>
        <v>.1</v>
      </c>
      <c r="K7" s="1502"/>
      <c r="L7" s="1505"/>
      <c r="M7" s="664"/>
      <c r="N7" s="664"/>
      <c r="O7" s="664"/>
      <c r="P7" s="2324"/>
      <c r="Q7" s="2324">
        <v>1</v>
      </c>
      <c r="R7" s="511"/>
      <c r="S7" s="1197"/>
      <c r="T7" s="1558"/>
      <c r="U7" s="1543"/>
      <c r="V7" s="2363"/>
      <c r="W7" s="2363"/>
      <c r="X7" s="2363"/>
      <c r="Y7" s="2363"/>
      <c r="Z7" s="2363"/>
      <c r="AA7" s="2363"/>
      <c r="AB7" s="2363"/>
      <c r="AC7" s="2364"/>
      <c r="AD7" s="2362"/>
      <c r="AE7" s="2363"/>
      <c r="AF7" s="2363"/>
      <c r="AG7" s="2363"/>
      <c r="AH7" s="2363"/>
      <c r="AI7" s="2363"/>
      <c r="AJ7" s="2363"/>
      <c r="AK7" s="2363"/>
      <c r="AL7" s="2363"/>
      <c r="AM7" s="2363"/>
      <c r="AN7" s="2363"/>
      <c r="AO7" s="2363"/>
      <c r="AP7" s="2363"/>
      <c r="AQ7" s="2363"/>
      <c r="AR7" s="2363"/>
      <c r="AS7" s="2363"/>
      <c r="AT7" s="2363"/>
      <c r="AU7" s="2363"/>
      <c r="AV7" s="2363"/>
      <c r="AW7" s="2363"/>
      <c r="AX7" s="2363"/>
      <c r="AY7" s="2363"/>
      <c r="AZ7" s="2363"/>
      <c r="BA7" s="2363"/>
      <c r="BB7" s="2364"/>
      <c r="BC7" s="1544"/>
      <c r="BE7" s="654"/>
      <c r="BF7" s="654" t="str">
        <f>IF(T7="","",T7)</f>
        <v/>
      </c>
      <c r="BG7" s="654"/>
      <c r="BH7" s="654"/>
    </row>
    <row customHeight="1" ht="11.25" hidden="1">
      <c r="A8" s="1522"/>
      <c r="B8" s="1522"/>
      <c r="C8" s="1522"/>
      <c r="D8" s="1522"/>
      <c r="E8" s="2321"/>
      <c r="F8" s="2321"/>
      <c r="G8" s="2321"/>
      <c r="H8" s="2321"/>
      <c r="I8" s="2323"/>
      <c r="J8" s="2323"/>
      <c r="K8" s="2322">
        <f>S4&amp;".1"</f>
      </c>
      <c r="L8" s="1523"/>
      <c r="P8" s="2324"/>
      <c r="Q8" s="2324"/>
      <c r="R8" s="2400">
        <v>1</v>
      </c>
      <c r="S8" s="2397">
        <f>$K8</f>
      </c>
      <c r="T8" s="2417"/>
      <c r="U8" s="454"/>
      <c r="V8" s="905"/>
      <c r="W8" s="1415"/>
      <c r="X8" s="905"/>
      <c r="Y8" s="1415"/>
      <c r="Z8" s="1893"/>
      <c r="AA8" s="1618" t="s">
        <v>64</v>
      </c>
      <c r="AB8" s="1893"/>
      <c r="AC8" s="1618" t="s">
        <v>64</v>
      </c>
      <c r="AD8" s="2258" t="s">
        <v>64</v>
      </c>
      <c r="AE8" s="2393"/>
      <c r="AF8" s="2271">
        <v>1</v>
      </c>
      <c r="AG8" s="2416"/>
      <c r="AH8" s="2195" t="s">
        <v>64</v>
      </c>
      <c r="AI8" s="2393"/>
      <c r="AJ8" s="2271">
        <v>1</v>
      </c>
      <c r="AK8" s="2415" t="s">
        <v>24</v>
      </c>
      <c r="AL8" s="2195" t="s">
        <v>64</v>
      </c>
      <c r="AM8" s="2243"/>
      <c r="AN8" s="2271">
        <v>1</v>
      </c>
      <c r="AO8" s="2420"/>
      <c r="AP8" s="2421" t="s">
        <v>64</v>
      </c>
      <c r="AQ8" s="465"/>
      <c r="AR8" s="1622">
        <v>1</v>
      </c>
      <c r="AS8" s="1625" t="s">
        <v>24</v>
      </c>
      <c r="AT8" s="905"/>
      <c r="AU8" s="1415"/>
      <c r="AV8" s="905"/>
      <c r="AW8" s="1415"/>
      <c r="AX8" s="1893"/>
      <c r="AY8" s="1618" t="s">
        <v>64</v>
      </c>
      <c r="AZ8" s="1893"/>
      <c r="BA8" s="1618" t="s">
        <v>64</v>
      </c>
      <c r="BB8" s="1507"/>
      <c r="BC8" s="2350" t="s">
        <v>499</v>
      </c>
      <c r="BE8" s="654"/>
      <c r="BF8" s="654" t="str">
        <f>IF(T8="","",T8)</f>
        <v/>
      </c>
      <c r="BG8" s="654"/>
      <c r="BH8" s="654"/>
    </row>
    <row customHeight="1" ht="11.25" hidden="1">
      <c r="A9" s="1522"/>
      <c r="B9" s="1522"/>
      <c r="C9" s="1522"/>
      <c r="D9" s="1522"/>
      <c r="E9" s="2321"/>
      <c r="F9" s="2321"/>
      <c r="G9" s="2321"/>
      <c r="H9" s="2321"/>
      <c r="I9" s="2323"/>
      <c r="J9" s="2323"/>
      <c r="K9" s="2322"/>
      <c r="L9" s="1523"/>
      <c r="P9" s="2324"/>
      <c r="Q9" s="2324"/>
      <c r="R9" s="2400"/>
      <c r="S9" s="2398"/>
      <c r="T9" s="2418"/>
      <c r="U9" s="454"/>
      <c r="V9" s="1552"/>
      <c r="W9" s="1655"/>
      <c r="X9" s="1552"/>
      <c r="Y9" s="1655"/>
      <c r="Z9" s="1552"/>
      <c r="AA9" s="1552"/>
      <c r="AB9" s="1552"/>
      <c r="AC9" s="1552"/>
      <c r="AD9" s="2259"/>
      <c r="AE9" s="2393"/>
      <c r="AF9" s="2271"/>
      <c r="AG9" s="2416"/>
      <c r="AH9" s="2195"/>
      <c r="AI9" s="2393"/>
      <c r="AJ9" s="2271"/>
      <c r="AK9" s="2415"/>
      <c r="AL9" s="2195"/>
      <c r="AM9" s="2251"/>
      <c r="AN9" s="2271"/>
      <c r="AO9" s="2420"/>
      <c r="AP9" s="2422"/>
      <c r="AQ9" s="470"/>
      <c r="AR9" s="570"/>
      <c r="AS9" s="570" t="s">
        <v>500</v>
      </c>
      <c r="AT9" s="1552"/>
      <c r="AU9" s="1655"/>
      <c r="AV9" s="1552"/>
      <c r="AW9" s="1655"/>
      <c r="AX9" s="1552"/>
      <c r="AY9" s="1552"/>
      <c r="AZ9" s="1552"/>
      <c r="BA9" s="1552"/>
      <c r="BB9" s="1556"/>
      <c r="BC9" s="2351"/>
      <c r="BE9" s="654"/>
      <c r="BF9" s="654"/>
      <c r="BG9" s="654"/>
      <c r="BH9" s="654"/>
    </row>
    <row customHeight="1" ht="11.25" hidden="1">
      <c r="A10" s="1522"/>
      <c r="B10" s="1522"/>
      <c r="C10" s="1522"/>
      <c r="D10" s="1522"/>
      <c r="E10" s="2321"/>
      <c r="F10" s="2321"/>
      <c r="G10" s="2321"/>
      <c r="H10" s="2321"/>
      <c r="I10" s="2323"/>
      <c r="J10" s="2323"/>
      <c r="K10" s="2322"/>
      <c r="L10" s="1523"/>
      <c r="P10" s="2324"/>
      <c r="Q10" s="2324"/>
      <c r="R10" s="2400"/>
      <c r="S10" s="2398"/>
      <c r="T10" s="2418"/>
      <c r="U10" s="454"/>
      <c r="V10" s="1552"/>
      <c r="W10" s="1655"/>
      <c r="X10" s="1552"/>
      <c r="Y10" s="1655"/>
      <c r="Z10" s="1552"/>
      <c r="AA10" s="1552"/>
      <c r="AB10" s="1552"/>
      <c r="AC10" s="1552"/>
      <c r="AD10" s="2259"/>
      <c r="AE10" s="2393"/>
      <c r="AF10" s="2271"/>
      <c r="AG10" s="2416"/>
      <c r="AH10" s="2195"/>
      <c r="AI10" s="2393"/>
      <c r="AJ10" s="2271"/>
      <c r="AK10" s="2415"/>
      <c r="AL10" s="2195"/>
      <c r="AM10" s="470"/>
      <c r="AN10" s="1659"/>
      <c r="AO10" s="1659" t="s">
        <v>501</v>
      </c>
      <c r="AP10" s="570"/>
      <c r="AQ10" s="570"/>
      <c r="AR10" s="570"/>
      <c r="AS10" s="1552"/>
      <c r="AT10" s="1552"/>
      <c r="AU10" s="1655"/>
      <c r="AV10" s="1552"/>
      <c r="AW10" s="1655"/>
      <c r="AX10" s="1552"/>
      <c r="AY10" s="1552"/>
      <c r="AZ10" s="1552"/>
      <c r="BA10" s="1552"/>
      <c r="BB10" s="1556"/>
      <c r="BC10" s="2351"/>
      <c r="BE10" s="654"/>
      <c r="BF10" s="654"/>
      <c r="BG10" s="654"/>
      <c r="BH10" s="654"/>
    </row>
    <row customHeight="1" ht="11.25" hidden="1">
      <c r="A11" s="1522"/>
      <c r="B11" s="1522"/>
      <c r="C11" s="1522"/>
      <c r="D11" s="1522"/>
      <c r="E11" s="2321"/>
      <c r="F11" s="2321"/>
      <c r="G11" s="2321"/>
      <c r="H11" s="2321"/>
      <c r="I11" s="2323"/>
      <c r="J11" s="2323"/>
      <c r="K11" s="2322"/>
      <c r="L11" s="1523"/>
      <c r="P11" s="2324"/>
      <c r="Q11" s="2324"/>
      <c r="R11" s="2400"/>
      <c r="S11" s="2398"/>
      <c r="T11" s="2418"/>
      <c r="U11" s="454"/>
      <c r="V11" s="1552"/>
      <c r="W11" s="1655"/>
      <c r="X11" s="1552"/>
      <c r="Y11" s="1655"/>
      <c r="Z11" s="1552"/>
      <c r="AA11" s="1552"/>
      <c r="AB11" s="1552"/>
      <c r="AC11" s="1552"/>
      <c r="AD11" s="2259"/>
      <c r="AE11" s="2393"/>
      <c r="AF11" s="2271"/>
      <c r="AG11" s="2416"/>
      <c r="AH11" s="2195"/>
      <c r="AI11" s="448"/>
      <c r="AJ11" s="569"/>
      <c r="AK11" s="467" t="s">
        <v>502</v>
      </c>
      <c r="AL11" s="1552"/>
      <c r="AM11" s="1552"/>
      <c r="AN11" s="1552"/>
      <c r="AO11" s="1552"/>
      <c r="AP11" s="1552"/>
      <c r="AQ11" s="1552"/>
      <c r="AR11" s="1552"/>
      <c r="AS11" s="1552"/>
      <c r="AT11" s="1552"/>
      <c r="AU11" s="1655"/>
      <c r="AV11" s="1552"/>
      <c r="AW11" s="1655"/>
      <c r="AX11" s="1552"/>
      <c r="AY11" s="1552"/>
      <c r="AZ11" s="1552"/>
      <c r="BA11" s="1552"/>
      <c r="BB11" s="1556"/>
      <c r="BC11" s="2351"/>
      <c r="BE11" s="654"/>
      <c r="BF11" s="654"/>
      <c r="BG11" s="654"/>
      <c r="BH11" s="654"/>
    </row>
    <row customHeight="1" ht="11.25" hidden="1">
      <c r="A12" s="1522"/>
      <c r="B12" s="1522"/>
      <c r="C12" s="1522"/>
      <c r="D12" s="1522"/>
      <c r="E12" s="2321"/>
      <c r="F12" s="2321"/>
      <c r="G12" s="2321"/>
      <c r="H12" s="2321"/>
      <c r="I12" s="2323"/>
      <c r="J12" s="2323"/>
      <c r="K12" s="2322"/>
      <c r="L12" s="1523"/>
      <c r="P12" s="2324"/>
      <c r="Q12" s="2324"/>
      <c r="R12" s="2400"/>
      <c r="S12" s="2399"/>
      <c r="T12" s="2419"/>
      <c r="U12" s="454"/>
      <c r="V12" s="1552"/>
      <c r="W12" s="1553" t="str">
        <f>Z8&amp;"-"&amp;AB8</f>
        <v>-</v>
      </c>
      <c r="X12" s="1552"/>
      <c r="Y12" s="1553" t="str">
        <f>AB8&amp;"-"&amp;AD8</f>
        <v>-да</v>
      </c>
      <c r="Z12" s="1552"/>
      <c r="AA12" s="1552"/>
      <c r="AB12" s="1552"/>
      <c r="AC12" s="1552"/>
      <c r="AD12" s="2200"/>
      <c r="AE12" s="466"/>
      <c r="AF12" s="468"/>
      <c r="AG12" s="570" t="s">
        <v>503</v>
      </c>
      <c r="AH12" s="1552"/>
      <c r="AI12" s="1552"/>
      <c r="AJ12" s="1552"/>
      <c r="AK12" s="1552"/>
      <c r="AL12" s="1552"/>
      <c r="AM12" s="1552"/>
      <c r="AN12" s="1552"/>
      <c r="AO12" s="1552"/>
      <c r="AP12" s="1552"/>
      <c r="AQ12" s="1552"/>
      <c r="AR12" s="1552"/>
      <c r="AS12" s="1552"/>
      <c r="AT12" s="1552"/>
      <c r="AU12" s="1553" t="str">
        <f>AX8&amp;"-"&amp;AZ8</f>
        <v>-</v>
      </c>
      <c r="AV12" s="1552"/>
      <c r="AW12" s="1553" t="str">
        <f>AZ8&amp;"-"&amp;BB8</f>
        <v>-</v>
      </c>
      <c r="AX12" s="1552"/>
      <c r="AY12" s="1552"/>
      <c r="AZ12" s="1552"/>
      <c r="BA12" s="1552"/>
      <c r="BB12" s="1555" t="str">
        <f>BE8&amp;"-"&amp;BG8</f>
        <v>-</v>
      </c>
      <c r="BC12" s="2351"/>
      <c r="BE12" s="654"/>
      <c r="BF12" s="654" t="str">
        <f>IF(T12="","",T12)</f>
        <v/>
      </c>
      <c r="BG12" s="654"/>
      <c r="BH12" s="654"/>
    </row>
    <row customHeight="1" ht="11.25" hidden="1">
      <c r="A13" s="1522"/>
      <c r="B13" s="1522"/>
      <c r="C13" s="1522"/>
      <c r="D13" s="1522"/>
      <c r="E13" s="2321"/>
      <c r="F13" s="2321"/>
      <c r="G13" s="2321"/>
      <c r="H13" s="2321"/>
      <c r="I13" s="2323"/>
      <c r="J13" s="2322"/>
      <c r="K13" s="1522"/>
      <c r="L13" s="1523"/>
      <c r="P13" s="2324"/>
      <c r="Q13" s="2324"/>
      <c r="R13" s="510"/>
      <c r="S13" s="1437"/>
      <c r="T13" s="441" t="s">
        <v>465</v>
      </c>
      <c r="U13" s="521"/>
      <c r="V13" s="521"/>
      <c r="W13" s="521"/>
      <c r="X13" s="521"/>
      <c r="Y13" s="521"/>
      <c r="Z13" s="521"/>
      <c r="AA13" s="521"/>
      <c r="AB13" s="521"/>
      <c r="AC13" s="521"/>
      <c r="AD13" s="1664"/>
      <c r="AE13" s="521"/>
      <c r="AF13" s="521"/>
      <c r="AG13" s="521"/>
      <c r="AH13" s="521"/>
      <c r="AI13" s="521"/>
      <c r="AJ13" s="521"/>
      <c r="AK13" s="521"/>
      <c r="AL13" s="521"/>
      <c r="AM13" s="521"/>
      <c r="AN13" s="521"/>
      <c r="AO13" s="521"/>
      <c r="AP13" s="521"/>
      <c r="AQ13" s="521"/>
      <c r="AR13" s="521"/>
      <c r="AS13" s="521"/>
      <c r="AT13" s="521"/>
      <c r="AU13" s="521"/>
      <c r="AV13" s="521"/>
      <c r="AW13" s="521"/>
      <c r="AX13" s="521"/>
      <c r="AY13" s="521"/>
      <c r="AZ13" s="521"/>
      <c r="BA13" s="521"/>
      <c r="BB13" s="478"/>
      <c r="BC13" s="2352"/>
      <c r="BE13" s="654"/>
      <c r="BF13" s="654" t="str">
        <f>IF(T13="","",T13)</f>
        <v>Добавить строку</v>
      </c>
      <c r="BG13" s="654"/>
      <c r="BH13" s="654"/>
    </row>
    <row s="8794" customFormat="1" customHeight="1" ht="14.25" hidden="1">
      <c r="A14" s="1502"/>
      <c r="B14" s="1502"/>
      <c r="C14" s="1502"/>
      <c r="D14" s="1502"/>
      <c r="E14" s="2321"/>
      <c r="F14" s="2321"/>
      <c r="G14" s="2321"/>
      <c r="H14" s="2321"/>
      <c r="I14" s="2322"/>
      <c r="J14" s="1502"/>
      <c r="K14" s="1502"/>
      <c r="L14" s="1505"/>
      <c r="M14" s="664"/>
      <c r="N14" s="664"/>
      <c r="O14" s="664"/>
      <c r="P14" s="2324"/>
      <c r="Q14" s="1621"/>
      <c r="R14" s="510"/>
      <c r="S14" s="1545"/>
      <c r="T14" s="1546"/>
      <c r="U14" s="1547"/>
      <c r="V14" s="1547"/>
      <c r="W14" s="1547"/>
      <c r="X14" s="1547"/>
      <c r="Y14" s="1547"/>
      <c r="Z14" s="1547"/>
      <c r="AA14" s="1547"/>
      <c r="AB14" s="1547"/>
      <c r="AC14" s="1547"/>
      <c r="AD14" s="1547"/>
      <c r="AE14" s="1547"/>
      <c r="AF14" s="1547"/>
      <c r="AG14" s="1547"/>
      <c r="AH14" s="1547"/>
      <c r="AI14" s="1547"/>
      <c r="AJ14" s="1547"/>
      <c r="AK14" s="1547"/>
      <c r="AL14" s="1547"/>
      <c r="AM14" s="1547"/>
      <c r="AN14" s="1547"/>
      <c r="AO14" s="1547"/>
      <c r="AP14" s="1547"/>
      <c r="AQ14" s="1547"/>
      <c r="AR14" s="1547"/>
      <c r="AS14" s="1547"/>
      <c r="AT14" s="1547"/>
      <c r="AU14" s="1547"/>
      <c r="AV14" s="1547"/>
      <c r="AW14" s="1547"/>
      <c r="AX14" s="1547"/>
      <c r="AY14" s="1547"/>
      <c r="AZ14" s="1547"/>
      <c r="BA14" s="1547"/>
      <c r="BB14" s="1547"/>
      <c r="BC14" s="1548"/>
      <c r="BE14" s="654"/>
      <c r="BF14" s="654" t="str">
        <f>IF(T14="","",T14)</f>
        <v/>
      </c>
      <c r="BG14" s="654"/>
      <c r="BH14" s="654"/>
    </row>
    <row s="8794" customFormat="1" customHeight="1" ht="14.25" hidden="1">
      <c r="A15" s="1502"/>
      <c r="B15" s="1502"/>
      <c r="C15" s="1502"/>
      <c r="D15" s="1502"/>
      <c r="E15" s="2321"/>
      <c r="F15" s="2321"/>
      <c r="G15" s="2321"/>
      <c r="H15" s="2320"/>
      <c r="I15" s="1502"/>
      <c r="J15" s="1502"/>
      <c r="K15" s="1502"/>
      <c r="L15" s="1505"/>
      <c r="M15" s="1474"/>
      <c r="N15" s="1474"/>
      <c r="O15" s="672"/>
      <c r="P15" s="534"/>
      <c r="Q15" s="1503"/>
      <c r="R15" s="1560"/>
      <c r="S15" s="1545"/>
      <c r="T15" s="1546"/>
      <c r="U15" s="1547"/>
      <c r="V15" s="1547"/>
      <c r="W15" s="1547"/>
      <c r="X15" s="1547"/>
      <c r="Y15" s="1547"/>
      <c r="Z15" s="1547"/>
      <c r="AA15" s="1547"/>
      <c r="AB15" s="1547"/>
      <c r="AC15" s="1547"/>
      <c r="AD15" s="1547"/>
      <c r="AE15" s="1547"/>
      <c r="AF15" s="1547"/>
      <c r="AG15" s="1547"/>
      <c r="AH15" s="1547"/>
      <c r="AI15" s="1547"/>
      <c r="AJ15" s="1547"/>
      <c r="AK15" s="1547"/>
      <c r="AL15" s="1547"/>
      <c r="AM15" s="1547"/>
      <c r="AN15" s="1547"/>
      <c r="AO15" s="1547"/>
      <c r="AP15" s="1547"/>
      <c r="AQ15" s="1547"/>
      <c r="AR15" s="1547"/>
      <c r="AS15" s="1547"/>
      <c r="AT15" s="1547"/>
      <c r="AU15" s="1547"/>
      <c r="AV15" s="1547"/>
      <c r="AW15" s="1547"/>
      <c r="AX15" s="1547"/>
      <c r="AY15" s="1547"/>
      <c r="AZ15" s="1547"/>
      <c r="BA15" s="1547"/>
      <c r="BB15" s="1547"/>
      <c r="BC15" s="1548"/>
      <c r="BE15" s="654"/>
      <c r="BF15" s="654" t="str">
        <f>IF(T15="","",T15)</f>
        <v/>
      </c>
      <c r="BG15" s="654"/>
      <c r="BH15" s="654"/>
    </row>
    <row s="8702" customFormat="1" customHeight="1" ht="14.25" hidden="1">
      <c r="A16" s="1502"/>
      <c r="B16" s="1502"/>
      <c r="C16" s="1502"/>
      <c r="D16" s="1473"/>
      <c r="E16" s="2321"/>
      <c r="F16" s="2321"/>
      <c r="G16" s="2320"/>
      <c r="H16" s="1473"/>
      <c r="I16" s="1473"/>
      <c r="J16" s="1473"/>
      <c r="K16" s="1473"/>
      <c r="L16" s="1623"/>
      <c r="M16" s="1474"/>
      <c r="N16" s="1474"/>
      <c r="P16" s="1475"/>
      <c r="Q16" s="1476"/>
      <c r="R16" s="1475"/>
      <c r="S16" s="1481"/>
      <c r="T16" s="1484"/>
      <c r="U16" s="1483"/>
      <c r="V16" s="1483"/>
      <c r="W16" s="1483"/>
      <c r="X16" s="1483"/>
      <c r="Y16" s="1483"/>
      <c r="Z16" s="1483"/>
      <c r="AA16" s="1483"/>
      <c r="AB16" s="1483"/>
      <c r="AC16" s="1483"/>
      <c r="AD16" s="1483"/>
      <c r="AE16" s="1483"/>
      <c r="AF16" s="1483"/>
      <c r="AG16" s="1483"/>
      <c r="AH16" s="1483"/>
      <c r="AI16" s="1483"/>
      <c r="AJ16" s="1483"/>
      <c r="AK16" s="1483"/>
      <c r="AL16" s="1483"/>
      <c r="AM16" s="1483"/>
      <c r="AN16" s="1483"/>
      <c r="AO16" s="1483"/>
      <c r="AP16" s="1483"/>
      <c r="AQ16" s="1483"/>
      <c r="AR16" s="1483"/>
      <c r="AS16" s="1483"/>
      <c r="AT16" s="1483"/>
      <c r="AU16" s="1483"/>
      <c r="AV16" s="1483"/>
      <c r="AW16" s="1483"/>
      <c r="AX16" s="1483"/>
      <c r="AY16" s="1483"/>
      <c r="AZ16" s="1483"/>
      <c r="BA16" s="1483"/>
      <c r="BB16" s="1483"/>
      <c r="BC16" s="1483"/>
      <c r="BE16" s="943"/>
      <c r="BF16" s="943" t="str">
        <f>IF(T16="","",T16)</f>
        <v/>
      </c>
      <c r="BG16" s="943"/>
      <c r="BH16" s="943"/>
    </row>
    <row s="8702" customFormat="1" customHeight="1" ht="14.25" hidden="1">
      <c r="A17" s="1502"/>
      <c r="B17" s="1502"/>
      <c r="C17" s="1473"/>
      <c r="D17" s="1473"/>
      <c r="E17" s="2321"/>
      <c r="F17" s="2320"/>
      <c r="G17" s="1473"/>
      <c r="H17" s="1473"/>
      <c r="I17" s="1473"/>
      <c r="J17" s="1473"/>
      <c r="K17" s="1473"/>
      <c r="L17" s="1623"/>
      <c r="M17" s="1480"/>
      <c r="N17" s="1480"/>
      <c r="P17" s="1475"/>
      <c r="Q17" s="1476"/>
      <c r="R17" s="1475"/>
      <c r="S17" s="1481"/>
      <c r="T17" s="1484" t="s">
        <v>251</v>
      </c>
      <c r="U17" s="1483"/>
      <c r="V17" s="1483"/>
      <c r="W17" s="1483"/>
      <c r="X17" s="1483"/>
      <c r="Y17" s="1483"/>
      <c r="Z17" s="1483"/>
      <c r="AA17" s="1483"/>
      <c r="AB17" s="1483"/>
      <c r="AC17" s="1483"/>
      <c r="AD17" s="1483"/>
      <c r="AE17" s="1483"/>
      <c r="AF17" s="1483"/>
      <c r="AG17" s="1483"/>
      <c r="AH17" s="1483"/>
      <c r="AI17" s="1483"/>
      <c r="AJ17" s="1483"/>
      <c r="AK17" s="1483"/>
      <c r="AL17" s="1483"/>
      <c r="AM17" s="1483"/>
      <c r="AN17" s="1483"/>
      <c r="AO17" s="1483"/>
      <c r="AP17" s="1483"/>
      <c r="AQ17" s="1483"/>
      <c r="AR17" s="1483"/>
      <c r="AS17" s="1483"/>
      <c r="AT17" s="1483"/>
      <c r="AU17" s="1483"/>
      <c r="AV17" s="1483"/>
      <c r="AW17" s="1483"/>
      <c r="AX17" s="1483"/>
      <c r="AY17" s="1483"/>
      <c r="AZ17" s="1483"/>
      <c r="BA17" s="1483"/>
      <c r="BB17" s="1483"/>
      <c r="BC17" s="1483"/>
      <c r="BE17" s="943"/>
      <c r="BF17" s="943" t="str">
        <f>IF(T17="","",T17)</f>
        <v>Добавить централизованную систему для дифференциации</v>
      </c>
      <c r="BG17" s="943"/>
      <c r="BH17" s="943"/>
    </row>
    <row s="8794" customFormat="1" customHeight="1" ht="14.25" hidden="1">
      <c r="A18" s="1502"/>
      <c r="B18" s="1502"/>
      <c r="C18" s="1502"/>
      <c r="D18" s="1502"/>
      <c r="E18" s="2320"/>
      <c r="F18" s="1502"/>
      <c r="G18" s="1502"/>
      <c r="H18" s="1502"/>
      <c r="I18" s="1502"/>
      <c r="J18" s="1502"/>
      <c r="K18" s="1502"/>
      <c r="L18" s="1505"/>
      <c r="M18" s="1480"/>
      <c r="N18" s="1480"/>
      <c r="O18" s="672"/>
      <c r="P18" s="534"/>
      <c r="Q18" s="1503"/>
      <c r="R18" s="534"/>
      <c r="S18" s="1481"/>
      <c r="T18" s="1484" t="s">
        <v>252</v>
      </c>
      <c r="U18" s="1483"/>
      <c r="V18" s="1483"/>
      <c r="W18" s="1483"/>
      <c r="X18" s="1483"/>
      <c r="Y18" s="1483"/>
      <c r="Z18" s="1483"/>
      <c r="AA18" s="1483"/>
      <c r="AB18" s="1483"/>
      <c r="AC18" s="1483"/>
      <c r="AD18" s="1483"/>
      <c r="AE18" s="1483"/>
      <c r="AF18" s="1483"/>
      <c r="AG18" s="1483"/>
      <c r="AH18" s="1483"/>
      <c r="AI18" s="1483"/>
      <c r="AJ18" s="1483"/>
      <c r="AK18" s="1483"/>
      <c r="AL18" s="1483"/>
      <c r="AM18" s="1483"/>
      <c r="AN18" s="1483"/>
      <c r="AO18" s="1483"/>
      <c r="AP18" s="1483"/>
      <c r="AQ18" s="1483"/>
      <c r="AR18" s="1483"/>
      <c r="AS18" s="1483"/>
      <c r="AT18" s="1483"/>
      <c r="AU18" s="1483"/>
      <c r="AV18" s="1483"/>
      <c r="AW18" s="1483"/>
      <c r="AX18" s="1483"/>
      <c r="AY18" s="1483"/>
      <c r="AZ18" s="1483"/>
      <c r="BA18" s="1483"/>
      <c r="BB18" s="1483"/>
      <c r="BC18" s="1483"/>
      <c r="BE18" s="654"/>
      <c r="BF18" s="654" t="str">
        <f>IF(T18="","",T18)</f>
        <v>Добавить территорию для дифференциации</v>
      </c>
      <c r="BG18" s="654"/>
      <c r="BH18" s="654"/>
    </row>
    <row customHeight="1" ht="14.25" hidden="1">
      <c r="AC19" s="481"/>
      <c r="BA19" s="481"/>
    </row>
    <row customHeight="1" ht="14.25" hidden="1">
      <c r="AD20" s="1483" t="s">
        <v>54</v>
      </c>
      <c r="AE20" s="1660"/>
      <c r="AF20" s="702">
        <v>1</v>
      </c>
      <c r="AG20" s="1661"/>
      <c r="AH20" s="1483" t="s">
        <v>54</v>
      </c>
      <c r="AI20" s="1660"/>
      <c r="AJ20" s="702">
        <v>1</v>
      </c>
      <c r="AK20" s="1661"/>
      <c r="AL20" s="1483" t="s">
        <v>54</v>
      </c>
      <c r="AM20" s="1662"/>
      <c r="AN20" s="702">
        <v>1</v>
      </c>
      <c r="AO20" s="1663"/>
      <c r="AP20" s="1483" t="s">
        <v>54</v>
      </c>
      <c r="AQ20" s="1662"/>
      <c r="AR20" s="702">
        <v>1</v>
      </c>
      <c r="AS20" s="1663"/>
      <c r="AT20" s="479"/>
      <c r="AU20" s="538"/>
      <c r="AV20" s="479"/>
      <c r="AW20" s="538"/>
      <c r="AX20" s="1895"/>
      <c r="AY20" s="1619" t="s">
        <v>64</v>
      </c>
      <c r="AZ20" s="1895"/>
      <c r="BA20" s="1619" t="s">
        <v>64</v>
      </c>
    </row>
    <row customHeight="1" ht="14.25" hidden="1">
      <c r="BD21" s="650"/>
      <c r="BE21" s="650"/>
      <c r="BF21" s="650"/>
      <c r="BG21" s="650"/>
      <c r="BH21" s="650"/>
    </row>
    <row customHeight="1" ht="14.25" hidden="1">
      <c r="O22" s="1526" t="s">
        <v>415</v>
      </c>
      <c r="Z22" s="1504"/>
      <c r="AB22" s="1504"/>
      <c r="AC22" s="481"/>
      <c r="AX22" s="1504"/>
      <c r="AZ22" s="1504"/>
      <c r="BA22" s="481"/>
      <c r="BD22" s="650"/>
      <c r="BE22" s="650"/>
      <c r="BF22" s="650"/>
      <c r="BG22" s="650"/>
      <c r="BH22" s="650"/>
    </row>
    <row customHeight="1" ht="14.25" hidden="1">
      <c r="AC23" s="481"/>
      <c r="BA23" s="481"/>
      <c r="BD23" s="650"/>
      <c r="BE23" s="650"/>
      <c r="BF23" s="650"/>
      <c r="BG23" s="650"/>
      <c r="BH23" s="650"/>
    </row>
    <row s="8950" customFormat="1" customHeight="1" ht="14.25" hidden="1">
      <c r="M24" s="1667"/>
      <c r="N24" s="1667"/>
      <c r="O24" s="1668" t="s">
        <v>416</v>
      </c>
      <c r="P24" s="1667"/>
      <c r="Q24" s="1669"/>
      <c r="R24" s="1669"/>
      <c r="AA24" s="1666" t="s">
        <v>418</v>
      </c>
      <c r="AC24" s="1666" t="s">
        <v>419</v>
      </c>
      <c r="AD24" s="1666" t="s">
        <v>466</v>
      </c>
      <c r="AH24" s="1666" t="s">
        <v>466</v>
      </c>
      <c r="AK24" s="1666" t="s">
        <v>504</v>
      </c>
      <c r="AL24" s="1666" t="s">
        <v>466</v>
      </c>
      <c r="AP24" s="1666" t="s">
        <v>466</v>
      </c>
      <c r="AY24" s="1666" t="s">
        <v>418</v>
      </c>
      <c r="BA24" s="1666" t="s">
        <v>419</v>
      </c>
      <c r="BD24" s="1670"/>
      <c r="BE24" s="1670"/>
      <c r="BF24" s="1670"/>
      <c r="BG24" s="1670"/>
      <c r="BH24" s="1670"/>
    </row>
    <row customHeight="1" ht="14.25" hidden="1">
      <c r="O25" s="1523"/>
      <c r="BD25" s="650"/>
      <c r="BE25" s="650"/>
      <c r="BF25" s="650"/>
      <c r="BG25" s="650"/>
      <c r="BH25" s="650"/>
    </row>
    <row customHeight="1" ht="14.25" hidden="1">
      <c r="O26" s="1523"/>
      <c r="BD26" s="650"/>
      <c r="BE26" s="650"/>
      <c r="BF26" s="650"/>
      <c r="BG26" s="650"/>
      <c r="BH26" s="650"/>
    </row>
    <row customHeight="1" ht="14.25">
      <c r="Q27" s="445"/>
      <c r="R27" s="530"/>
      <c r="S27" s="1434"/>
      <c r="T27" s="517"/>
      <c r="U27" s="517"/>
      <c r="V27" s="663"/>
      <c r="W27" s="663"/>
      <c r="X27" s="663"/>
      <c r="Y27" s="663"/>
      <c r="Z27" s="663"/>
      <c r="AA27" s="663"/>
      <c r="AB27" s="663"/>
      <c r="AC27" s="663"/>
      <c r="AD27" s="663"/>
      <c r="AE27" s="663"/>
      <c r="AF27" s="663"/>
      <c r="AG27" s="663"/>
      <c r="AH27" s="663"/>
      <c r="AI27" s="663"/>
      <c r="AJ27" s="663"/>
      <c r="AK27" s="663"/>
      <c r="AL27" s="663"/>
      <c r="AM27" s="663"/>
      <c r="AN27" s="663"/>
      <c r="AO27" s="663"/>
      <c r="AP27" s="663"/>
      <c r="AQ27" s="663"/>
      <c r="AR27" s="663"/>
      <c r="AS27" s="663"/>
      <c r="AT27" s="663"/>
      <c r="AU27" s="663"/>
      <c r="AV27" s="663"/>
      <c r="AW27" s="663"/>
      <c r="AX27" s="663"/>
      <c r="AY27" s="663"/>
      <c r="AZ27" s="663"/>
      <c r="BA27" s="663"/>
    </row>
    <row customHeight="1" ht="14.25">
      <c r="Q28" s="445"/>
      <c r="R28" s="530"/>
      <c r="S28" s="2353" t="str">
        <f>IF(TEMPLATE_GROUP="P",PT_P_FORM_COLDVSNA_5_NAME_FORM,PT_R_FORM_COLDVSNA_17_NAME_FORM)</f>
        <v>Форма 3. Информация об установленных тарифах на подключение (технологическое присоединение) к централизованной системе холодного водоснабжения</v>
      </c>
      <c r="T28" s="2353"/>
      <c r="U28" s="2353"/>
      <c r="V28" s="2353"/>
      <c r="W28" s="2353"/>
      <c r="X28" s="2353"/>
      <c r="Y28" s="2353"/>
      <c r="Z28" s="2353"/>
      <c r="AA28" s="2353"/>
      <c r="AB28" s="2353"/>
      <c r="AC28" s="2353"/>
      <c r="AD28" s="2353"/>
      <c r="AE28" s="2353"/>
      <c r="AF28" s="2353"/>
      <c r="AG28" s="2353"/>
      <c r="AH28" s="2353"/>
      <c r="AI28" s="2353"/>
      <c r="AJ28" s="2353"/>
      <c r="AK28" s="2353"/>
      <c r="AL28" s="2353"/>
      <c r="AM28" s="2353"/>
      <c r="AN28" s="2353"/>
      <c r="AO28" s="2353"/>
      <c r="AP28" s="2353"/>
      <c r="AQ28" s="2353"/>
      <c r="AR28" s="2353"/>
      <c r="AS28" s="2353"/>
      <c r="AT28" s="2353"/>
      <c r="AU28" s="2353"/>
      <c r="AV28" s="2353"/>
      <c r="AW28" s="2353"/>
      <c r="AX28" s="2353"/>
      <c r="AY28" s="2353"/>
      <c r="AZ28" s="2353"/>
      <c r="BA28" s="1401"/>
    </row>
    <row customHeight="1" ht="14.25">
      <c r="Q29" s="445"/>
      <c r="R29" s="530"/>
      <c r="S29" s="2354" t="str">
        <f>IF(org=0,"Не определено",org)</f>
        <v>АО "Теплокоммунэнерго"</v>
      </c>
      <c r="T29" s="2354"/>
      <c r="U29" s="2354"/>
      <c r="V29" s="2354"/>
      <c r="W29" s="2354"/>
      <c r="X29" s="2354"/>
      <c r="Y29" s="2354"/>
      <c r="Z29" s="2354"/>
      <c r="AA29" s="2354"/>
      <c r="AB29" s="2354"/>
      <c r="AC29" s="2354"/>
      <c r="AD29" s="2354"/>
      <c r="AE29" s="2354"/>
      <c r="AF29" s="2354"/>
      <c r="AG29" s="2354"/>
      <c r="AH29" s="2354"/>
      <c r="AI29" s="2354"/>
      <c r="AJ29" s="2354"/>
      <c r="AK29" s="2354"/>
      <c r="AL29" s="2354"/>
      <c r="AM29" s="2354"/>
      <c r="AN29" s="2354"/>
      <c r="AO29" s="2354"/>
      <c r="AP29" s="2354"/>
      <c r="AQ29" s="2354"/>
      <c r="AR29" s="2354"/>
      <c r="AS29" s="2354"/>
      <c r="AT29" s="2354"/>
      <c r="AU29" s="2354"/>
      <c r="AV29" s="2354"/>
      <c r="AW29" s="2354"/>
      <c r="AX29" s="2354"/>
      <c r="AY29" s="2354"/>
      <c r="AZ29" s="2354"/>
      <c r="BA29" s="1401"/>
    </row>
    <row customHeight="1" ht="14.25">
      <c r="Q30" s="445"/>
      <c r="R30" s="530"/>
      <c r="S30" s="1434"/>
      <c r="T30" s="517"/>
      <c r="U30" s="517"/>
      <c r="V30" s="476"/>
      <c r="W30" s="476"/>
      <c r="X30" s="476"/>
      <c r="Y30" s="476"/>
      <c r="Z30" s="476"/>
      <c r="AA30" s="476"/>
      <c r="AB30" s="476"/>
      <c r="AC30" s="476"/>
      <c r="AD30" s="476"/>
      <c r="AE30" s="476"/>
      <c r="AF30" s="476"/>
      <c r="AG30" s="476"/>
      <c r="AH30" s="476"/>
      <c r="AI30" s="476"/>
      <c r="AJ30" s="476"/>
      <c r="AK30" s="476"/>
      <c r="AL30" s="476"/>
      <c r="AM30" s="476"/>
      <c r="AN30" s="476"/>
      <c r="AO30" s="476"/>
      <c r="AP30" s="476"/>
      <c r="AQ30" s="476"/>
      <c r="AR30" s="476"/>
      <c r="AS30" s="476"/>
      <c r="AT30" s="476"/>
      <c r="AU30" s="476"/>
      <c r="AV30" s="476"/>
      <c r="AW30" s="476"/>
      <c r="AX30" s="476"/>
      <c r="AY30" s="476"/>
      <c r="AZ30" s="476"/>
      <c r="BA30" s="476"/>
      <c r="BB30" s="663"/>
    </row>
    <row s="8735" customFormat="1" customHeight="1" ht="25.5">
      <c r="A31" s="1527"/>
      <c r="B31" s="1527"/>
      <c r="C31" s="1527"/>
      <c r="D31" s="1527"/>
      <c r="E31" s="1527"/>
      <c r="F31" s="1527"/>
      <c r="G31" s="1527"/>
      <c r="H31" s="1527"/>
      <c r="I31" s="1527"/>
      <c r="J31" s="1527"/>
      <c r="K31" s="1527"/>
      <c r="L31" s="1528"/>
      <c r="M31" s="1527"/>
      <c r="N31" s="1527"/>
      <c r="O31" s="1527"/>
      <c r="P31" s="1527"/>
      <c r="Q31" s="1527"/>
      <c r="S31" s="2311" t="s">
        <v>38</v>
      </c>
      <c r="T31" s="2311"/>
      <c r="U31" s="1531"/>
      <c r="V31" s="2313" t="str">
        <f>IF(TITLE_NAME_OR_PR_CHANGE="",IF(TITLE_NAME_OR_PR="","",TITLE_NAME_OR_PR),TITLE_NAME_OR_PR_CHANGE)</f>
        <v>Региональная служба по тарифам Ростовской области</v>
      </c>
      <c r="W31" s="2313"/>
      <c r="X31" s="2313"/>
      <c r="Y31" s="2313"/>
      <c r="Z31" s="2313"/>
      <c r="AA31" s="2313"/>
      <c r="AB31" s="2313"/>
      <c r="AC31" s="480"/>
      <c r="AD31" s="2313" t="str">
        <f>IF(TITLE_NAME_OR_PR_CHANGE="",IF(TITLE_NAME_OR_PR="","",TITLE_NAME_OR_PR),TITLE_NAME_OR_PR_CHANGE)</f>
        <v>Региональная служба по тарифам Ростовской области</v>
      </c>
      <c r="AE31" s="2313"/>
      <c r="AF31" s="2313"/>
      <c r="AG31" s="2313"/>
      <c r="AH31" s="2313"/>
      <c r="AI31" s="2313"/>
      <c r="AJ31" s="2313"/>
      <c r="AK31" s="2313"/>
      <c r="AL31" s="2313"/>
      <c r="AM31" s="2313"/>
      <c r="AN31" s="2313"/>
      <c r="AO31" s="2313"/>
      <c r="AP31" s="2313"/>
      <c r="AQ31" s="2313"/>
      <c r="AR31" s="2313"/>
      <c r="AS31" s="2313"/>
      <c r="AT31" s="2313"/>
      <c r="AU31" s="2313"/>
      <c r="AV31" s="2313"/>
      <c r="AW31" s="2313"/>
      <c r="AX31" s="2313"/>
      <c r="AY31" s="2313"/>
      <c r="AZ31" s="2313"/>
      <c r="BA31" s="480"/>
      <c r="BB31" s="480"/>
      <c r="BC31" s="434"/>
      <c r="BD31" s="522"/>
      <c r="BE31" s="522"/>
      <c r="BF31" s="522"/>
      <c r="BG31" s="522"/>
      <c r="BH31" s="522"/>
    </row>
    <row s="8735" customFormat="1" customHeight="1" ht="18.75">
      <c r="A32" s="1527"/>
      <c r="B32" s="1527"/>
      <c r="C32" s="1527"/>
      <c r="D32" s="1527"/>
      <c r="E32" s="1527"/>
      <c r="F32" s="1527"/>
      <c r="G32" s="1527"/>
      <c r="H32" s="1527"/>
      <c r="I32" s="1527"/>
      <c r="J32" s="1527"/>
      <c r="K32" s="1527"/>
      <c r="L32" s="1528"/>
      <c r="M32" s="1527"/>
      <c r="N32" s="1527"/>
      <c r="O32" s="1527"/>
      <c r="P32" s="1527"/>
      <c r="Q32" s="1527"/>
      <c r="S32" s="2311" t="s">
        <v>421</v>
      </c>
      <c r="T32" s="2311"/>
      <c r="U32" s="1531"/>
      <c r="V32" s="2312" t="str">
        <f>IF(TITLE_DATE_PR_CHANGE="",IF(TITLE_DATE_PR="","",TITLE_DATE_PR),TITLE_DATE_PR_CHANGE)</f>
        <v>45279</v>
      </c>
      <c r="W32" s="2312"/>
      <c r="X32" s="2312"/>
      <c r="Y32" s="2312"/>
      <c r="Z32" s="2312"/>
      <c r="AA32" s="2312"/>
      <c r="AB32" s="2312"/>
      <c r="AC32" s="480"/>
      <c r="AD32" s="2312" t="str">
        <f>IF(TITLE_DATE_PR_CHANGE="",IF(TITLE_DATE_PR="","",TITLE_DATE_PR),TITLE_DATE_PR_CHANGE)</f>
        <v>45279</v>
      </c>
      <c r="AE32" s="2312"/>
      <c r="AF32" s="2312"/>
      <c r="AG32" s="2312"/>
      <c r="AH32" s="2312"/>
      <c r="AI32" s="2312"/>
      <c r="AJ32" s="2312"/>
      <c r="AK32" s="2312"/>
      <c r="AL32" s="2312"/>
      <c r="AM32" s="2312"/>
      <c r="AN32" s="2312"/>
      <c r="AO32" s="2312"/>
      <c r="AP32" s="2312"/>
      <c r="AQ32" s="2312"/>
      <c r="AR32" s="2312"/>
      <c r="AS32" s="2312"/>
      <c r="AT32" s="2312"/>
      <c r="AU32" s="2312"/>
      <c r="AV32" s="2312"/>
      <c r="AW32" s="2312"/>
      <c r="AX32" s="2312"/>
      <c r="AY32" s="2312"/>
      <c r="AZ32" s="2312"/>
      <c r="BA32" s="480"/>
      <c r="BB32" s="480"/>
      <c r="BC32" s="434"/>
      <c r="BD32" s="522"/>
      <c r="BE32" s="522"/>
      <c r="BF32" s="522"/>
      <c r="BG32" s="522"/>
      <c r="BH32" s="522"/>
    </row>
    <row s="8735" customFormat="1" customHeight="1" ht="18.75">
      <c r="A33" s="1527"/>
      <c r="B33" s="1527"/>
      <c r="C33" s="1527"/>
      <c r="D33" s="1527"/>
      <c r="E33" s="1527"/>
      <c r="F33" s="1527"/>
      <c r="G33" s="1527"/>
      <c r="H33" s="1527"/>
      <c r="I33" s="1527"/>
      <c r="J33" s="1527"/>
      <c r="K33" s="1527"/>
      <c r="L33" s="1528"/>
      <c r="M33" s="1527"/>
      <c r="N33" s="1527"/>
      <c r="O33" s="1527"/>
      <c r="P33" s="1527"/>
      <c r="Q33" s="1527"/>
      <c r="S33" s="2311" t="s">
        <v>422</v>
      </c>
      <c r="T33" s="2311"/>
      <c r="U33" s="1531"/>
      <c r="V33" s="2313" t="str">
        <f>IF(TITLE_NUMBER_PR_CHANGE="",IF(TITLE_NUMBER_PR="","",TITLE_NUMBER_PR),TITLE_NUMBER_PR_CHANGE)</f>
        <v>877</v>
      </c>
      <c r="W33" s="2313"/>
      <c r="X33" s="2313"/>
      <c r="Y33" s="2313"/>
      <c r="Z33" s="2313"/>
      <c r="AA33" s="2313"/>
      <c r="AB33" s="2313"/>
      <c r="AC33" s="480"/>
      <c r="AD33" s="2313" t="str">
        <f>IF(TITLE_NUMBER_PR_CHANGE="",IF(TITLE_NUMBER_PR="","",TITLE_NUMBER_PR),TITLE_NUMBER_PR_CHANGE)</f>
        <v>877</v>
      </c>
      <c r="AE33" s="2313"/>
      <c r="AF33" s="2313"/>
      <c r="AG33" s="2313"/>
      <c r="AH33" s="2313"/>
      <c r="AI33" s="2313"/>
      <c r="AJ33" s="2313"/>
      <c r="AK33" s="2313"/>
      <c r="AL33" s="2313"/>
      <c r="AM33" s="2313"/>
      <c r="AN33" s="2313"/>
      <c r="AO33" s="2313"/>
      <c r="AP33" s="2313"/>
      <c r="AQ33" s="2313"/>
      <c r="AR33" s="2313"/>
      <c r="AS33" s="2313"/>
      <c r="AT33" s="2313"/>
      <c r="AU33" s="2313"/>
      <c r="AV33" s="2313"/>
      <c r="AW33" s="2313"/>
      <c r="AX33" s="2313"/>
      <c r="AY33" s="2313"/>
      <c r="AZ33" s="2313"/>
      <c r="BA33" s="480"/>
      <c r="BB33" s="480"/>
      <c r="BC33" s="434"/>
      <c r="BD33" s="522"/>
      <c r="BE33" s="522"/>
      <c r="BF33" s="522"/>
      <c r="BG33" s="522"/>
      <c r="BH33" s="522"/>
    </row>
    <row s="8735" customFormat="1" customHeight="1" ht="18.75">
      <c r="A34" s="1527"/>
      <c r="B34" s="1527"/>
      <c r="C34" s="1527"/>
      <c r="D34" s="1527"/>
      <c r="E34" s="1527"/>
      <c r="F34" s="1527"/>
      <c r="G34" s="1527"/>
      <c r="H34" s="1527"/>
      <c r="I34" s="1527"/>
      <c r="J34" s="1527"/>
      <c r="K34" s="1527"/>
      <c r="L34" s="1528"/>
      <c r="M34" s="1527"/>
      <c r="N34" s="1527"/>
      <c r="O34" s="1527"/>
      <c r="P34" s="1527"/>
      <c r="Q34" s="1527"/>
      <c r="S34" s="2311" t="s">
        <v>40</v>
      </c>
      <c r="T34" s="2311"/>
      <c r="U34" s="1531"/>
      <c r="V34" s="2313" t="str">
        <f>IF(TITLE_IST_PUB_CHANGE="",IF(TITLE_IST_PUB="","",TITLE_IST_PUB),TITLE_IST_PUB_CHANGE)</f>
        <v>Официальный портал правовой информации Ростовской области</v>
      </c>
      <c r="W34" s="2313"/>
      <c r="X34" s="2313"/>
      <c r="Y34" s="2313"/>
      <c r="Z34" s="2313"/>
      <c r="AA34" s="2313"/>
      <c r="AB34" s="2313"/>
      <c r="AC34" s="480"/>
      <c r="AD34" s="2313" t="str">
        <f>IF(TITLE_IST_PUB_CHANGE="",IF(TITLE_IST_PUB="","",TITLE_IST_PUB),TITLE_IST_PUB_CHANGE)</f>
        <v>Официальный портал правовой информации Ростовской области</v>
      </c>
      <c r="AE34" s="2313"/>
      <c r="AF34" s="2313"/>
      <c r="AG34" s="2313"/>
      <c r="AH34" s="2313"/>
      <c r="AI34" s="2313"/>
      <c r="AJ34" s="2313"/>
      <c r="AK34" s="2313"/>
      <c r="AL34" s="2313"/>
      <c r="AM34" s="2313"/>
      <c r="AN34" s="2313"/>
      <c r="AO34" s="2313"/>
      <c r="AP34" s="2313"/>
      <c r="AQ34" s="2313"/>
      <c r="AR34" s="2313"/>
      <c r="AS34" s="2313"/>
      <c r="AT34" s="2313"/>
      <c r="AU34" s="2313"/>
      <c r="AV34" s="2313"/>
      <c r="AW34" s="2313"/>
      <c r="AX34" s="2313"/>
      <c r="AY34" s="2313"/>
      <c r="AZ34" s="2313"/>
      <c r="BA34" s="480"/>
      <c r="BB34" s="480"/>
      <c r="BC34" s="434"/>
      <c r="BD34" s="522"/>
      <c r="BE34" s="522"/>
      <c r="BF34" s="522"/>
      <c r="BG34" s="522"/>
      <c r="BH34" s="522"/>
    </row>
    <row customHeight="1" ht="14.25" hidden="1">
      <c r="Q35" s="445"/>
      <c r="R35" s="530"/>
      <c r="S35" s="1434"/>
      <c r="T35" s="517"/>
      <c r="U35" s="517"/>
      <c r="V35" s="476"/>
      <c r="W35" s="476"/>
      <c r="X35" s="476"/>
      <c r="Y35" s="476"/>
      <c r="Z35" s="476"/>
      <c r="AA35" s="476"/>
      <c r="AB35" s="476"/>
      <c r="AC35" s="476"/>
      <c r="AD35" s="476"/>
      <c r="AE35" s="476"/>
      <c r="AF35" s="476"/>
      <c r="AG35" s="476"/>
      <c r="AH35" s="476"/>
      <c r="AI35" s="476"/>
      <c r="AJ35" s="476"/>
      <c r="AK35" s="476"/>
      <c r="AL35" s="476"/>
      <c r="AM35" s="476"/>
      <c r="AN35" s="476"/>
      <c r="AO35" s="476"/>
      <c r="AP35" s="476"/>
      <c r="AQ35" s="476"/>
      <c r="AR35" s="476"/>
      <c r="AS35" s="476"/>
      <c r="AT35" s="476"/>
      <c r="AU35" s="476"/>
      <c r="AV35" s="476"/>
      <c r="AW35" s="476"/>
      <c r="AX35" s="476"/>
      <c r="AY35" s="476"/>
      <c r="AZ35" s="476"/>
      <c r="BA35" s="476"/>
      <c r="BB35" s="663"/>
    </row>
    <row s="8735" customFormat="1" customHeight="1" ht="18.75" hidden="1">
      <c r="A36" s="1527"/>
      <c r="B36" s="1527"/>
      <c r="C36" s="1527"/>
      <c r="D36" s="1527"/>
      <c r="E36" s="1527"/>
      <c r="F36" s="1527"/>
      <c r="G36" s="1527"/>
      <c r="H36" s="1527"/>
      <c r="I36" s="1527"/>
      <c r="J36" s="1527"/>
      <c r="K36" s="1527"/>
      <c r="L36" s="1528"/>
      <c r="M36" s="1527"/>
      <c r="N36" s="1527"/>
      <c r="O36" s="1527"/>
      <c r="P36" s="1527"/>
      <c r="Q36" s="1527"/>
      <c r="S36" s="2311" t="s">
        <v>421</v>
      </c>
      <c r="T36" s="2311"/>
      <c r="U36" s="1531"/>
      <c r="V36" s="2312" t="str">
        <f>IF(TITLE_DATE_PR_CHANGE="",IF(TITLE_DATE_PR="","",TITLE_DATE_PR),TITLE_DATE_PR_CHANGE)</f>
        <v>45279</v>
      </c>
      <c r="W36" s="2312"/>
      <c r="X36" s="2312"/>
      <c r="Y36" s="2312"/>
      <c r="Z36" s="2312"/>
      <c r="AA36" s="2312"/>
      <c r="AB36" s="2312"/>
      <c r="AC36" s="480"/>
      <c r="AD36" s="2312" t="str">
        <f>IF(TITLE_DATE_PR_CHANGE="",IF(TITLE_DATE_PR="","",TITLE_DATE_PR),TITLE_DATE_PR_CHANGE)</f>
        <v>45279</v>
      </c>
      <c r="AE36" s="2312"/>
      <c r="AF36" s="2312"/>
      <c r="AG36" s="2312"/>
      <c r="AH36" s="2312"/>
      <c r="AI36" s="2312"/>
      <c r="AJ36" s="2312"/>
      <c r="AK36" s="2312"/>
      <c r="AL36" s="2312"/>
      <c r="AM36" s="2312"/>
      <c r="AN36" s="2312"/>
      <c r="AO36" s="2312"/>
      <c r="AP36" s="2312"/>
      <c r="AQ36" s="2312"/>
      <c r="AR36" s="2312"/>
      <c r="AS36" s="2312"/>
      <c r="AT36" s="2312"/>
      <c r="AU36" s="2312"/>
      <c r="AV36" s="2312"/>
      <c r="AW36" s="2312"/>
      <c r="AX36" s="2312"/>
      <c r="AY36" s="2312"/>
      <c r="AZ36" s="2312"/>
      <c r="BA36" s="480"/>
      <c r="BB36" s="480"/>
      <c r="BC36" s="434"/>
      <c r="BD36" s="522"/>
      <c r="BE36" s="522"/>
      <c r="BF36" s="522"/>
      <c r="BG36" s="522"/>
      <c r="BH36" s="522"/>
    </row>
    <row s="8735" customFormat="1" customHeight="1" ht="18.75" hidden="1">
      <c r="A37" s="1527"/>
      <c r="B37" s="1527"/>
      <c r="C37" s="1527"/>
      <c r="D37" s="1527"/>
      <c r="E37" s="1527"/>
      <c r="F37" s="1527"/>
      <c r="G37" s="1527"/>
      <c r="H37" s="1527"/>
      <c r="I37" s="1527"/>
      <c r="J37" s="1527"/>
      <c r="K37" s="1527"/>
      <c r="L37" s="1528"/>
      <c r="M37" s="1527"/>
      <c r="N37" s="1527"/>
      <c r="O37" s="1527"/>
      <c r="P37" s="1527"/>
      <c r="Q37" s="1527"/>
      <c r="S37" s="2311" t="s">
        <v>422</v>
      </c>
      <c r="T37" s="2311"/>
      <c r="U37" s="1531"/>
      <c r="V37" s="2313" t="str">
        <f>IF(TITLE_NUMBER_PR_CHANGE="",IF(TITLE_NUMBER_PR="","",TITLE_NUMBER_PR),TITLE_NUMBER_PR_CHANGE)</f>
        <v>877</v>
      </c>
      <c r="W37" s="2313"/>
      <c r="X37" s="2313"/>
      <c r="Y37" s="2313"/>
      <c r="Z37" s="2313"/>
      <c r="AA37" s="2313"/>
      <c r="AB37" s="2313"/>
      <c r="AC37" s="480"/>
      <c r="AD37" s="2313" t="str">
        <f>IF(TITLE_NUMBER_PR_CHANGE="",IF(TITLE_NUMBER_PR="","",TITLE_NUMBER_PR),TITLE_NUMBER_PR_CHANGE)</f>
        <v>877</v>
      </c>
      <c r="AE37" s="2313"/>
      <c r="AF37" s="2313"/>
      <c r="AG37" s="2313"/>
      <c r="AH37" s="2313"/>
      <c r="AI37" s="2313"/>
      <c r="AJ37" s="2313"/>
      <c r="AK37" s="2313"/>
      <c r="AL37" s="2313"/>
      <c r="AM37" s="2313"/>
      <c r="AN37" s="2313"/>
      <c r="AO37" s="2313"/>
      <c r="AP37" s="2313"/>
      <c r="AQ37" s="2313"/>
      <c r="AR37" s="2313"/>
      <c r="AS37" s="2313"/>
      <c r="AT37" s="2313"/>
      <c r="AU37" s="2313"/>
      <c r="AV37" s="2313"/>
      <c r="AW37" s="2313"/>
      <c r="AX37" s="2313"/>
      <c r="AY37" s="2313"/>
      <c r="AZ37" s="2313"/>
      <c r="BA37" s="480"/>
      <c r="BB37" s="480"/>
      <c r="BC37" s="434"/>
      <c r="BD37" s="522"/>
      <c r="BE37" s="522"/>
      <c r="BF37" s="522"/>
      <c r="BG37" s="522"/>
      <c r="BH37" s="522"/>
    </row>
    <row s="8735" customFormat="1" customHeight="1" ht="0">
      <c r="A38" s="1527"/>
      <c r="B38" s="1527"/>
      <c r="C38" s="1527"/>
      <c r="D38" s="1527"/>
      <c r="E38" s="1527"/>
      <c r="F38" s="1527"/>
      <c r="G38" s="1527"/>
      <c r="H38" s="1527"/>
      <c r="I38" s="1527"/>
      <c r="J38" s="1527"/>
      <c r="K38" s="1527"/>
      <c r="L38" s="1528"/>
      <c r="M38" s="1527"/>
      <c r="N38" s="1527"/>
      <c r="O38" s="1527"/>
      <c r="P38" s="1527"/>
      <c r="Q38" s="1527"/>
      <c r="S38" s="477"/>
      <c r="T38" s="477"/>
      <c r="U38" s="1613"/>
      <c r="V38" s="480"/>
      <c r="W38" s="480"/>
      <c r="X38" s="480"/>
      <c r="Y38" s="480"/>
      <c r="Z38" s="480"/>
      <c r="AA38" s="480"/>
      <c r="AB38" s="480"/>
      <c r="AC38" s="432" t="s">
        <v>425</v>
      </c>
      <c r="AD38" s="480"/>
      <c r="AE38" s="480"/>
      <c r="AF38" s="480"/>
      <c r="AG38" s="480"/>
      <c r="AH38" s="480"/>
      <c r="AI38" s="480"/>
      <c r="AJ38" s="480"/>
      <c r="AK38" s="480"/>
      <c r="AL38" s="480"/>
      <c r="AM38" s="480"/>
      <c r="AN38" s="480"/>
      <c r="AO38" s="480"/>
      <c r="AP38" s="480"/>
      <c r="AQ38" s="480"/>
      <c r="AR38" s="480"/>
      <c r="AS38" s="480"/>
      <c r="AT38" s="480"/>
      <c r="AU38" s="480"/>
      <c r="AV38" s="480"/>
      <c r="AW38" s="480"/>
      <c r="AX38" s="480"/>
      <c r="AY38" s="480"/>
      <c r="AZ38" s="480"/>
      <c r="BA38" s="432" t="s">
        <v>425</v>
      </c>
      <c r="BD38" s="522"/>
      <c r="BE38" s="522"/>
      <c r="BF38" s="522"/>
      <c r="BG38" s="522"/>
      <c r="BH38" s="522"/>
    </row>
    <row customHeight="1" ht="14.25">
      <c r="Q39" s="445"/>
      <c r="R39" s="530"/>
      <c r="S39" s="1434"/>
      <c r="T39" s="517"/>
      <c r="U39" s="1402"/>
      <c r="V39" s="2337"/>
      <c r="W39" s="2337"/>
      <c r="X39" s="2337"/>
      <c r="Y39" s="2337"/>
      <c r="Z39" s="2337"/>
      <c r="AA39" s="2337"/>
      <c r="AB39" s="2337"/>
      <c r="AC39" s="2337"/>
      <c r="AD39" s="2337"/>
      <c r="AE39" s="2337"/>
      <c r="AF39" s="2337"/>
      <c r="AG39" s="2337"/>
      <c r="AH39" s="2337"/>
      <c r="AI39" s="2337"/>
      <c r="AJ39" s="2337"/>
      <c r="AK39" s="2337"/>
      <c r="AL39" s="2337"/>
      <c r="AM39" s="2337"/>
      <c r="AN39" s="2337"/>
      <c r="AO39" s="2337"/>
      <c r="AP39" s="2337"/>
      <c r="AQ39" s="2337"/>
      <c r="AR39" s="2337"/>
      <c r="AS39" s="2337"/>
      <c r="AT39" s="2337"/>
      <c r="AU39" s="2337"/>
      <c r="AV39" s="2337"/>
      <c r="AW39" s="2337"/>
      <c r="AX39" s="2337"/>
      <c r="AY39" s="2337"/>
      <c r="AZ39" s="2337"/>
      <c r="BA39" s="2337"/>
    </row>
    <row customHeight="1" ht="14.25">
      <c r="Q40" s="445"/>
      <c r="R40" s="530"/>
      <c r="S40" s="2185" t="s">
        <v>300</v>
      </c>
      <c r="T40" s="2185"/>
      <c r="U40" s="2185"/>
      <c r="V40" s="2185"/>
      <c r="W40" s="2185"/>
      <c r="X40" s="2185"/>
      <c r="Y40" s="2185"/>
      <c r="Z40" s="2185"/>
      <c r="AA40" s="2185"/>
      <c r="AB40" s="2185"/>
      <c r="AC40" s="2185"/>
      <c r="AD40" s="2185"/>
      <c r="AE40" s="2185"/>
      <c r="AF40" s="2185"/>
      <c r="AG40" s="2185"/>
      <c r="AH40" s="2185"/>
      <c r="AI40" s="2185"/>
      <c r="AJ40" s="2185"/>
      <c r="AK40" s="2185"/>
      <c r="AL40" s="2185"/>
      <c r="AM40" s="2185"/>
      <c r="AN40" s="2185"/>
      <c r="AO40" s="2185"/>
      <c r="AP40" s="2185"/>
      <c r="AQ40" s="2185"/>
      <c r="AR40" s="2185"/>
      <c r="AS40" s="2185"/>
      <c r="AT40" s="2185"/>
      <c r="AU40" s="2185"/>
      <c r="AV40" s="2185"/>
      <c r="AW40" s="2185"/>
      <c r="AX40" s="2185"/>
      <c r="AY40" s="2185"/>
      <c r="AZ40" s="2185"/>
      <c r="BA40" s="2185"/>
      <c r="BB40" s="2185"/>
      <c r="BC40" s="2185" t="s">
        <v>301</v>
      </c>
    </row>
    <row customHeight="1" ht="14.25">
      <c r="Q41" s="445"/>
      <c r="R41" s="530"/>
      <c r="S41" s="2338" t="s">
        <v>85</v>
      </c>
      <c r="T41" s="2275" t="s">
        <v>505</v>
      </c>
      <c r="U41" s="455"/>
      <c r="V41" s="2339" t="s">
        <v>427</v>
      </c>
      <c r="W41" s="2340"/>
      <c r="X41" s="2340"/>
      <c r="Y41" s="2340"/>
      <c r="Z41" s="2340"/>
      <c r="AA41" s="2340"/>
      <c r="AB41" s="2341"/>
      <c r="AC41" s="2342" t="s">
        <v>428</v>
      </c>
      <c r="AD41" s="2386" t="s">
        <v>506</v>
      </c>
      <c r="AE41" s="2361"/>
      <c r="AF41" s="2361"/>
      <c r="AG41" s="2387"/>
      <c r="AH41" s="2386" t="s">
        <v>507</v>
      </c>
      <c r="AI41" s="2361"/>
      <c r="AJ41" s="2361"/>
      <c r="AK41" s="2387"/>
      <c r="AL41" s="2386" t="s">
        <v>508</v>
      </c>
      <c r="AM41" s="2361"/>
      <c r="AN41" s="2361"/>
      <c r="AO41" s="2387"/>
      <c r="AP41" s="2386" t="s">
        <v>509</v>
      </c>
      <c r="AQ41" s="2361"/>
      <c r="AR41" s="2361"/>
      <c r="AS41" s="2387"/>
      <c r="AT41" s="2339" t="s">
        <v>427</v>
      </c>
      <c r="AU41" s="2340"/>
      <c r="AV41" s="2340"/>
      <c r="AW41" s="2340"/>
      <c r="AX41" s="2340"/>
      <c r="AY41" s="2340"/>
      <c r="AZ41" s="2341"/>
      <c r="BA41" s="2342" t="s">
        <v>428</v>
      </c>
      <c r="BB41" s="2345" t="s">
        <v>430</v>
      </c>
      <c r="BC41" s="2185"/>
    </row>
    <row customHeight="1" ht="33.75">
      <c r="Q42" s="445"/>
      <c r="R42" s="530"/>
      <c r="S42" s="2338"/>
      <c r="T42" s="2275"/>
      <c r="U42" s="1186"/>
      <c r="V42" s="2243" t="s">
        <v>510</v>
      </c>
      <c r="W42" s="2244"/>
      <c r="X42" s="2243" t="s">
        <v>511</v>
      </c>
      <c r="Y42" s="2244"/>
      <c r="Z42" s="2359" t="s">
        <v>512</v>
      </c>
      <c r="AA42" s="2377"/>
      <c r="AB42" s="2378"/>
      <c r="AC42" s="2343"/>
      <c r="AD42" s="2388"/>
      <c r="AE42" s="2389"/>
      <c r="AF42" s="2389"/>
      <c r="AG42" s="2401"/>
      <c r="AH42" s="2388"/>
      <c r="AI42" s="2389"/>
      <c r="AJ42" s="2389"/>
      <c r="AK42" s="2401"/>
      <c r="AL42" s="2388"/>
      <c r="AM42" s="2389"/>
      <c r="AN42" s="2389"/>
      <c r="AO42" s="2401"/>
      <c r="AP42" s="2388"/>
      <c r="AQ42" s="2389"/>
      <c r="AR42" s="2389"/>
      <c r="AS42" s="2401"/>
      <c r="AT42" s="2243" t="s">
        <v>510</v>
      </c>
      <c r="AU42" s="2244"/>
      <c r="AV42" s="2243" t="s">
        <v>511</v>
      </c>
      <c r="AW42" s="2244"/>
      <c r="AX42" s="2359" t="s">
        <v>512</v>
      </c>
      <c r="AY42" s="2377"/>
      <c r="AZ42" s="2378"/>
      <c r="BA42" s="2343"/>
      <c r="BB42" s="2346"/>
      <c r="BC42" s="2185"/>
    </row>
    <row customHeight="1" ht="14.25">
      <c r="Q43" s="445"/>
      <c r="R43" s="530"/>
      <c r="S43" s="2338"/>
      <c r="T43" s="2275"/>
      <c r="U43" s="1186"/>
      <c r="V43" s="2251"/>
      <c r="W43" s="2252"/>
      <c r="X43" s="2251"/>
      <c r="Y43" s="2252"/>
      <c r="Z43" s="2360"/>
      <c r="AA43" s="2379"/>
      <c r="AB43" s="2380"/>
      <c r="AC43" s="2343"/>
      <c r="AD43" s="2388"/>
      <c r="AE43" s="2389"/>
      <c r="AF43" s="2389"/>
      <c r="AG43" s="2401"/>
      <c r="AH43" s="2388"/>
      <c r="AI43" s="2389"/>
      <c r="AJ43" s="2389"/>
      <c r="AK43" s="2401"/>
      <c r="AL43" s="2388"/>
      <c r="AM43" s="2389"/>
      <c r="AN43" s="2389"/>
      <c r="AO43" s="2401"/>
      <c r="AP43" s="2388"/>
      <c r="AQ43" s="2389"/>
      <c r="AR43" s="2389"/>
      <c r="AS43" s="2401"/>
      <c r="AT43" s="2251"/>
      <c r="AU43" s="2252"/>
      <c r="AV43" s="2251"/>
      <c r="AW43" s="2252"/>
      <c r="AX43" s="2360"/>
      <c r="AY43" s="2379"/>
      <c r="AZ43" s="2380"/>
      <c r="BA43" s="2343"/>
      <c r="BB43" s="2346"/>
      <c r="BC43" s="2185"/>
    </row>
    <row customHeight="1" ht="14.25">
      <c r="A44" s="1529"/>
      <c r="B44" s="1529" t="s">
        <v>132</v>
      </c>
      <c r="C44" s="1529" t="s">
        <v>133</v>
      </c>
      <c r="D44" s="1529" t="s">
        <v>134</v>
      </c>
      <c r="E44" s="1523" t="s">
        <v>435</v>
      </c>
      <c r="F44" s="1523" t="s">
        <v>436</v>
      </c>
      <c r="G44" s="1523" t="s">
        <v>437</v>
      </c>
      <c r="H44" s="1523" t="s">
        <v>438</v>
      </c>
      <c r="I44" s="1523" t="s">
        <v>439</v>
      </c>
      <c r="J44" s="1523" t="s">
        <v>440</v>
      </c>
      <c r="K44" s="1523" t="s">
        <v>441</v>
      </c>
      <c r="L44" s="1523" t="s">
        <v>416</v>
      </c>
      <c r="Q44" s="445"/>
      <c r="R44" s="530"/>
      <c r="S44" s="2338"/>
      <c r="T44" s="2275"/>
      <c r="U44" s="456"/>
      <c r="V44" s="1607" t="s">
        <v>476</v>
      </c>
      <c r="W44" s="1607" t="s">
        <v>477</v>
      </c>
      <c r="X44" s="1607" t="s">
        <v>476</v>
      </c>
      <c r="Y44" s="1607" t="s">
        <v>477</v>
      </c>
      <c r="Z44" s="1614" t="s">
        <v>444</v>
      </c>
      <c r="AA44" s="2334" t="s">
        <v>445</v>
      </c>
      <c r="AB44" s="2335"/>
      <c r="AC44" s="2344"/>
      <c r="AD44" s="2390"/>
      <c r="AE44" s="2391"/>
      <c r="AF44" s="2391"/>
      <c r="AG44" s="2392"/>
      <c r="AH44" s="2390"/>
      <c r="AI44" s="2391"/>
      <c r="AJ44" s="2391"/>
      <c r="AK44" s="2392"/>
      <c r="AL44" s="2390"/>
      <c r="AM44" s="2391"/>
      <c r="AN44" s="2391"/>
      <c r="AO44" s="2392"/>
      <c r="AP44" s="2390"/>
      <c r="AQ44" s="2391"/>
      <c r="AR44" s="2391"/>
      <c r="AS44" s="2392"/>
      <c r="AT44" s="1607" t="s">
        <v>476</v>
      </c>
      <c r="AU44" s="1607" t="s">
        <v>477</v>
      </c>
      <c r="AV44" s="1607" t="s">
        <v>476</v>
      </c>
      <c r="AW44" s="1607" t="s">
        <v>477</v>
      </c>
      <c r="AX44" s="1614" t="s">
        <v>444</v>
      </c>
      <c r="AY44" s="2334" t="s">
        <v>445</v>
      </c>
      <c r="AZ44" s="2335"/>
      <c r="BA44" s="2344"/>
      <c r="BB44" s="2347"/>
      <c r="BC44" s="2185"/>
    </row>
    <row s="8552" customFormat="1" customHeight="1" ht="11.25" hidden="1">
      <c r="A45" s="1529"/>
      <c r="B45" s="1529"/>
      <c r="C45" s="1529"/>
      <c r="D45" s="1529"/>
      <c r="E45" s="1529"/>
      <c r="F45" s="1529"/>
      <c r="G45" s="1529"/>
      <c r="H45" s="1529"/>
      <c r="I45" s="1529"/>
      <c r="J45" s="1529"/>
      <c r="K45" s="1529"/>
      <c r="L45" s="1523"/>
      <c r="M45" s="1521"/>
      <c r="N45" s="1521"/>
      <c r="O45" s="1521"/>
      <c r="P45" s="664"/>
      <c r="Q45" s="1412"/>
      <c r="R45" s="1412">
        <v>1</v>
      </c>
      <c r="S45" s="1436" t="s">
        <v>106</v>
      </c>
      <c r="T45" s="1413" t="s">
        <v>107</v>
      </c>
      <c r="U45" s="1403" t="str">
        <f>OFFSET(U45,0,-1)</f>
        <v>2</v>
      </c>
      <c r="V45" s="1610">
        <f>OFFSET(V45,0,-1)+1</f>
        <v>3</v>
      </c>
      <c r="W45" s="1610">
        <f>OFFSET(W45,0,-1)+1</f>
        <v>4</v>
      </c>
      <c r="X45" s="1610">
        <f>OFFSET(X45,0,-1)+1</f>
        <v>5</v>
      </c>
      <c r="Y45" s="1610">
        <f>OFFSET(Y45,0,-1)+1</f>
        <v>6</v>
      </c>
      <c r="Z45" s="1610">
        <f>OFFSET(Z45,0,-1)+1</f>
        <v>7</v>
      </c>
      <c r="AA45" s="2336">
        <f>OFFSET(AA45,0,-1)+1</f>
        <v>8</v>
      </c>
      <c r="AB45" s="2336"/>
      <c r="AC45" s="1610">
        <f>OFFSET(AC45,0,-2)+1</f>
        <v>9</v>
      </c>
      <c r="AD45" s="1610">
        <f>OFFSET(AD45,0,-1)+1</f>
        <v>10</v>
      </c>
      <c r="AE45" s="1610"/>
      <c r="AF45" s="1610"/>
      <c r="AG45" s="1610"/>
      <c r="AH45" s="1610"/>
      <c r="AI45" s="1610"/>
      <c r="AJ45" s="1610"/>
      <c r="AK45" s="1610"/>
      <c r="AL45" s="1610"/>
      <c r="AM45" s="1610"/>
      <c r="AN45" s="1610"/>
      <c r="AO45" s="1610"/>
      <c r="AP45" s="1610"/>
      <c r="AQ45" s="1610"/>
      <c r="AR45" s="1610"/>
      <c r="AS45" s="1610"/>
      <c r="AT45" s="1610"/>
      <c r="AU45" s="1610"/>
      <c r="AV45" s="1610"/>
      <c r="AW45" s="1610">
        <f>OFFSET(AW45,0,-1)+1</f>
        <v>1</v>
      </c>
      <c r="AX45" s="1610">
        <f>OFFSET(AX45,0,-1)+1</f>
        <v>2</v>
      </c>
      <c r="AY45" s="2336">
        <f>OFFSET(AY45,0,-1)+1</f>
        <v>3</v>
      </c>
      <c r="AZ45" s="2336"/>
      <c r="BA45" s="1610">
        <f>OFFSET(BA45,0,-2)+1</f>
        <v>4</v>
      </c>
      <c r="BB45" s="1403">
        <f>OFFSET(BB45,0,-1)</f>
        <v>4</v>
      </c>
      <c r="BC45" s="1610">
        <f>OFFSET(BC45,0,-1)+1</f>
        <v>5</v>
      </c>
      <c r="BD45" s="665"/>
      <c r="BE45" s="665"/>
      <c r="BF45" s="665"/>
      <c r="BG45" s="665"/>
      <c r="BH45" s="665"/>
    </row>
    <row customHeight="1" ht="21">
      <c r="A46" s="1522" t="s">
        <v>241</v>
      </c>
      <c r="B46" s="1522"/>
      <c r="C46" s="1522"/>
      <c r="D46" s="1522"/>
      <c r="E46" s="2320">
        <v>1</v>
      </c>
      <c r="F46" s="1522"/>
      <c r="G46" s="1522"/>
      <c r="H46" s="1522"/>
      <c r="I46" s="1522"/>
      <c r="J46" s="1522"/>
      <c r="K46" s="1522"/>
      <c r="L46" s="1523"/>
      <c r="M46" s="1524"/>
      <c r="N46" s="1524"/>
      <c r="O46" s="1524"/>
      <c r="P46" s="1568"/>
      <c r="Q46" s="1027"/>
      <c r="R46" s="509"/>
      <c r="S46" s="1616">
        <f>INDEX(PT_DIFFERENTIATION_NUM_NTAR,MATCH(A46,PT_DIFFERENTIATION_NTAR_ID,0))</f>
        <v>0</v>
      </c>
      <c r="T46" s="452" t="s">
        <v>120</v>
      </c>
      <c r="U46" s="454"/>
      <c r="V46" s="2315"/>
      <c r="W46" s="2315"/>
      <c r="X46" s="2315"/>
      <c r="Y46" s="2315"/>
      <c r="Z46" s="2315"/>
      <c r="AA46" s="2315"/>
      <c r="AB46" s="2315"/>
      <c r="AC46" s="2316"/>
      <c r="AD46" s="2314" t="str">
        <f>INDEX(PT_DIFFERENTIATION_NTAR,MATCH(A46,PT_DIFFERENTIATION_NTAR_ID,0))</f>
        <v/>
      </c>
      <c r="AE46" s="2315"/>
      <c r="AF46" s="2315"/>
      <c r="AG46" s="2315"/>
      <c r="AH46" s="2315"/>
      <c r="AI46" s="2315"/>
      <c r="AJ46" s="2315"/>
      <c r="AK46" s="2315"/>
      <c r="AL46" s="2315"/>
      <c r="AM46" s="2315"/>
      <c r="AN46" s="2315"/>
      <c r="AO46" s="2315"/>
      <c r="AP46" s="2315"/>
      <c r="AQ46" s="2315"/>
      <c r="AR46" s="2315"/>
      <c r="AS46" s="2315"/>
      <c r="AT46" s="2315"/>
      <c r="AU46" s="2315"/>
      <c r="AV46" s="2315"/>
      <c r="AW46" s="2315"/>
      <c r="AX46" s="2315"/>
      <c r="AY46" s="2315"/>
      <c r="AZ46" s="2315"/>
      <c r="BA46" s="2315"/>
      <c r="BB46" s="2316"/>
      <c r="BC46" s="1416"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BE46" s="654"/>
      <c r="BF46" s="654" t="str">
        <f>IF(T46="","",T46)</f>
        <v>Наименование тарифа</v>
      </c>
      <c r="BG46" s="654"/>
      <c r="BH46" s="654"/>
    </row>
    <row customHeight="1" ht="21">
      <c r="A47" s="1522" t="s">
        <v>241</v>
      </c>
      <c r="B47" s="1522" t="s">
        <v>242</v>
      </c>
      <c r="C47" s="1522"/>
      <c r="D47" s="1522"/>
      <c r="E47" s="2321"/>
      <c r="F47" s="2320">
        <v>1</v>
      </c>
      <c r="G47" s="1522"/>
      <c r="H47" s="1522"/>
      <c r="I47" s="1522"/>
      <c r="J47" s="1522"/>
      <c r="K47" s="1522"/>
      <c r="L47" s="1523"/>
      <c r="M47" s="1524"/>
      <c r="N47" s="1524"/>
      <c r="O47" s="1524"/>
      <c r="P47" s="1569"/>
      <c r="Q47" s="1570"/>
      <c r="R47" s="507"/>
      <c r="S47" s="1616" t="str">
        <f>INDEX(PT_DIFFERENTIATION_NUM_TER,MATCH(B47,PT_DIFFERENTIATION_TER_ID,0))</f>
        <v>.</v>
      </c>
      <c r="T47" s="462" t="s">
        <v>397</v>
      </c>
      <c r="U47" s="454"/>
      <c r="V47" s="2315"/>
      <c r="W47" s="2315"/>
      <c r="X47" s="2315"/>
      <c r="Y47" s="2315"/>
      <c r="Z47" s="2315"/>
      <c r="AA47" s="2315"/>
      <c r="AB47" s="2315"/>
      <c r="AC47" s="2316"/>
      <c r="AD47" s="2314" t="str">
        <f>INDEX(PT_DIFFERENTIATION_TER,MATCH(B47,PT_DIFFERENTIATION_TER_ID,0))</f>
        <v/>
      </c>
      <c r="AE47" s="2315"/>
      <c r="AF47" s="2315"/>
      <c r="AG47" s="2315"/>
      <c r="AH47" s="2315"/>
      <c r="AI47" s="2315"/>
      <c r="AJ47" s="2315"/>
      <c r="AK47" s="2315"/>
      <c r="AL47" s="2315"/>
      <c r="AM47" s="2315"/>
      <c r="AN47" s="2315"/>
      <c r="AO47" s="2315"/>
      <c r="AP47" s="2315"/>
      <c r="AQ47" s="2315"/>
      <c r="AR47" s="2315"/>
      <c r="AS47" s="2315"/>
      <c r="AT47" s="2315"/>
      <c r="AU47" s="2315"/>
      <c r="AV47" s="2315"/>
      <c r="AW47" s="2315"/>
      <c r="AX47" s="2315"/>
      <c r="AY47" s="2315"/>
      <c r="AZ47" s="2315"/>
      <c r="BA47" s="2315"/>
      <c r="BB47" s="2316"/>
      <c r="BC47" s="1416" t="s">
        <v>398</v>
      </c>
      <c r="BE47" s="654"/>
      <c r="BF47" s="654" t="str">
        <f>IF(T47="","",T47)</f>
        <v>Территория действия тарифа</v>
      </c>
      <c r="BG47" s="654"/>
      <c r="BH47" s="654"/>
    </row>
    <row customHeight="1" ht="42">
      <c r="A48" s="1522" t="s">
        <v>241</v>
      </c>
      <c r="B48" s="1522" t="s">
        <v>242</v>
      </c>
      <c r="C48" s="1522" t="s">
        <v>243</v>
      </c>
      <c r="D48" s="1522"/>
      <c r="E48" s="2321"/>
      <c r="F48" s="2321"/>
      <c r="G48" s="2320">
        <v>1</v>
      </c>
      <c r="H48" s="1522"/>
      <c r="I48" s="1522"/>
      <c r="J48" s="1522"/>
      <c r="K48" s="1522"/>
      <c r="L48" s="1523"/>
      <c r="M48" s="1524"/>
      <c r="N48" s="1524"/>
      <c r="O48" s="1524"/>
      <c r="P48" s="1571"/>
      <c r="Q48" s="1570"/>
      <c r="R48" s="507"/>
      <c r="S48" s="1616" t="str">
        <f>INDEX(PT_DIFFERENTIATION_NUM_CS,MATCH(C48,PT_DIFFERENTIATION_CS_ID,0))</f>
        <v>..</v>
      </c>
      <c r="T48" s="463" t="s">
        <v>479</v>
      </c>
      <c r="U48" s="454"/>
      <c r="V48" s="2315"/>
      <c r="W48" s="2315"/>
      <c r="X48" s="2315"/>
      <c r="Y48" s="2315"/>
      <c r="Z48" s="2315"/>
      <c r="AA48" s="2315"/>
      <c r="AB48" s="2315"/>
      <c r="AC48" s="2316"/>
      <c r="AD48" s="2314" t="str">
        <f>INDEX(PT_DIFFERENTIATION_CS,MATCH(C48,PT_DIFFERENTIATION_CS_ID,0))</f>
        <v/>
      </c>
      <c r="AE48" s="2315"/>
      <c r="AF48" s="2315"/>
      <c r="AG48" s="2315"/>
      <c r="AH48" s="2315"/>
      <c r="AI48" s="2315"/>
      <c r="AJ48" s="2315"/>
      <c r="AK48" s="2315"/>
      <c r="AL48" s="2315"/>
      <c r="AM48" s="2315"/>
      <c r="AN48" s="2315"/>
      <c r="AO48" s="2315"/>
      <c r="AP48" s="2315"/>
      <c r="AQ48" s="2315"/>
      <c r="AR48" s="2315"/>
      <c r="AS48" s="2315"/>
      <c r="AT48" s="2315"/>
      <c r="AU48" s="2315"/>
      <c r="AV48" s="2315"/>
      <c r="AW48" s="2315"/>
      <c r="AX48" s="2315"/>
      <c r="AY48" s="2315"/>
      <c r="AZ48" s="2315"/>
      <c r="BA48" s="2315"/>
      <c r="BB48" s="2316"/>
      <c r="BC48" s="1416" t="s">
        <v>480</v>
      </c>
      <c r="BE48" s="654"/>
      <c r="BF48" s="654" t="str">
        <f>IF(T48="","",T48)</f>
        <v>Наименование централизованной системы холодного водоснабжения</v>
      </c>
      <c r="BG48" s="654"/>
      <c r="BH48" s="654"/>
    </row>
    <row s="8794" customFormat="1" customHeight="1" ht="0">
      <c r="A49" s="1502" t="s">
        <v>241</v>
      </c>
      <c r="B49" s="1502" t="s">
        <v>242</v>
      </c>
      <c r="C49" s="1502" t="s">
        <v>243</v>
      </c>
      <c r="D49" s="1502" t="s">
        <v>513</v>
      </c>
      <c r="E49" s="2321"/>
      <c r="F49" s="2321"/>
      <c r="G49" s="2321"/>
      <c r="H49" s="2320">
        <v>1</v>
      </c>
      <c r="I49" s="1502"/>
      <c r="J49" s="1502"/>
      <c r="K49" s="1502"/>
      <c r="L49" s="1505"/>
      <c r="M49" s="1474"/>
      <c r="N49" s="1474"/>
      <c r="O49" s="1474"/>
      <c r="P49" s="1656"/>
      <c r="Q49" s="1657"/>
      <c r="R49" s="511"/>
      <c r="S49" s="1197"/>
      <c r="T49" s="1658"/>
      <c r="U49" s="1543"/>
      <c r="V49" s="2363"/>
      <c r="W49" s="2363"/>
      <c r="X49" s="2363"/>
      <c r="Y49" s="2363"/>
      <c r="Z49" s="2363"/>
      <c r="AA49" s="2363"/>
      <c r="AB49" s="2363"/>
      <c r="AC49" s="2364"/>
      <c r="AD49" s="2362"/>
      <c r="AE49" s="2363"/>
      <c r="AF49" s="2363"/>
      <c r="AG49" s="2363"/>
      <c r="AH49" s="2363"/>
      <c r="AI49" s="2363"/>
      <c r="AJ49" s="2363"/>
      <c r="AK49" s="2363"/>
      <c r="AL49" s="2363"/>
      <c r="AM49" s="2363"/>
      <c r="AN49" s="2363"/>
      <c r="AO49" s="2363"/>
      <c r="AP49" s="2363"/>
      <c r="AQ49" s="2363"/>
      <c r="AR49" s="2363"/>
      <c r="AS49" s="2363"/>
      <c r="AT49" s="2363"/>
      <c r="AU49" s="2363"/>
      <c r="AV49" s="2363"/>
      <c r="AW49" s="2363"/>
      <c r="AX49" s="2363"/>
      <c r="AY49" s="2363"/>
      <c r="AZ49" s="2363"/>
      <c r="BA49" s="2363"/>
      <c r="BB49" s="2364"/>
      <c r="BC49" s="1544" t="s">
        <v>402</v>
      </c>
      <c r="BE49" s="654"/>
      <c r="BF49" s="654" t="str">
        <f>IF(T49="","",T49)</f>
        <v/>
      </c>
      <c r="BG49" s="654"/>
      <c r="BH49" s="654"/>
    </row>
    <row s="8794" customFormat="1" customHeight="1" ht="0">
      <c r="A50" s="1502" t="s">
        <v>241</v>
      </c>
      <c r="B50" s="1502" t="s">
        <v>242</v>
      </c>
      <c r="C50" s="1502" t="s">
        <v>243</v>
      </c>
      <c r="D50" s="1502" t="s">
        <v>513</v>
      </c>
      <c r="E50" s="2321"/>
      <c r="F50" s="2321"/>
      <c r="G50" s="2321"/>
      <c r="H50" s="2321"/>
      <c r="I50" s="2322" t="str">
        <f>S49&amp;".1"</f>
        <v>.1</v>
      </c>
      <c r="J50" s="1502"/>
      <c r="K50" s="1502"/>
      <c r="L50" s="1505" t="s">
        <v>403</v>
      </c>
      <c r="M50" s="664"/>
      <c r="N50" s="664"/>
      <c r="O50" s="664"/>
      <c r="P50" s="2324">
        <v>1</v>
      </c>
      <c r="Q50" s="1621"/>
      <c r="R50" s="510"/>
      <c r="S50" s="1197"/>
      <c r="T50" s="1542"/>
      <c r="U50" s="1543"/>
      <c r="V50" s="2363"/>
      <c r="W50" s="2363"/>
      <c r="X50" s="2363"/>
      <c r="Y50" s="2363"/>
      <c r="Z50" s="2363"/>
      <c r="AA50" s="2363"/>
      <c r="AB50" s="2363"/>
      <c r="AC50" s="2364"/>
      <c r="AD50" s="2362"/>
      <c r="AE50" s="2363"/>
      <c r="AF50" s="2363"/>
      <c r="AG50" s="2363"/>
      <c r="AH50" s="2363"/>
      <c r="AI50" s="2363"/>
      <c r="AJ50" s="2363"/>
      <c r="AK50" s="2363"/>
      <c r="AL50" s="2363"/>
      <c r="AM50" s="2363"/>
      <c r="AN50" s="2363"/>
      <c r="AO50" s="2363"/>
      <c r="AP50" s="2363"/>
      <c r="AQ50" s="2363"/>
      <c r="AR50" s="2363"/>
      <c r="AS50" s="2363"/>
      <c r="AT50" s="2363"/>
      <c r="AU50" s="2363"/>
      <c r="AV50" s="2363"/>
      <c r="AW50" s="2363"/>
      <c r="AX50" s="2363"/>
      <c r="AY50" s="2363"/>
      <c r="AZ50" s="2363"/>
      <c r="BA50" s="2363"/>
      <c r="BB50" s="2364"/>
      <c r="BC50" s="1544"/>
      <c r="BE50" s="654"/>
      <c r="BF50" s="654" t="str">
        <f>IF(T50="","",T50)</f>
        <v/>
      </c>
      <c r="BG50" s="654"/>
      <c r="BH50" s="654"/>
    </row>
    <row s="8794" customFormat="1" customHeight="1" ht="0">
      <c r="A51" s="1502" t="s">
        <v>241</v>
      </c>
      <c r="B51" s="1502" t="s">
        <v>242</v>
      </c>
      <c r="C51" s="1502" t="s">
        <v>243</v>
      </c>
      <c r="D51" s="1502" t="s">
        <v>513</v>
      </c>
      <c r="E51" s="2321"/>
      <c r="F51" s="2321"/>
      <c r="G51" s="2321"/>
      <c r="H51" s="2321"/>
      <c r="I51" s="2323"/>
      <c r="J51" s="2322" t="str">
        <f>S49&amp;".1"</f>
        <v>.1</v>
      </c>
      <c r="K51" s="1502"/>
      <c r="L51" s="1505"/>
      <c r="M51" s="664"/>
      <c r="N51" s="664"/>
      <c r="O51" s="664"/>
      <c r="P51" s="2324"/>
      <c r="Q51" s="2324">
        <v>1</v>
      </c>
      <c r="R51" s="511"/>
      <c r="S51" s="1197"/>
      <c r="T51" s="1558"/>
      <c r="U51" s="1543"/>
      <c r="V51" s="2363"/>
      <c r="W51" s="2363"/>
      <c r="X51" s="2363"/>
      <c r="Y51" s="2363"/>
      <c r="Z51" s="2363"/>
      <c r="AA51" s="2363"/>
      <c r="AB51" s="2363"/>
      <c r="AC51" s="2364"/>
      <c r="AD51" s="2362"/>
      <c r="AE51" s="2363"/>
      <c r="AF51" s="2363"/>
      <c r="AG51" s="2363"/>
      <c r="AH51" s="2363"/>
      <c r="AI51" s="2363"/>
      <c r="AJ51" s="2363"/>
      <c r="AK51" s="2363"/>
      <c r="AL51" s="2363"/>
      <c r="AM51" s="2363"/>
      <c r="AN51" s="2423"/>
      <c r="AO51" s="2423"/>
      <c r="AP51" s="2363"/>
      <c r="AQ51" s="2363"/>
      <c r="AR51" s="2363"/>
      <c r="AS51" s="2363"/>
      <c r="AT51" s="2363"/>
      <c r="AU51" s="2363"/>
      <c r="AV51" s="2363"/>
      <c r="AW51" s="2363"/>
      <c r="AX51" s="2363"/>
      <c r="AY51" s="2363"/>
      <c r="AZ51" s="2363"/>
      <c r="BA51" s="2363"/>
      <c r="BB51" s="2364"/>
      <c r="BC51" s="1544"/>
      <c r="BE51" s="654"/>
      <c r="BF51" s="654" t="str">
        <f>IF(T51="","",T51)</f>
        <v/>
      </c>
      <c r="BG51" s="654"/>
      <c r="BH51" s="654"/>
    </row>
    <row customHeight="1" ht="11.25">
      <c r="A52" s="1522" t="s">
        <v>241</v>
      </c>
      <c r="B52" s="1522" t="s">
        <v>242</v>
      </c>
      <c r="C52" s="1522" t="s">
        <v>243</v>
      </c>
      <c r="D52" s="1522" t="s">
        <v>513</v>
      </c>
      <c r="E52" s="2321"/>
      <c r="F52" s="2321"/>
      <c r="G52" s="2321"/>
      <c r="H52" s="2321"/>
      <c r="I52" s="2323"/>
      <c r="J52" s="2323"/>
      <c r="K52" s="2322" t="str">
        <f>S48&amp;".1"</f>
        <v>...1</v>
      </c>
      <c r="L52" s="1523"/>
      <c r="P52" s="2324"/>
      <c r="Q52" s="2324"/>
      <c r="R52" s="511">
        <v>1</v>
      </c>
      <c r="S52" s="2397" t="str">
        <f>$K52</f>
        <v>...1</v>
      </c>
      <c r="T52" s="2417"/>
      <c r="U52" s="454"/>
      <c r="V52" s="905"/>
      <c r="W52" s="1415"/>
      <c r="X52" s="905"/>
      <c r="Y52" s="1415"/>
      <c r="Z52" s="1893"/>
      <c r="AA52" s="1618" t="s">
        <v>64</v>
      </c>
      <c r="AB52" s="1893"/>
      <c r="AC52" s="1618" t="s">
        <v>64</v>
      </c>
      <c r="AD52" s="2258" t="s">
        <v>64</v>
      </c>
      <c r="AE52" s="2393"/>
      <c r="AF52" s="2271">
        <v>1</v>
      </c>
      <c r="AG52" s="2416"/>
      <c r="AH52" s="2195" t="s">
        <v>64</v>
      </c>
      <c r="AI52" s="2393"/>
      <c r="AJ52" s="2271">
        <v>1</v>
      </c>
      <c r="AK52" s="2415" t="s">
        <v>24</v>
      </c>
      <c r="AL52" s="2195" t="s">
        <v>64</v>
      </c>
      <c r="AM52" s="2243"/>
      <c r="AN52" s="2271">
        <v>1</v>
      </c>
      <c r="AO52" s="2420"/>
      <c r="AP52" s="2421" t="s">
        <v>64</v>
      </c>
      <c r="AQ52" s="465"/>
      <c r="AR52" s="1622">
        <v>1</v>
      </c>
      <c r="AS52" s="1625" t="s">
        <v>24</v>
      </c>
      <c r="AT52" s="905"/>
      <c r="AU52" s="1415"/>
      <c r="AV52" s="905"/>
      <c r="AW52" s="1415"/>
      <c r="AX52" s="1893"/>
      <c r="AY52" s="1618" t="s">
        <v>64</v>
      </c>
      <c r="AZ52" s="1893"/>
      <c r="BA52" s="1618" t="s">
        <v>64</v>
      </c>
      <c r="BB52" s="1507"/>
      <c r="BC52" s="2350" t="s">
        <v>499</v>
      </c>
      <c r="BE52" s="654"/>
      <c r="BF52" s="654" t="str">
        <f>IF(T52="","",T52)</f>
        <v/>
      </c>
      <c r="BG52" s="654"/>
      <c r="BH52" s="654"/>
    </row>
    <row customHeight="1" ht="11.25">
      <c r="A53" s="1522"/>
      <c r="B53" s="1522"/>
      <c r="C53" s="1522"/>
      <c r="D53" s="1522"/>
      <c r="E53" s="2321"/>
      <c r="F53" s="2321"/>
      <c r="G53" s="2321"/>
      <c r="H53" s="2321"/>
      <c r="I53" s="2323"/>
      <c r="J53" s="2323"/>
      <c r="K53" s="2322"/>
      <c r="L53" s="1523"/>
      <c r="P53" s="2324"/>
      <c r="Q53" s="2324"/>
      <c r="R53" s="511"/>
      <c r="S53" s="2398"/>
      <c r="T53" s="2418"/>
      <c r="U53" s="454"/>
      <c r="V53" s="1552"/>
      <c r="W53" s="1655"/>
      <c r="X53" s="1552"/>
      <c r="Y53" s="1655"/>
      <c r="Z53" s="1552"/>
      <c r="AA53" s="1552"/>
      <c r="AB53" s="1552"/>
      <c r="AC53" s="1552"/>
      <c r="AD53" s="2259"/>
      <c r="AE53" s="2393"/>
      <c r="AF53" s="2271"/>
      <c r="AG53" s="2416"/>
      <c r="AH53" s="2195"/>
      <c r="AI53" s="2393"/>
      <c r="AJ53" s="2271"/>
      <c r="AK53" s="2415"/>
      <c r="AL53" s="2195"/>
      <c r="AM53" s="2251"/>
      <c r="AN53" s="2271"/>
      <c r="AO53" s="2420"/>
      <c r="AP53" s="2422"/>
      <c r="AQ53" s="470"/>
      <c r="AR53" s="570"/>
      <c r="AS53" s="570" t="s">
        <v>500</v>
      </c>
      <c r="AT53" s="1552"/>
      <c r="AU53" s="1655"/>
      <c r="AV53" s="1552"/>
      <c r="AW53" s="1655"/>
      <c r="AX53" s="1552"/>
      <c r="AY53" s="1552"/>
      <c r="AZ53" s="1552"/>
      <c r="BA53" s="1552"/>
      <c r="BB53" s="1556"/>
      <c r="BC53" s="2351"/>
      <c r="BE53" s="654"/>
      <c r="BF53" s="654"/>
      <c r="BG53" s="654"/>
      <c r="BH53" s="654"/>
    </row>
    <row customHeight="1" ht="11.25">
      <c r="A54" s="1522" t="s">
        <v>241</v>
      </c>
      <c r="B54" s="1522"/>
      <c r="C54" s="1522"/>
      <c r="D54" s="1522"/>
      <c r="E54" s="2321"/>
      <c r="F54" s="2321"/>
      <c r="G54" s="2321"/>
      <c r="H54" s="2321"/>
      <c r="I54" s="2323"/>
      <c r="J54" s="2323"/>
      <c r="K54" s="2322"/>
      <c r="L54" s="1523"/>
      <c r="P54" s="2324"/>
      <c r="Q54" s="2324"/>
      <c r="R54" s="511"/>
      <c r="S54" s="2398"/>
      <c r="T54" s="2418"/>
      <c r="U54" s="454"/>
      <c r="V54" s="1552"/>
      <c r="W54" s="1655"/>
      <c r="X54" s="1552"/>
      <c r="Y54" s="1655"/>
      <c r="Z54" s="1552"/>
      <c r="AA54" s="1552"/>
      <c r="AB54" s="1552"/>
      <c r="AC54" s="1552"/>
      <c r="AD54" s="2259"/>
      <c r="AE54" s="2393"/>
      <c r="AF54" s="2271"/>
      <c r="AG54" s="2416"/>
      <c r="AH54" s="2195"/>
      <c r="AI54" s="2393"/>
      <c r="AJ54" s="2271"/>
      <c r="AK54" s="2415"/>
      <c r="AL54" s="2195"/>
      <c r="AM54" s="470"/>
      <c r="AN54" s="1659"/>
      <c r="AO54" s="1659" t="s">
        <v>501</v>
      </c>
      <c r="AP54" s="570"/>
      <c r="AQ54" s="570"/>
      <c r="AR54" s="570"/>
      <c r="AS54" s="1552"/>
      <c r="AT54" s="1552"/>
      <c r="AU54" s="1655"/>
      <c r="AV54" s="1552"/>
      <c r="AW54" s="1655"/>
      <c r="AX54" s="1552"/>
      <c r="AY54" s="1552"/>
      <c r="AZ54" s="1552"/>
      <c r="BA54" s="1552"/>
      <c r="BB54" s="1556"/>
      <c r="BC54" s="2351"/>
      <c r="BE54" s="654"/>
      <c r="BF54" s="654"/>
      <c r="BG54" s="654"/>
      <c r="BH54" s="654"/>
    </row>
    <row customHeight="1" ht="11.25">
      <c r="A55" s="1522" t="s">
        <v>241</v>
      </c>
      <c r="B55" s="1522"/>
      <c r="C55" s="1522"/>
      <c r="D55" s="1522"/>
      <c r="E55" s="2321"/>
      <c r="F55" s="2321"/>
      <c r="G55" s="2321"/>
      <c r="H55" s="2321"/>
      <c r="I55" s="2323"/>
      <c r="J55" s="2323"/>
      <c r="K55" s="2322"/>
      <c r="L55" s="1523"/>
      <c r="P55" s="2324"/>
      <c r="Q55" s="2324"/>
      <c r="R55" s="511"/>
      <c r="S55" s="2398"/>
      <c r="T55" s="2418"/>
      <c r="U55" s="454"/>
      <c r="V55" s="1552"/>
      <c r="W55" s="1655"/>
      <c r="X55" s="1552"/>
      <c r="Y55" s="1655"/>
      <c r="Z55" s="1552"/>
      <c r="AA55" s="1552"/>
      <c r="AB55" s="1552"/>
      <c r="AC55" s="1552"/>
      <c r="AD55" s="2259"/>
      <c r="AE55" s="2393"/>
      <c r="AF55" s="2271"/>
      <c r="AG55" s="2416"/>
      <c r="AH55" s="2195"/>
      <c r="AI55" s="448"/>
      <c r="AJ55" s="569"/>
      <c r="AK55" s="467" t="s">
        <v>502</v>
      </c>
      <c r="AL55" s="1552"/>
      <c r="AM55" s="1552"/>
      <c r="AN55" s="1552"/>
      <c r="AO55" s="1552"/>
      <c r="AP55" s="1552"/>
      <c r="AQ55" s="1552"/>
      <c r="AR55" s="1552"/>
      <c r="AS55" s="1552"/>
      <c r="AT55" s="1552"/>
      <c r="AU55" s="1655"/>
      <c r="AV55" s="1552"/>
      <c r="AW55" s="1655"/>
      <c r="AX55" s="1552"/>
      <c r="AY55" s="1552"/>
      <c r="AZ55" s="1552"/>
      <c r="BA55" s="1552"/>
      <c r="BB55" s="1556"/>
      <c r="BC55" s="2351"/>
      <c r="BE55" s="654"/>
      <c r="BF55" s="654"/>
      <c r="BG55" s="654"/>
      <c r="BH55" s="654"/>
    </row>
    <row customHeight="1" ht="11.25">
      <c r="A56" s="1522" t="s">
        <v>241</v>
      </c>
      <c r="B56" s="1522" t="s">
        <v>242</v>
      </c>
      <c r="C56" s="1522" t="s">
        <v>243</v>
      </c>
      <c r="D56" s="1522" t="s">
        <v>513</v>
      </c>
      <c r="E56" s="2321"/>
      <c r="F56" s="2321"/>
      <c r="G56" s="2321"/>
      <c r="H56" s="2321"/>
      <c r="I56" s="2323"/>
      <c r="J56" s="2323"/>
      <c r="K56" s="2322"/>
      <c r="L56" s="1523"/>
      <c r="P56" s="2324"/>
      <c r="Q56" s="2324"/>
      <c r="R56" s="511"/>
      <c r="S56" s="2399"/>
      <c r="T56" s="2419"/>
      <c r="U56" s="454"/>
      <c r="V56" s="1552"/>
      <c r="W56" s="1553" t="str">
        <f>Z52&amp;"-"&amp;AB52</f>
        <v>-</v>
      </c>
      <c r="X56" s="1552"/>
      <c r="Y56" s="1553" t="str">
        <f>AB52&amp;"-"&amp;AD52</f>
        <v>-да</v>
      </c>
      <c r="Z56" s="1552"/>
      <c r="AA56" s="1552"/>
      <c r="AB56" s="1552"/>
      <c r="AC56" s="1552"/>
      <c r="AD56" s="2200"/>
      <c r="AE56" s="466"/>
      <c r="AF56" s="468"/>
      <c r="AG56" s="570" t="s">
        <v>503</v>
      </c>
      <c r="AH56" s="1552"/>
      <c r="AI56" s="1552"/>
      <c r="AJ56" s="1552"/>
      <c r="AK56" s="1552"/>
      <c r="AL56" s="1552"/>
      <c r="AM56" s="1552"/>
      <c r="AN56" s="1552"/>
      <c r="AO56" s="1552"/>
      <c r="AP56" s="1552"/>
      <c r="AQ56" s="1552"/>
      <c r="AR56" s="1552"/>
      <c r="AS56" s="1552"/>
      <c r="AT56" s="1552"/>
      <c r="AU56" s="1553" t="str">
        <f>AX52&amp;"-"&amp;AZ52</f>
        <v>-</v>
      </c>
      <c r="AV56" s="1552"/>
      <c r="AW56" s="1553" t="str">
        <f>AZ52&amp;"-"&amp;BB52</f>
        <v>-</v>
      </c>
      <c r="AX56" s="1552"/>
      <c r="AY56" s="1552"/>
      <c r="AZ56" s="1552"/>
      <c r="BA56" s="1552"/>
      <c r="BB56" s="1555" t="str">
        <f>BE52&amp;"-"&amp;BG52</f>
        <v>-</v>
      </c>
      <c r="BC56" s="2351"/>
      <c r="BE56" s="654"/>
      <c r="BF56" s="654" t="str">
        <f>IF(T56="","",T56)</f>
        <v/>
      </c>
      <c r="BG56" s="654"/>
      <c r="BH56" s="654"/>
    </row>
    <row customHeight="1" ht="11.25">
      <c r="A57" s="1522" t="s">
        <v>241</v>
      </c>
      <c r="B57" s="1522" t="s">
        <v>242</v>
      </c>
      <c r="C57" s="1522" t="s">
        <v>243</v>
      </c>
      <c r="D57" s="1522" t="s">
        <v>513</v>
      </c>
      <c r="E57" s="2321"/>
      <c r="F57" s="2321"/>
      <c r="G57" s="2321"/>
      <c r="H57" s="2321"/>
      <c r="I57" s="2323"/>
      <c r="J57" s="2322"/>
      <c r="K57" s="1522"/>
      <c r="L57" s="1523"/>
      <c r="P57" s="2324"/>
      <c r="Q57" s="2324"/>
      <c r="R57" s="510"/>
      <c r="S57" s="1437"/>
      <c r="T57" s="441" t="s">
        <v>465</v>
      </c>
      <c r="U57" s="521"/>
      <c r="V57" s="521"/>
      <c r="W57" s="521"/>
      <c r="X57" s="521"/>
      <c r="Y57" s="521"/>
      <c r="Z57" s="521"/>
      <c r="AA57" s="521"/>
      <c r="AB57" s="521"/>
      <c r="AC57" s="478"/>
      <c r="AD57" s="1664"/>
      <c r="AE57" s="521"/>
      <c r="AF57" s="521"/>
      <c r="AG57" s="521"/>
      <c r="AH57" s="521"/>
      <c r="AI57" s="521"/>
      <c r="AJ57" s="521"/>
      <c r="AK57" s="521"/>
      <c r="AL57" s="521"/>
      <c r="AM57" s="521"/>
      <c r="AN57" s="521"/>
      <c r="AO57" s="521"/>
      <c r="AP57" s="521"/>
      <c r="AQ57" s="521"/>
      <c r="AR57" s="521"/>
      <c r="AS57" s="521"/>
      <c r="AT57" s="521"/>
      <c r="AU57" s="521"/>
      <c r="AV57" s="521"/>
      <c r="AW57" s="521"/>
      <c r="AX57" s="521"/>
      <c r="AY57" s="521"/>
      <c r="AZ57" s="521"/>
      <c r="BA57" s="521"/>
      <c r="BB57" s="478"/>
      <c r="BC57" s="2352"/>
      <c r="BE57" s="654"/>
      <c r="BF57" s="654" t="str">
        <f>IF(T57="","",T57)</f>
        <v>Добавить строку</v>
      </c>
      <c r="BG57" s="654"/>
      <c r="BH57" s="654"/>
    </row>
    <row s="8794" customFormat="1" customHeight="1" ht="0">
      <c r="A58" s="1502" t="s">
        <v>241</v>
      </c>
      <c r="B58" s="1502" t="s">
        <v>242</v>
      </c>
      <c r="C58" s="1502" t="s">
        <v>243</v>
      </c>
      <c r="D58" s="1502" t="s">
        <v>513</v>
      </c>
      <c r="E58" s="2321"/>
      <c r="F58" s="2321"/>
      <c r="G58" s="2321"/>
      <c r="H58" s="2321"/>
      <c r="I58" s="2322"/>
      <c r="J58" s="1502"/>
      <c r="K58" s="1502"/>
      <c r="L58" s="1505"/>
      <c r="M58" s="664"/>
      <c r="N58" s="664"/>
      <c r="O58" s="664"/>
      <c r="P58" s="2324"/>
      <c r="Q58" s="1621"/>
      <c r="R58" s="510"/>
      <c r="S58" s="1545"/>
      <c r="T58" s="1546"/>
      <c r="U58" s="1547"/>
      <c r="V58" s="1547"/>
      <c r="W58" s="1547"/>
      <c r="X58" s="1547"/>
      <c r="Y58" s="1547"/>
      <c r="Z58" s="1547"/>
      <c r="AA58" s="1547"/>
      <c r="AB58" s="1547"/>
      <c r="AC58" s="1547"/>
      <c r="AD58" s="1547"/>
      <c r="AE58" s="1547"/>
      <c r="AF58" s="1547"/>
      <c r="AG58" s="1547"/>
      <c r="AH58" s="1547"/>
      <c r="AI58" s="1547"/>
      <c r="AJ58" s="1547"/>
      <c r="AK58" s="1547"/>
      <c r="AL58" s="1547"/>
      <c r="AM58" s="1547"/>
      <c r="AN58" s="1547"/>
      <c r="AO58" s="1547"/>
      <c r="AP58" s="1547"/>
      <c r="AQ58" s="1547"/>
      <c r="AR58" s="1547"/>
      <c r="AS58" s="1547"/>
      <c r="AT58" s="1547"/>
      <c r="AU58" s="1547"/>
      <c r="AV58" s="1547"/>
      <c r="AW58" s="1547"/>
      <c r="AX58" s="1547"/>
      <c r="AY58" s="1547"/>
      <c r="AZ58" s="1547"/>
      <c r="BA58" s="1547"/>
      <c r="BB58" s="1547"/>
      <c r="BC58" s="1548"/>
      <c r="BE58" s="654"/>
      <c r="BF58" s="654" t="str">
        <f>IF(T58="","",T58)</f>
        <v/>
      </c>
      <c r="BG58" s="654"/>
      <c r="BH58" s="654"/>
    </row>
    <row s="8794" customFormat="1" customHeight="1" ht="0">
      <c r="A59" s="1502" t="s">
        <v>241</v>
      </c>
      <c r="B59" s="1502" t="s">
        <v>242</v>
      </c>
      <c r="C59" s="1502" t="s">
        <v>243</v>
      </c>
      <c r="D59" s="1502" t="s">
        <v>513</v>
      </c>
      <c r="E59" s="2321"/>
      <c r="F59" s="2321"/>
      <c r="G59" s="2321"/>
      <c r="H59" s="2320"/>
      <c r="I59" s="1502"/>
      <c r="J59" s="1502"/>
      <c r="K59" s="1502"/>
      <c r="L59" s="1505"/>
      <c r="M59" s="1474"/>
      <c r="N59" s="1474"/>
      <c r="O59" s="672"/>
      <c r="P59" s="534"/>
      <c r="Q59" s="1503"/>
      <c r="R59" s="1560"/>
      <c r="S59" s="1545"/>
      <c r="T59" s="1546"/>
      <c r="U59" s="1547"/>
      <c r="V59" s="1547"/>
      <c r="W59" s="1547"/>
      <c r="X59" s="1547"/>
      <c r="Y59" s="1547"/>
      <c r="Z59" s="1547"/>
      <c r="AA59" s="1547"/>
      <c r="AB59" s="1547"/>
      <c r="AC59" s="1547"/>
      <c r="AD59" s="1547"/>
      <c r="AE59" s="1547"/>
      <c r="AF59" s="1547"/>
      <c r="AG59" s="1547"/>
      <c r="AH59" s="1547"/>
      <c r="AI59" s="1547"/>
      <c r="AJ59" s="1547"/>
      <c r="AK59" s="1547"/>
      <c r="AL59" s="1547"/>
      <c r="AM59" s="1547"/>
      <c r="AN59" s="1547"/>
      <c r="AO59" s="1547"/>
      <c r="AP59" s="1547"/>
      <c r="AQ59" s="1547"/>
      <c r="AR59" s="1547"/>
      <c r="AS59" s="1547"/>
      <c r="AT59" s="1547"/>
      <c r="AU59" s="1547"/>
      <c r="AV59" s="1547"/>
      <c r="AW59" s="1547"/>
      <c r="AX59" s="1547"/>
      <c r="AY59" s="1547"/>
      <c r="AZ59" s="1547"/>
      <c r="BA59" s="1547"/>
      <c r="BB59" s="1547"/>
      <c r="BC59" s="1548"/>
      <c r="BE59" s="654"/>
      <c r="BF59" s="654" t="str">
        <f>IF(T59="","",T59)</f>
        <v/>
      </c>
      <c r="BG59" s="654"/>
      <c r="BH59" s="654"/>
    </row>
    <row s="8702" customFormat="1" customHeight="1" ht="0">
      <c r="A60" s="1502" t="s">
        <v>241</v>
      </c>
      <c r="B60" s="1502" t="s">
        <v>242</v>
      </c>
      <c r="C60" s="1502" t="s">
        <v>243</v>
      </c>
      <c r="D60" s="1473"/>
      <c r="E60" s="2321"/>
      <c r="F60" s="2321"/>
      <c r="G60" s="2320"/>
      <c r="H60" s="1473"/>
      <c r="I60" s="1473"/>
      <c r="J60" s="1473"/>
      <c r="K60" s="1473"/>
      <c r="L60" s="1623"/>
      <c r="M60" s="1474"/>
      <c r="N60" s="1474"/>
      <c r="P60" s="1475"/>
      <c r="Q60" s="1476"/>
      <c r="R60" s="1475"/>
      <c r="S60" s="1481"/>
      <c r="T60" s="1484"/>
      <c r="U60" s="1483"/>
      <c r="V60" s="1483"/>
      <c r="W60" s="1483"/>
      <c r="X60" s="1483"/>
      <c r="Y60" s="1483"/>
      <c r="Z60" s="1483"/>
      <c r="AA60" s="1483"/>
      <c r="AB60" s="1483"/>
      <c r="AC60" s="1483"/>
      <c r="AD60" s="1483"/>
      <c r="AE60" s="1483"/>
      <c r="AF60" s="1483"/>
      <c r="AG60" s="1483"/>
      <c r="AH60" s="1483"/>
      <c r="AI60" s="1483"/>
      <c r="AJ60" s="1483"/>
      <c r="AK60" s="1483"/>
      <c r="AL60" s="1483"/>
      <c r="AM60" s="1483"/>
      <c r="AN60" s="1483"/>
      <c r="AO60" s="1483"/>
      <c r="AP60" s="1483"/>
      <c r="AQ60" s="1483"/>
      <c r="AR60" s="1483"/>
      <c r="AS60" s="1483"/>
      <c r="AT60" s="1483"/>
      <c r="AU60" s="1483"/>
      <c r="AV60" s="1483"/>
      <c r="AW60" s="1483"/>
      <c r="AX60" s="1483"/>
      <c r="AY60" s="1483"/>
      <c r="AZ60" s="1483"/>
      <c r="BA60" s="1483"/>
      <c r="BB60" s="1483"/>
      <c r="BC60" s="1483"/>
      <c r="BE60" s="943"/>
      <c r="BF60" s="943" t="str">
        <f>IF(T60="","",T60)</f>
        <v/>
      </c>
      <c r="BG60" s="943"/>
      <c r="BH60" s="943"/>
    </row>
    <row s="8702" customFormat="1" customHeight="1" ht="0">
      <c r="A61" s="1502" t="s">
        <v>241</v>
      </c>
      <c r="B61" s="1502" t="s">
        <v>242</v>
      </c>
      <c r="C61" s="1473"/>
      <c r="D61" s="1473"/>
      <c r="E61" s="2321"/>
      <c r="F61" s="2320"/>
      <c r="G61" s="1473"/>
      <c r="H61" s="1473"/>
      <c r="I61" s="1473"/>
      <c r="J61" s="1473"/>
      <c r="K61" s="1473"/>
      <c r="L61" s="1623"/>
      <c r="M61" s="1480"/>
      <c r="N61" s="1480"/>
      <c r="P61" s="1475"/>
      <c r="Q61" s="1476"/>
      <c r="R61" s="1475"/>
      <c r="S61" s="1481"/>
      <c r="T61" s="1484" t="s">
        <v>251</v>
      </c>
      <c r="U61" s="1483"/>
      <c r="V61" s="1483"/>
      <c r="W61" s="1483"/>
      <c r="X61" s="1483"/>
      <c r="Y61" s="1483"/>
      <c r="Z61" s="1483"/>
      <c r="AA61" s="1483"/>
      <c r="AB61" s="1483"/>
      <c r="AC61" s="1483"/>
      <c r="AD61" s="1483"/>
      <c r="AE61" s="1483"/>
      <c r="AF61" s="1483"/>
      <c r="AG61" s="1483"/>
      <c r="AH61" s="1483"/>
      <c r="AI61" s="1483"/>
      <c r="AJ61" s="1483"/>
      <c r="AK61" s="1483"/>
      <c r="AL61" s="1483"/>
      <c r="AM61" s="1483"/>
      <c r="AN61" s="1483"/>
      <c r="AO61" s="1483"/>
      <c r="AP61" s="1483"/>
      <c r="AQ61" s="1483"/>
      <c r="AR61" s="1483"/>
      <c r="AS61" s="1483"/>
      <c r="AT61" s="1483"/>
      <c r="AU61" s="1483"/>
      <c r="AV61" s="1483"/>
      <c r="AW61" s="1483"/>
      <c r="AX61" s="1483"/>
      <c r="AY61" s="1483"/>
      <c r="AZ61" s="1483"/>
      <c r="BA61" s="1483"/>
      <c r="BB61" s="1483"/>
      <c r="BC61" s="1483"/>
      <c r="BE61" s="943"/>
      <c r="BF61" s="943" t="str">
        <f>IF(T61="","",T61)</f>
        <v>Добавить централизованную систему для дифференциации</v>
      </c>
      <c r="BG61" s="943"/>
      <c r="BH61" s="943"/>
    </row>
    <row s="8794" customFormat="1" customHeight="1" ht="0">
      <c r="A62" s="1502" t="s">
        <v>241</v>
      </c>
      <c r="B62" s="1502"/>
      <c r="C62" s="1502"/>
      <c r="D62" s="1502"/>
      <c r="E62" s="2320"/>
      <c r="F62" s="1502"/>
      <c r="G62" s="1502"/>
      <c r="H62" s="1502"/>
      <c r="I62" s="1502"/>
      <c r="J62" s="1502"/>
      <c r="K62" s="1502"/>
      <c r="L62" s="1505"/>
      <c r="M62" s="1480"/>
      <c r="N62" s="1480"/>
      <c r="O62" s="672"/>
      <c r="P62" s="534"/>
      <c r="Q62" s="1503"/>
      <c r="R62" s="534"/>
      <c r="S62" s="1481"/>
      <c r="T62" s="1484" t="s">
        <v>252</v>
      </c>
      <c r="U62" s="1483"/>
      <c r="V62" s="1483"/>
      <c r="W62" s="1483"/>
      <c r="X62" s="1483"/>
      <c r="Y62" s="1483"/>
      <c r="Z62" s="1483"/>
      <c r="AA62" s="1483"/>
      <c r="AB62" s="1483"/>
      <c r="AC62" s="1483"/>
      <c r="AD62" s="1483"/>
      <c r="AE62" s="1483"/>
      <c r="AF62" s="1483"/>
      <c r="AG62" s="1483"/>
      <c r="AH62" s="1483"/>
      <c r="AI62" s="1483"/>
      <c r="AJ62" s="1483"/>
      <c r="AK62" s="1483"/>
      <c r="AL62" s="1483"/>
      <c r="AM62" s="1483"/>
      <c r="AN62" s="1483"/>
      <c r="AO62" s="1483"/>
      <c r="AP62" s="1483"/>
      <c r="AQ62" s="1483"/>
      <c r="AR62" s="1483"/>
      <c r="AS62" s="1483"/>
      <c r="AT62" s="1483"/>
      <c r="AU62" s="1483"/>
      <c r="AV62" s="1483"/>
      <c r="AW62" s="1483"/>
      <c r="AX62" s="1483"/>
      <c r="AY62" s="1483"/>
      <c r="AZ62" s="1483"/>
      <c r="BA62" s="1483"/>
      <c r="BB62" s="1483"/>
      <c r="BC62" s="1483"/>
      <c r="BE62" s="654"/>
      <c r="BF62" s="654" t="str">
        <f>IF(T62="","",T62)</f>
        <v>Добавить территорию для дифференциации</v>
      </c>
      <c r="BG62" s="654"/>
      <c r="BH62" s="654"/>
    </row>
    <row s="8702" customFormat="1" customHeight="1" ht="0">
      <c r="A63" s="1473"/>
      <c r="B63" s="1473"/>
      <c r="C63" s="1473"/>
      <c r="D63" s="1473"/>
      <c r="E63" s="1502"/>
      <c r="F63" s="1473"/>
      <c r="G63" s="1473"/>
      <c r="H63" s="1473"/>
      <c r="I63" s="1473"/>
      <c r="J63" s="1473"/>
      <c r="K63" s="1473"/>
      <c r="L63" s="1623"/>
      <c r="M63" s="1480"/>
      <c r="N63" s="1480"/>
      <c r="P63" s="1475"/>
      <c r="Q63" s="1476"/>
      <c r="R63" s="1475"/>
      <c r="S63" s="1481"/>
      <c r="T63" s="1484" t="s">
        <v>253</v>
      </c>
      <c r="U63" s="1483"/>
      <c r="V63" s="1483"/>
      <c r="W63" s="1483"/>
      <c r="X63" s="1483"/>
      <c r="Y63" s="1483"/>
      <c r="Z63" s="1483"/>
      <c r="AA63" s="1483"/>
      <c r="AB63" s="1483"/>
      <c r="AC63" s="1483"/>
      <c r="AD63" s="1483"/>
      <c r="AE63" s="1483"/>
      <c r="AF63" s="1483"/>
      <c r="AG63" s="1483"/>
      <c r="AH63" s="1483"/>
      <c r="AI63" s="1483"/>
      <c r="AJ63" s="1483"/>
      <c r="AK63" s="1483"/>
      <c r="AL63" s="1483"/>
      <c r="AM63" s="1483"/>
      <c r="AN63" s="1483"/>
      <c r="AO63" s="1483"/>
      <c r="AP63" s="1483"/>
      <c r="AQ63" s="1483"/>
      <c r="AR63" s="1483"/>
      <c r="AS63" s="1483"/>
      <c r="AT63" s="1483"/>
      <c r="AU63" s="1483"/>
      <c r="AV63" s="1483"/>
      <c r="AW63" s="1483"/>
      <c r="AX63" s="1483"/>
      <c r="AY63" s="1483"/>
      <c r="AZ63" s="1483"/>
      <c r="BA63" s="1483"/>
      <c r="BB63" s="1483"/>
      <c r="BC63" s="1483"/>
      <c r="BE63" s="943"/>
      <c r="BF63" s="943" t="str">
        <f>IF(T63="","",T63)</f>
        <v>Добавить наименование тарифа</v>
      </c>
      <c r="BG63" s="943"/>
      <c r="BH63" s="943"/>
    </row>
    <row customHeight="1" ht="11.25">
      <c r="M64" s="1316"/>
      <c r="N64" s="1316"/>
      <c r="O64" s="691"/>
      <c r="P64" s="1316"/>
      <c r="Q64" s="1316"/>
      <c r="R64" s="1311"/>
      <c r="S64" s="1311"/>
      <c r="BD64" s="1311"/>
      <c r="BE64" s="1311"/>
      <c r="BF64" s="1311"/>
      <c r="BG64" s="1311"/>
      <c r="BH64" s="1311"/>
    </row>
    <row customHeight="1" ht="18.75">
      <c r="O65" s="691"/>
      <c r="S65" s="1411"/>
      <c r="T65" s="2319"/>
      <c r="U65" s="2319"/>
      <c r="V65" s="2319"/>
      <c r="W65" s="2319"/>
      <c r="X65" s="2319"/>
      <c r="Y65" s="2319"/>
      <c r="Z65" s="2319"/>
      <c r="AA65" s="2319"/>
      <c r="AB65" s="2319"/>
      <c r="AC65" s="2319"/>
      <c r="AD65" s="2319"/>
      <c r="AE65" s="2319"/>
      <c r="AF65" s="2319"/>
      <c r="AG65" s="2319"/>
      <c r="AH65" s="2319"/>
      <c r="AI65" s="2319"/>
      <c r="AJ65" s="2319"/>
      <c r="AK65" s="2319"/>
      <c r="AL65" s="2319"/>
      <c r="AM65" s="2319"/>
      <c r="AN65" s="2319"/>
      <c r="AO65" s="2319"/>
      <c r="AP65" s="2319"/>
      <c r="AQ65" s="2319"/>
      <c r="AR65" s="2319"/>
      <c r="AS65" s="2319"/>
      <c r="AT65" s="2319"/>
      <c r="AU65" s="2319"/>
      <c r="AV65" s="2319"/>
      <c r="AW65" s="2319"/>
      <c r="AX65" s="2319"/>
      <c r="AY65" s="2319"/>
      <c r="AZ65" s="2319"/>
      <c r="BA65" s="2319"/>
      <c r="BB65" s="2319"/>
      <c r="BC65" s="2319"/>
    </row>
    <row customHeight="1" ht="14.25">
      <c r="O66" s="691"/>
      <c r="T66" s="1608"/>
      <c r="U66" s="1608"/>
      <c r="V66" s="1608"/>
      <c r="W66" s="1608"/>
      <c r="X66" s="1608"/>
      <c r="Y66" s="1608"/>
      <c r="Z66" s="1608"/>
      <c r="AA66" s="1608"/>
      <c r="AB66" s="1608"/>
      <c r="AC66" s="1608"/>
      <c r="AD66" s="1608"/>
      <c r="AE66" s="1608"/>
      <c r="AF66" s="1608"/>
      <c r="AG66" s="1608"/>
      <c r="AH66" s="1608"/>
      <c r="AI66" s="1608"/>
      <c r="AJ66" s="1608"/>
      <c r="AK66" s="1608"/>
      <c r="AL66" s="1608"/>
      <c r="AM66" s="1608"/>
      <c r="AN66" s="1608"/>
      <c r="AO66" s="1608"/>
      <c r="AP66" s="1608"/>
      <c r="AQ66" s="1608"/>
      <c r="AR66" s="1608"/>
      <c r="AS66" s="1608"/>
      <c r="AT66" s="1608"/>
      <c r="AU66" s="1608"/>
      <c r="AV66" s="1608"/>
      <c r="AW66" s="1608"/>
      <c r="AX66" s="1608"/>
      <c r="AY66" s="1608"/>
      <c r="AZ66" s="1608"/>
      <c r="BA66" s="1608"/>
      <c r="BB66" s="1608"/>
      <c r="BC66" s="1608"/>
    </row>
    <row customHeight="1" ht="18.75">
      <c r="O67" s="691"/>
      <c r="S67" s="1411"/>
      <c r="T67" s="2319"/>
      <c r="U67" s="2319"/>
      <c r="V67" s="2319"/>
      <c r="W67" s="2319"/>
      <c r="X67" s="2319"/>
      <c r="Y67" s="2319"/>
      <c r="Z67" s="2319"/>
      <c r="AA67" s="2319"/>
      <c r="AB67" s="2319"/>
      <c r="AC67" s="2319"/>
      <c r="AD67" s="2319"/>
      <c r="AE67" s="2319"/>
      <c r="AF67" s="2319"/>
      <c r="AG67" s="2319"/>
      <c r="AH67" s="2319"/>
      <c r="AI67" s="2319"/>
      <c r="AJ67" s="2319"/>
      <c r="AK67" s="2319"/>
      <c r="AL67" s="2319"/>
      <c r="AM67" s="2319"/>
      <c r="AN67" s="2319"/>
      <c r="AO67" s="2319"/>
      <c r="AP67" s="2319"/>
      <c r="AQ67" s="2319"/>
      <c r="AR67" s="2319"/>
      <c r="AS67" s="2319"/>
      <c r="AT67" s="2319"/>
      <c r="AU67" s="2319"/>
      <c r="AV67" s="2319"/>
      <c r="AW67" s="2319"/>
      <c r="AX67" s="2319"/>
      <c r="AY67" s="2319"/>
      <c r="AZ67" s="2319"/>
      <c r="BA67" s="2319"/>
      <c r="BB67" s="2319"/>
      <c r="BC67" s="2319"/>
    </row>
    <row customHeight="1" ht="14.25">
      <c r="O68" s="691"/>
    </row>
  </sheetData>
  <sheetProtection formatColumns="0" formatRows="0" autoFilter="0" sort="0" insertRows="0" insertColumns="1" deleteRows="0" deleteColumns="0"/>
  <mergeCells count="122">
    <mergeCell ref="E2:E18"/>
    <mergeCell ref="V2:AC2"/>
    <mergeCell ref="AD2:BB2"/>
    <mergeCell ref="F3:F17"/>
    <mergeCell ref="V3:AC3"/>
    <mergeCell ref="AD3:BB3"/>
    <mergeCell ref="G4:G16"/>
    <mergeCell ref="V4:AC4"/>
    <mergeCell ref="AD4:BB4"/>
    <mergeCell ref="H5:H15"/>
    <mergeCell ref="AM8:AM9"/>
    <mergeCell ref="AN8:AN9"/>
    <mergeCell ref="AO8:AO9"/>
    <mergeCell ref="AP8:AP9"/>
    <mergeCell ref="AD8:AD12"/>
    <mergeCell ref="V5:AC5"/>
    <mergeCell ref="AD5:BB5"/>
    <mergeCell ref="I6:I14"/>
    <mergeCell ref="P6:P14"/>
    <mergeCell ref="V6:AC6"/>
    <mergeCell ref="AD6:BB6"/>
    <mergeCell ref="J7:J13"/>
    <mergeCell ref="Q7:Q13"/>
    <mergeCell ref="V7:AC7"/>
    <mergeCell ref="AD7:BB7"/>
    <mergeCell ref="K8:K12"/>
    <mergeCell ref="R8:R12"/>
    <mergeCell ref="S8:S12"/>
    <mergeCell ref="T8:T12"/>
    <mergeCell ref="AH8:AH11"/>
    <mergeCell ref="AI8:AI10"/>
    <mergeCell ref="AJ8:AJ10"/>
    <mergeCell ref="S28:AZ28"/>
    <mergeCell ref="S29:AZ29"/>
    <mergeCell ref="BC8:BC13"/>
    <mergeCell ref="AK8:AK10"/>
    <mergeCell ref="AL8:AL10"/>
    <mergeCell ref="AE8:AE11"/>
    <mergeCell ref="AF8:AF11"/>
    <mergeCell ref="AG8:AG11"/>
    <mergeCell ref="S31:T31"/>
    <mergeCell ref="V31:AB31"/>
    <mergeCell ref="AD31:AZ31"/>
    <mergeCell ref="K52:K56"/>
    <mergeCell ref="S52:S56"/>
    <mergeCell ref="S32:T32"/>
    <mergeCell ref="V32:AB32"/>
    <mergeCell ref="AD32:AZ32"/>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AA45:AB45"/>
    <mergeCell ref="AY45:AZ45"/>
    <mergeCell ref="AD50:BB50"/>
    <mergeCell ref="BC40:BC44"/>
    <mergeCell ref="S41:S44"/>
    <mergeCell ref="T41:T44"/>
    <mergeCell ref="AC41:AC44"/>
    <mergeCell ref="AD41:AG44"/>
    <mergeCell ref="AH41:AK44"/>
    <mergeCell ref="X42:Y43"/>
    <mergeCell ref="V41:AB41"/>
    <mergeCell ref="AP41:AS44"/>
    <mergeCell ref="AT41:AZ41"/>
    <mergeCell ref="AT42:AU43"/>
    <mergeCell ref="AV42:AW43"/>
    <mergeCell ref="AX42:AZ43"/>
    <mergeCell ref="AA44:AB44"/>
    <mergeCell ref="AY44:AZ44"/>
    <mergeCell ref="AL41:AO44"/>
    <mergeCell ref="BA41:BA44"/>
    <mergeCell ref="BB41:BB44"/>
    <mergeCell ref="V42:W43"/>
    <mergeCell ref="Z42:AB43"/>
    <mergeCell ref="E46:E62"/>
    <mergeCell ref="V46:AC46"/>
    <mergeCell ref="AD46:BB46"/>
    <mergeCell ref="F47:F61"/>
    <mergeCell ref="V47:AC47"/>
    <mergeCell ref="AM52:AM53"/>
    <mergeCell ref="AN52:AN53"/>
    <mergeCell ref="AO52:AO53"/>
    <mergeCell ref="AP52:AP53"/>
    <mergeCell ref="AD52:AD56"/>
    <mergeCell ref="G48:G60"/>
    <mergeCell ref="V48:AC48"/>
    <mergeCell ref="AD48:BB48"/>
    <mergeCell ref="H49:H59"/>
    <mergeCell ref="V49:AC49"/>
    <mergeCell ref="AD49:BB49"/>
    <mergeCell ref="AD47:BB47"/>
    <mergeCell ref="I50:I58"/>
    <mergeCell ref="P50:P58"/>
    <mergeCell ref="V50:AC50"/>
    <mergeCell ref="J51:J57"/>
    <mergeCell ref="Q51:Q57"/>
    <mergeCell ref="V51:AC51"/>
    <mergeCell ref="AD51:BB51"/>
    <mergeCell ref="T67:BC67"/>
    <mergeCell ref="AK52:AK54"/>
    <mergeCell ref="AL52:AL54"/>
    <mergeCell ref="AE52:AE55"/>
    <mergeCell ref="AF52:AF55"/>
    <mergeCell ref="AG52:AG55"/>
    <mergeCell ref="AH52:AH55"/>
    <mergeCell ref="AI52:AI54"/>
    <mergeCell ref="AJ52:AJ54"/>
    <mergeCell ref="BC52:BC57"/>
    <mergeCell ref="T52:T56"/>
    <mergeCell ref="T65:BC65"/>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C336CC8-1314-5E62-3A8A-0D73729F2EC8}" mc:Ignorable="x14ac xr xr2 xr3">
  <sheetPr>
    <tabColor theme="6" tint="0.4"/>
  </sheetPr>
  <dimension ref="A1:AP57"/>
  <sheetViews>
    <sheetView topLeftCell="A1" showGridLines="0" zoomScale="90" workbookViewId="0">
      <selection activeCell="A1" sqref="A1"/>
    </sheetView>
  </sheetViews>
  <sheetFormatPr defaultColWidth="10.57421875" customHeight="1" defaultRowHeight="14.25"/>
  <cols>
    <col min="1" max="1" style="8721" width="10.57421875" hidden="1"/>
    <col min="2" max="2" style="8721" width="11.00390625" hidden="1" customWidth="1"/>
    <col min="3" max="3" style="8721" width="10.57421875" hidden="1"/>
    <col min="4" max="4" style="8721" width="11.8515625" hidden="1" customWidth="1"/>
    <col min="5" max="5" style="8721" width="10.00390625" hidden="1" customWidth="1"/>
    <col min="6" max="6" style="8721" width="8.7109375" hidden="1" customWidth="1"/>
    <col min="7" max="7" style="8721" width="7.57421875" hidden="1" customWidth="1"/>
    <col min="8" max="8" style="8721" width="11.421875" hidden="1" customWidth="1"/>
    <col min="9" max="9" style="8721" width="14.140625" hidden="1" customWidth="1"/>
    <col min="10" max="10" style="8721" width="9.8515625" hidden="1" customWidth="1"/>
    <col min="11" max="11" style="8721" width="14.7109375" hidden="1" customWidth="1"/>
    <col min="12" max="12" style="9072" width="19.140625" hidden="1" customWidth="1"/>
    <col min="13" max="14" style="8803" width="12.28125" hidden="1" customWidth="1"/>
    <col min="15" max="15" style="8803" width="23.421875" hidden="1" customWidth="1"/>
    <col min="16" max="16" style="9073" width="3.7109375" customWidth="1"/>
    <col min="17" max="18" style="8805" width="3.7109375" customWidth="1"/>
    <col min="19" max="19" style="8806" width="12.7109375" customWidth="1"/>
    <col min="20" max="20" style="8807" width="35.7109375" customWidth="1"/>
    <col min="21" max="21" style="8807" width="0.140625" customWidth="1"/>
    <col min="22" max="24" style="8807" width="24.7109375" hidden="1" customWidth="1"/>
    <col min="25" max="25" style="8807" width="11.7109375" hidden="1" customWidth="1"/>
    <col min="26" max="26" style="8807" width="3.7109375" hidden="1" customWidth="1"/>
    <col min="27" max="27" style="8807" width="11.7109375" hidden="1" customWidth="1"/>
    <col min="28" max="28" style="8807" width="8.57421875" hidden="1" customWidth="1"/>
    <col min="29" max="31" style="8807" width="24.7109375" customWidth="1"/>
    <col min="32" max="32" style="8807" width="11.7109375" customWidth="1"/>
    <col min="33" max="33" style="8807" width="3.7109375" customWidth="1"/>
    <col min="34" max="34" style="8807" width="11.7109375" customWidth="1"/>
    <col min="35" max="35" style="8807" width="8.57421875" hidden="1" customWidth="1"/>
    <col min="36" max="36" style="8807" width="4.7109375" customWidth="1"/>
    <col min="37" max="37" style="8807" width="115.7109375" customWidth="1"/>
    <col min="38" max="39" style="8794" width="10.57421875"/>
    <col min="40" max="40" style="8794" width="11.140625" customWidth="1"/>
    <col min="41" max="42" style="8794" width="10.57421875"/>
  </cols>
  <sheetData>
    <row customHeight="1" ht="14.25" hidden="1">
      <c r="X1" s="481"/>
      <c r="Y1" s="481"/>
      <c r="AE1" s="481"/>
      <c r="AF1" s="481"/>
    </row>
    <row customHeight="1" ht="23.25" hidden="1">
      <c r="A2" s="1522"/>
      <c r="B2" s="1522"/>
      <c r="C2" s="1522"/>
      <c r="D2" s="1522"/>
      <c r="E2" s="2320">
        <v>1</v>
      </c>
      <c r="F2" s="1522"/>
      <c r="G2" s="1522"/>
      <c r="H2" s="1522"/>
      <c r="I2" s="1522"/>
      <c r="J2" s="1522"/>
      <c r="K2" s="1522"/>
      <c r="L2" s="1523"/>
      <c r="M2" s="1524"/>
      <c r="N2" s="1524"/>
      <c r="O2" s="1524"/>
      <c r="P2" s="515"/>
      <c r="Q2" s="514"/>
      <c r="R2" s="509"/>
      <c r="S2" s="1652">
        <f>INDEX(PT_DIFFERENTIATION_NUM_NTAR,MATCH(A2,PT_DIFFERENTIATION_NTAR_ID,0))</f>
      </c>
      <c r="T2" s="452" t="s">
        <v>120</v>
      </c>
      <c r="U2" s="454"/>
      <c r="V2" s="2314"/>
      <c r="W2" s="2315"/>
      <c r="X2" s="2315"/>
      <c r="Y2" s="2315"/>
      <c r="Z2" s="2315"/>
      <c r="AA2" s="2315"/>
      <c r="AB2" s="2316"/>
      <c r="AC2" s="2314">
        <f>INDEX(PT_DIFFERENTIATION_NTAR,MATCH(A2,PT_DIFFERENTIATION_NTAR_ID,0))</f>
      </c>
      <c r="AD2" s="2315"/>
      <c r="AE2" s="2315"/>
      <c r="AF2" s="2315"/>
      <c r="AG2" s="2315"/>
      <c r="AH2" s="2315"/>
      <c r="AI2" s="2315"/>
      <c r="AJ2" s="2316"/>
      <c r="AK2" s="1416"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2" s="654"/>
      <c r="AN2" s="654" t="str">
        <f>IF(T2="","",T2)</f>
        <v>Наименование тарифа</v>
      </c>
      <c r="AO2" s="654"/>
      <c r="AP2" s="654"/>
    </row>
    <row customHeight="1" ht="23.25" hidden="1">
      <c r="A3" s="1522"/>
      <c r="B3" s="1522"/>
      <c r="C3" s="1522"/>
      <c r="D3" s="1522"/>
      <c r="E3" s="2321"/>
      <c r="F3" s="2320">
        <v>1</v>
      </c>
      <c r="G3" s="1522"/>
      <c r="H3" s="1522"/>
      <c r="I3" s="1522"/>
      <c r="J3" s="1522"/>
      <c r="K3" s="1522"/>
      <c r="L3" s="1523"/>
      <c r="M3" s="1524"/>
      <c r="N3" s="1524"/>
      <c r="O3" s="1524"/>
      <c r="P3" s="1646"/>
      <c r="Q3" s="506"/>
      <c r="R3" s="507"/>
      <c r="S3" s="1652">
        <f>INDEX(PT_DIFFERENTIATION_NUM_TER,MATCH(B3,PT_DIFFERENTIATION_TER_ID,0))</f>
      </c>
      <c r="T3" s="462" t="s">
        <v>397</v>
      </c>
      <c r="U3" s="454"/>
      <c r="V3" s="2314"/>
      <c r="W3" s="2315"/>
      <c r="X3" s="2315"/>
      <c r="Y3" s="2315"/>
      <c r="Z3" s="2315"/>
      <c r="AA3" s="2315"/>
      <c r="AB3" s="2316"/>
      <c r="AC3" s="2314">
        <f>INDEX(PT_DIFFERENTIATION_TER,MATCH(B3,PT_DIFFERENTIATION_TER_ID,0))</f>
      </c>
      <c r="AD3" s="2315"/>
      <c r="AE3" s="2315"/>
      <c r="AF3" s="2315"/>
      <c r="AG3" s="2315"/>
      <c r="AH3" s="2315"/>
      <c r="AI3" s="2315"/>
      <c r="AJ3" s="2316"/>
      <c r="AK3" s="1416" t="s">
        <v>398</v>
      </c>
      <c r="AM3" s="654"/>
      <c r="AN3" s="654" t="str">
        <f>IF(T3="","",T3)</f>
        <v>Территория действия тарифа</v>
      </c>
      <c r="AO3" s="654"/>
      <c r="AP3" s="654"/>
    </row>
    <row customHeight="1" ht="23.25" hidden="1">
      <c r="A4" s="1522"/>
      <c r="B4" s="1522"/>
      <c r="C4" s="1522"/>
      <c r="D4" s="1522"/>
      <c r="E4" s="2321"/>
      <c r="F4" s="2321"/>
      <c r="G4" s="2320">
        <v>1</v>
      </c>
      <c r="H4" s="1522"/>
      <c r="I4" s="1522"/>
      <c r="J4" s="1522"/>
      <c r="K4" s="1522"/>
      <c r="L4" s="1523"/>
      <c r="M4" s="1524"/>
      <c r="N4" s="1524"/>
      <c r="O4" s="1524"/>
      <c r="P4" s="508"/>
      <c r="Q4" s="506"/>
      <c r="R4" s="507"/>
      <c r="S4" s="1652">
        <f>INDEX(PT_DIFFERENTIATION_NUM_CS,MATCH(C4,PT_DIFFERENTIATION_CS_ID,0))</f>
      </c>
      <c r="T4" s="463" t="s">
        <v>514</v>
      </c>
      <c r="U4" s="454"/>
      <c r="V4" s="2314"/>
      <c r="W4" s="2315"/>
      <c r="X4" s="2315"/>
      <c r="Y4" s="2315"/>
      <c r="Z4" s="2315"/>
      <c r="AA4" s="2315"/>
      <c r="AB4" s="2316"/>
      <c r="AC4" s="2314">
        <f>INDEX(PT_DIFFERENTIATION_CS,MATCH(C4,PT_DIFFERENTIATION_CS_ID,0))</f>
      </c>
      <c r="AD4" s="2315"/>
      <c r="AE4" s="2315"/>
      <c r="AF4" s="2315"/>
      <c r="AG4" s="2315"/>
      <c r="AH4" s="2315"/>
      <c r="AI4" s="2315"/>
      <c r="AJ4" s="2316"/>
      <c r="AK4" s="1416" t="s">
        <v>515</v>
      </c>
      <c r="AM4" s="654"/>
      <c r="AN4" s="654" t="str">
        <f>IF(T4="","",T4)</f>
        <v>Наименование централизованной системы водоотведения</v>
      </c>
      <c r="AO4" s="654"/>
      <c r="AP4" s="654"/>
    </row>
    <row customHeight="1" ht="23.25" hidden="1">
      <c r="A5" s="1522"/>
      <c r="B5" s="1522"/>
      <c r="C5" s="1522"/>
      <c r="D5" s="1522"/>
      <c r="E5" s="2321"/>
      <c r="F5" s="2321"/>
      <c r="G5" s="2321"/>
      <c r="H5" s="2321"/>
      <c r="I5" s="2322">
        <f>S4&amp;".1"</f>
      </c>
      <c r="J5" s="1522"/>
      <c r="K5" s="1522"/>
      <c r="L5" s="1523"/>
      <c r="P5" s="2324">
        <v>1</v>
      </c>
      <c r="Q5" s="1640"/>
      <c r="R5" s="510"/>
      <c r="S5" s="1652">
        <f>$I5</f>
      </c>
      <c r="T5" s="439" t="s">
        <v>481</v>
      </c>
      <c r="U5" s="454"/>
      <c r="V5" s="2407"/>
      <c r="W5" s="2408"/>
      <c r="X5" s="2408"/>
      <c r="Y5" s="2408"/>
      <c r="Z5" s="2408"/>
      <c r="AA5" s="2408"/>
      <c r="AB5" s="2409"/>
      <c r="AC5" s="2410"/>
      <c r="AD5" s="2411"/>
      <c r="AE5" s="2411"/>
      <c r="AF5" s="2411"/>
      <c r="AG5" s="2411"/>
      <c r="AH5" s="2411"/>
      <c r="AI5" s="2411"/>
      <c r="AJ5" s="2412"/>
      <c r="AK5" s="1416" t="s">
        <v>482</v>
      </c>
      <c r="AM5" s="654"/>
      <c r="AN5" s="654" t="str">
        <f>IF(T5="","",T5)</f>
        <v>Наименование признака дифференциации</v>
      </c>
      <c r="AO5" s="654"/>
      <c r="AP5" s="654"/>
    </row>
    <row customHeight="1" ht="23.25" hidden="1">
      <c r="A6" s="1522"/>
      <c r="B6" s="1522"/>
      <c r="C6" s="1522"/>
      <c r="D6" s="1522"/>
      <c r="E6" s="2321"/>
      <c r="F6" s="2321"/>
      <c r="G6" s="2321"/>
      <c r="H6" s="2321"/>
      <c r="I6" s="2323"/>
      <c r="J6" s="2322">
        <f>I5&amp;".1"</f>
      </c>
      <c r="K6" s="1522"/>
      <c r="L6" s="1523" t="s">
        <v>406</v>
      </c>
      <c r="P6" s="2324"/>
      <c r="Q6" s="2324">
        <v>1</v>
      </c>
      <c r="R6" s="511"/>
      <c r="S6" s="1652">
        <f>$J6</f>
      </c>
      <c r="T6" s="440" t="s">
        <v>407</v>
      </c>
      <c r="U6" s="454"/>
      <c r="V6" s="2308"/>
      <c r="W6" s="2309"/>
      <c r="X6" s="2309"/>
      <c r="Y6" s="2309"/>
      <c r="Z6" s="2309"/>
      <c r="AA6" s="2309"/>
      <c r="AB6" s="2310"/>
      <c r="AC6" s="2308"/>
      <c r="AD6" s="2309"/>
      <c r="AE6" s="2309"/>
      <c r="AF6" s="2309"/>
      <c r="AG6" s="2309"/>
      <c r="AH6" s="2309"/>
      <c r="AI6" s="2309"/>
      <c r="AJ6" s="2310"/>
      <c r="AK6" s="1466" t="s">
        <v>483</v>
      </c>
      <c r="AM6" s="654"/>
      <c r="AN6" s="654" t="str">
        <f>IF(T6="","",T6)</f>
        <v>Группа потребителей</v>
      </c>
      <c r="AO6" s="654"/>
      <c r="AP6" s="654"/>
    </row>
    <row customHeight="1" ht="23.25" hidden="1">
      <c r="A7" s="1522"/>
      <c r="B7" s="1522"/>
      <c r="C7" s="1522"/>
      <c r="D7" s="1522"/>
      <c r="E7" s="2321"/>
      <c r="F7" s="2321"/>
      <c r="G7" s="2321"/>
      <c r="H7" s="2321"/>
      <c r="I7" s="2323"/>
      <c r="J7" s="2323"/>
      <c r="K7" s="2322">
        <f>J6&amp;".1"</f>
      </c>
      <c r="L7" s="1523"/>
      <c r="P7" s="2324"/>
      <c r="Q7" s="2324"/>
      <c r="R7" s="511">
        <v>1</v>
      </c>
      <c r="S7" s="1652">
        <f>$K7</f>
      </c>
      <c r="T7" s="1596"/>
      <c r="U7" s="454"/>
      <c r="V7" s="905"/>
      <c r="W7" s="905"/>
      <c r="X7" s="1415"/>
      <c r="Y7" s="2325"/>
      <c r="Z7" s="2195" t="s">
        <v>64</v>
      </c>
      <c r="AA7" s="2325"/>
      <c r="AB7" s="2195" t="s">
        <v>64</v>
      </c>
      <c r="AC7" s="905"/>
      <c r="AD7" s="905"/>
      <c r="AE7" s="1415"/>
      <c r="AF7" s="2325"/>
      <c r="AG7" s="2195" t="s">
        <v>64</v>
      </c>
      <c r="AH7" s="2327"/>
      <c r="AI7" s="2195" t="s">
        <v>64</v>
      </c>
      <c r="AJ7" s="1597"/>
      <c r="AK7" s="241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65">
        <f>STRCHECKDATE(V8:AJ8)</f>
      </c>
      <c r="AM7" s="654"/>
      <c r="AN7" s="654" t="str">
        <f>IF(T7="","",T7)</f>
        <v/>
      </c>
      <c r="AO7" s="654"/>
      <c r="AP7" s="654"/>
    </row>
    <row customHeight="1" ht="14.25" hidden="1">
      <c r="A8" s="1522"/>
      <c r="B8" s="1522"/>
      <c r="C8" s="1522"/>
      <c r="D8" s="1522"/>
      <c r="E8" s="2321"/>
      <c r="F8" s="2321"/>
      <c r="G8" s="2321"/>
      <c r="H8" s="2321"/>
      <c r="I8" s="2323"/>
      <c r="J8" s="2323"/>
      <c r="K8" s="2322"/>
      <c r="L8" s="1523"/>
      <c r="P8" s="2324"/>
      <c r="Q8" s="2324"/>
      <c r="R8" s="511"/>
      <c r="S8" s="1649"/>
      <c r="T8" s="454"/>
      <c r="U8" s="454"/>
      <c r="V8" s="479"/>
      <c r="W8" s="479"/>
      <c r="X8" s="482" t="str">
        <f>Y7&amp;"-"&amp;AA7</f>
        <v>-</v>
      </c>
      <c r="Y8" s="2326"/>
      <c r="Z8" s="2195"/>
      <c r="AA8" s="2326"/>
      <c r="AB8" s="2195"/>
      <c r="AC8" s="479"/>
      <c r="AD8" s="479"/>
      <c r="AE8" s="482" t="str">
        <f>AF7&amp;"-"&amp;AH7</f>
        <v>-</v>
      </c>
      <c r="AF8" s="2326"/>
      <c r="AG8" s="2195"/>
      <c r="AH8" s="2328"/>
      <c r="AI8" s="2195"/>
      <c r="AJ8" s="1598"/>
      <c r="AK8" s="2413"/>
      <c r="AM8" s="654"/>
      <c r="AN8" s="654" t="str">
        <f>IF(T8="","",T8)</f>
        <v/>
      </c>
      <c r="AO8" s="654"/>
      <c r="AP8" s="654"/>
    </row>
    <row customHeight="1" ht="21" hidden="1">
      <c r="A9" s="1522"/>
      <c r="B9" s="1522"/>
      <c r="C9" s="1522"/>
      <c r="D9" s="1522"/>
      <c r="E9" s="2321"/>
      <c r="F9" s="2321"/>
      <c r="G9" s="2321"/>
      <c r="H9" s="2321"/>
      <c r="I9" s="2323"/>
      <c r="J9" s="2322"/>
      <c r="K9" s="1522"/>
      <c r="L9" s="1523"/>
      <c r="P9" s="2324"/>
      <c r="Q9" s="2324"/>
      <c r="R9" s="510"/>
      <c r="S9" s="1437"/>
      <c r="T9" s="441" t="s">
        <v>484</v>
      </c>
      <c r="U9" s="521"/>
      <c r="V9" s="521"/>
      <c r="W9" s="521"/>
      <c r="X9" s="521"/>
      <c r="Y9" s="521"/>
      <c r="Z9" s="521"/>
      <c r="AA9" s="521"/>
      <c r="AB9" s="521"/>
      <c r="AC9" s="521"/>
      <c r="AD9" s="521"/>
      <c r="AE9" s="521"/>
      <c r="AF9" s="521"/>
      <c r="AG9" s="521"/>
      <c r="AH9" s="521"/>
      <c r="AI9" s="521"/>
      <c r="AJ9" s="521"/>
      <c r="AK9" s="1416" t="s">
        <v>485</v>
      </c>
      <c r="AM9" s="654"/>
      <c r="AN9" s="654" t="str">
        <f>IF(T9="","",T9)</f>
        <v>Добавить значение признака дифференциации</v>
      </c>
      <c r="AO9" s="654"/>
      <c r="AP9" s="654"/>
    </row>
    <row customHeight="1" ht="21" hidden="1">
      <c r="A10" s="1522"/>
      <c r="B10" s="1522"/>
      <c r="C10" s="1522"/>
      <c r="D10" s="1522"/>
      <c r="E10" s="2321"/>
      <c r="F10" s="2321"/>
      <c r="G10" s="2321"/>
      <c r="H10" s="2321"/>
      <c r="I10" s="2322"/>
      <c r="J10" s="1522"/>
      <c r="K10" s="1522"/>
      <c r="L10" s="1523"/>
      <c r="P10" s="2324"/>
      <c r="Q10" s="1640"/>
      <c r="R10" s="510"/>
      <c r="S10" s="1437"/>
      <c r="T10" s="519" t="s">
        <v>412</v>
      </c>
      <c r="U10" s="521"/>
      <c r="V10" s="521"/>
      <c r="W10" s="521"/>
      <c r="X10" s="521"/>
      <c r="Y10" s="521"/>
      <c r="Z10" s="521"/>
      <c r="AA10" s="521"/>
      <c r="AB10" s="520"/>
      <c r="AC10" s="521"/>
      <c r="AD10" s="521"/>
      <c r="AE10" s="521"/>
      <c r="AF10" s="521"/>
      <c r="AG10" s="521"/>
      <c r="AH10" s="521"/>
      <c r="AI10" s="520"/>
      <c r="AJ10" s="521"/>
      <c r="AK10" s="1599"/>
      <c r="AM10" s="654"/>
      <c r="AN10" s="654" t="str">
        <f>IF(T10="","",T10)</f>
        <v>Добавить группу потребителей</v>
      </c>
      <c r="AO10" s="654"/>
      <c r="AP10" s="654"/>
    </row>
    <row customHeight="1" ht="21" hidden="1">
      <c r="A11" s="1522"/>
      <c r="B11" s="1522"/>
      <c r="C11" s="1522"/>
      <c r="D11" s="1522"/>
      <c r="E11" s="2321"/>
      <c r="F11" s="2321"/>
      <c r="G11" s="2321"/>
      <c r="H11" s="2320"/>
      <c r="I11" s="1522"/>
      <c r="J11" s="1522"/>
      <c r="K11" s="1522"/>
      <c r="L11" s="1523"/>
      <c r="M11" s="1524"/>
      <c r="N11" s="1524"/>
      <c r="O11" s="691"/>
      <c r="P11" s="514"/>
      <c r="Q11" s="529"/>
      <c r="R11" s="509"/>
      <c r="S11" s="1437"/>
      <c r="T11" s="526" t="s">
        <v>486</v>
      </c>
      <c r="U11" s="521"/>
      <c r="V11" s="521"/>
      <c r="W11" s="521"/>
      <c r="X11" s="521"/>
      <c r="Y11" s="521"/>
      <c r="Z11" s="521"/>
      <c r="AA11" s="521"/>
      <c r="AB11" s="520"/>
      <c r="AC11" s="521"/>
      <c r="AD11" s="521"/>
      <c r="AE11" s="521"/>
      <c r="AF11" s="521"/>
      <c r="AG11" s="521"/>
      <c r="AH11" s="521"/>
      <c r="AI11" s="520"/>
      <c r="AJ11" s="521"/>
      <c r="AK11" s="457"/>
      <c r="AM11" s="654"/>
      <c r="AN11" s="654" t="str">
        <f>IF(T11="","",T11)</f>
        <v>Добавить наименование признака дифференциации</v>
      </c>
      <c r="AO11" s="654"/>
      <c r="AP11" s="654"/>
    </row>
    <row s="8702" customFormat="1" customHeight="1" ht="14.25" hidden="1">
      <c r="A12" s="1502"/>
      <c r="B12" s="1502"/>
      <c r="C12" s="1473"/>
      <c r="D12" s="1473"/>
      <c r="E12" s="2321"/>
      <c r="F12" s="2320"/>
      <c r="G12" s="1473"/>
      <c r="H12" s="1473"/>
      <c r="I12" s="1473"/>
      <c r="J12" s="1473"/>
      <c r="K12" s="1473"/>
      <c r="L12" s="1653"/>
      <c r="M12" s="1480"/>
      <c r="N12" s="1480"/>
      <c r="P12" s="1475"/>
      <c r="Q12" s="1476"/>
      <c r="R12" s="1475"/>
      <c r="S12" s="1481"/>
      <c r="T12" s="1484" t="s">
        <v>251</v>
      </c>
      <c r="U12" s="1483"/>
      <c r="V12" s="1483"/>
      <c r="W12" s="1483"/>
      <c r="X12" s="1483"/>
      <c r="Y12" s="1483"/>
      <c r="Z12" s="1483"/>
      <c r="AA12" s="1483"/>
      <c r="AB12" s="1483"/>
      <c r="AC12" s="1483"/>
      <c r="AD12" s="1483"/>
      <c r="AE12" s="1483"/>
      <c r="AF12" s="1483"/>
      <c r="AG12" s="1483"/>
      <c r="AH12" s="1483"/>
      <c r="AI12" s="1483"/>
      <c r="AJ12" s="1483"/>
      <c r="AK12" s="1483"/>
      <c r="AM12" s="943"/>
      <c r="AN12" s="943" t="str">
        <f>IF(T12="","",T12)</f>
        <v>Добавить централизованную систему для дифференциации</v>
      </c>
      <c r="AO12" s="943"/>
      <c r="AP12" s="943"/>
    </row>
    <row s="8794" customFormat="1" customHeight="1" ht="14.25" hidden="1">
      <c r="A13" s="1502"/>
      <c r="B13" s="1502"/>
      <c r="C13" s="1502"/>
      <c r="D13" s="1502"/>
      <c r="E13" s="2320"/>
      <c r="F13" s="1502"/>
      <c r="G13" s="1502"/>
      <c r="H13" s="1502"/>
      <c r="I13" s="1502"/>
      <c r="J13" s="1502"/>
      <c r="K13" s="1502"/>
      <c r="L13" s="1505"/>
      <c r="M13" s="1480"/>
      <c r="N13" s="1480"/>
      <c r="O13" s="672"/>
      <c r="P13" s="534"/>
      <c r="Q13" s="1503"/>
      <c r="R13" s="534"/>
      <c r="S13" s="1481"/>
      <c r="T13" s="1484" t="s">
        <v>252</v>
      </c>
      <c r="U13" s="1483"/>
      <c r="V13" s="1483"/>
      <c r="W13" s="1483"/>
      <c r="X13" s="1483"/>
      <c r="Y13" s="1483"/>
      <c r="Z13" s="1483"/>
      <c r="AA13" s="1483"/>
      <c r="AB13" s="1483"/>
      <c r="AC13" s="1483"/>
      <c r="AD13" s="1483"/>
      <c r="AE13" s="1483"/>
      <c r="AF13" s="1483"/>
      <c r="AG13" s="1483"/>
      <c r="AH13" s="1483"/>
      <c r="AI13" s="1483"/>
      <c r="AJ13" s="1483"/>
      <c r="AK13" s="1483"/>
      <c r="AM13" s="654"/>
      <c r="AN13" s="654" t="str">
        <f>IF(T13="","",T13)</f>
        <v>Добавить территорию для дифференциации</v>
      </c>
      <c r="AO13" s="654"/>
      <c r="AP13" s="654"/>
    </row>
    <row customHeight="1" ht="14.25" hidden="1">
      <c r="AB14" s="481"/>
      <c r="AI14" s="481"/>
    </row>
    <row customHeight="1" ht="14.25" hidden="1">
      <c r="AC15" s="1519"/>
      <c r="AD15" s="1519"/>
      <c r="AE15" s="1520"/>
      <c r="AF15" s="2318"/>
      <c r="AG15" s="2317" t="s">
        <v>64</v>
      </c>
      <c r="AH15" s="2318"/>
      <c r="AI15" s="2317" t="s">
        <v>64</v>
      </c>
    </row>
    <row customHeight="1" ht="14.25" hidden="1">
      <c r="AC16" s="1519"/>
      <c r="AD16" s="1519"/>
      <c r="AE16" s="482" t="str">
        <f>AF15&amp;"-"&amp;AH15</f>
        <v>-</v>
      </c>
      <c r="AF16" s="2317"/>
      <c r="AG16" s="2317"/>
      <c r="AH16" s="2317"/>
      <c r="AI16" s="2317"/>
    </row>
    <row customHeight="1" ht="14.25" hidden="1">
      <c r="AI17" s="481"/>
    </row>
    <row s="8721" customFormat="1" customHeight="1" ht="22.5" hidden="1">
      <c r="L18" s="1637"/>
      <c r="M18" s="1521"/>
      <c r="N18" s="1521"/>
      <c r="O18" s="1526" t="s">
        <v>415</v>
      </c>
      <c r="P18" s="1521"/>
      <c r="Q18" s="1530"/>
      <c r="R18" s="1530"/>
      <c r="S18" s="883"/>
      <c r="Y18" s="1526"/>
      <c r="AA18" s="1526"/>
      <c r="AB18" s="1525"/>
      <c r="AF18" s="1526"/>
      <c r="AH18" s="1526"/>
      <c r="AI18" s="1525"/>
      <c r="AL18" s="665"/>
      <c r="AM18" s="665"/>
      <c r="AN18" s="665"/>
      <c r="AO18" s="665"/>
      <c r="AP18" s="665"/>
    </row>
    <row s="8721" customFormat="1" customHeight="1" ht="14.25" hidden="1">
      <c r="L19" s="1637"/>
      <c r="M19" s="1521"/>
      <c r="N19" s="1521"/>
      <c r="O19" s="1521"/>
      <c r="P19" s="1521"/>
      <c r="Q19" s="1530"/>
      <c r="R19" s="1530"/>
      <c r="S19" s="883"/>
      <c r="AB19" s="1525"/>
      <c r="AI19" s="1525"/>
      <c r="AL19" s="665"/>
      <c r="AM19" s="665"/>
      <c r="AN19" s="665"/>
      <c r="AO19" s="665"/>
      <c r="AP19" s="665"/>
    </row>
    <row s="8721" customFormat="1" customHeight="1" ht="12" hidden="1">
      <c r="L20" s="1637"/>
      <c r="M20" s="1521"/>
      <c r="N20" s="1521"/>
      <c r="O20" s="1523" t="s">
        <v>416</v>
      </c>
      <c r="P20" s="1521"/>
      <c r="Q20" s="1601"/>
      <c r="R20" s="1601"/>
      <c r="S20" s="883"/>
      <c r="T20" s="1316" t="s">
        <v>417</v>
      </c>
      <c r="Z20" s="340" t="s">
        <v>418</v>
      </c>
      <c r="AB20" s="340" t="s">
        <v>419</v>
      </c>
      <c r="AC20" s="1316" t="s">
        <v>417</v>
      </c>
      <c r="AG20" s="340" t="s">
        <v>420</v>
      </c>
      <c r="AI20" s="340" t="s">
        <v>419</v>
      </c>
    </row>
    <row customHeight="1" ht="14.25" hidden="1">
      <c r="O21" s="1523"/>
    </row>
    <row customHeight="1" ht="14.25" hidden="1">
      <c r="O22" s="1523"/>
    </row>
    <row customHeight="1" ht="14.25">
      <c r="Q23" s="530"/>
      <c r="R23" s="530"/>
      <c r="S23" s="1434"/>
      <c r="T23" s="517"/>
      <c r="U23" s="517"/>
      <c r="V23" s="663"/>
      <c r="W23" s="663"/>
      <c r="X23" s="663"/>
      <c r="Y23" s="663"/>
      <c r="Z23" s="663"/>
      <c r="AA23" s="663"/>
      <c r="AB23" s="663"/>
      <c r="AC23" s="663"/>
      <c r="AD23" s="663"/>
      <c r="AE23" s="663"/>
      <c r="AF23" s="663"/>
      <c r="AG23" s="663"/>
      <c r="AH23" s="663"/>
      <c r="AI23" s="663"/>
    </row>
    <row customHeight="1" ht="14.25">
      <c r="Q24" s="530"/>
      <c r="R24" s="530"/>
      <c r="S24" s="2353" t="str">
        <f>IF(TEMPLATE_GROUP="P",PT_P_FORM_VOTV_4_NAME_FORM,PT_R_FORM_VOTV_16_NAME_FORM)</f>
        <v>Форма 2. Информация о тарифах в сфере водоотведения на товары (услуги) организации водоотведения, подлежащих регулированию</v>
      </c>
      <c r="T24" s="2353"/>
      <c r="U24" s="2353"/>
      <c r="V24" s="2353"/>
      <c r="W24" s="2353"/>
      <c r="X24" s="2353"/>
      <c r="Y24" s="2353"/>
      <c r="Z24" s="2353"/>
      <c r="AA24" s="2353"/>
      <c r="AB24" s="2353"/>
      <c r="AC24" s="2353"/>
      <c r="AD24" s="2353"/>
      <c r="AE24" s="2353"/>
      <c r="AF24" s="2353"/>
      <c r="AG24" s="2353"/>
      <c r="AH24" s="2353"/>
      <c r="AI24" s="1401"/>
    </row>
    <row customHeight="1" ht="14.25">
      <c r="Q25" s="530"/>
      <c r="R25" s="530"/>
      <c r="S25" s="2354" t="str">
        <f>IF(org=0,"Не определено",org)</f>
        <v>АО "Теплокоммунэнерго"</v>
      </c>
      <c r="T25" s="2354"/>
      <c r="U25" s="2354"/>
      <c r="V25" s="2354"/>
      <c r="W25" s="2354"/>
      <c r="X25" s="2354"/>
      <c r="Y25" s="2354"/>
      <c r="Z25" s="2354"/>
      <c r="AA25" s="2354"/>
      <c r="AB25" s="2354"/>
      <c r="AC25" s="2354"/>
      <c r="AD25" s="2354"/>
      <c r="AE25" s="2354"/>
      <c r="AF25" s="2354"/>
      <c r="AG25" s="2354"/>
      <c r="AH25" s="2354"/>
      <c r="AI25" s="1401"/>
    </row>
    <row customHeight="1" ht="14.25">
      <c r="Q26" s="530"/>
      <c r="R26" s="530"/>
      <c r="S26" s="1434"/>
      <c r="T26" s="517"/>
      <c r="U26" s="517"/>
      <c r="V26" s="476"/>
      <c r="W26" s="476"/>
      <c r="X26" s="476"/>
      <c r="Y26" s="476"/>
      <c r="Z26" s="476"/>
      <c r="AA26" s="476"/>
      <c r="AB26" s="476"/>
      <c r="AC26" s="476"/>
      <c r="AD26" s="476"/>
      <c r="AE26" s="476"/>
      <c r="AF26" s="476"/>
      <c r="AG26" s="476"/>
      <c r="AH26" s="476"/>
      <c r="AI26" s="476"/>
      <c r="AJ26" s="663"/>
    </row>
    <row s="8735" customFormat="1" customHeight="1" ht="25.5">
      <c r="A27" s="1527"/>
      <c r="B27" s="1527"/>
      <c r="C27" s="1527"/>
      <c r="D27" s="1527"/>
      <c r="E27" s="1527"/>
      <c r="F27" s="1527"/>
      <c r="G27" s="1527"/>
      <c r="H27" s="1527"/>
      <c r="I27" s="1527"/>
      <c r="J27" s="1527"/>
      <c r="K27" s="1527"/>
      <c r="L27" s="1528"/>
      <c r="M27" s="1527"/>
      <c r="N27" s="1527"/>
      <c r="O27" s="1527"/>
      <c r="S27" s="2311" t="s">
        <v>38</v>
      </c>
      <c r="T27" s="2311"/>
      <c r="U27" s="1531"/>
      <c r="V27" s="2313" t="str">
        <f>IF(TITLE_NAME_OR_PR_CHANGE="",IF(TITLE_NAME_OR_PR="","",TITLE_NAME_OR_PR),TITLE_NAME_OR_PR_CHANGE)</f>
        <v>Региональная служба по тарифам Ростовской области</v>
      </c>
      <c r="W27" s="2313"/>
      <c r="X27" s="2313"/>
      <c r="Y27" s="2313"/>
      <c r="Z27" s="2313"/>
      <c r="AA27" s="2313"/>
      <c r="AB27" s="480"/>
      <c r="AC27" s="2313" t="str">
        <f>IF(TITLE_NAME_OR_PR_CHANGE="",IF(TITLE_NAME_OR_PR="","",TITLE_NAME_OR_PR),TITLE_NAME_OR_PR_CHANGE)</f>
        <v>Региональная служба по тарифам Ростовской области</v>
      </c>
      <c r="AD27" s="2313"/>
      <c r="AE27" s="2313"/>
      <c r="AF27" s="2313"/>
      <c r="AG27" s="2313"/>
      <c r="AH27" s="2313"/>
      <c r="AI27" s="480"/>
      <c r="AJ27" s="480"/>
      <c r="AK27" s="434"/>
      <c r="AL27" s="522"/>
      <c r="AM27" s="522"/>
      <c r="AN27" s="522"/>
      <c r="AO27" s="522"/>
      <c r="AP27" s="522"/>
    </row>
    <row s="8735" customFormat="1" customHeight="1" ht="18.75">
      <c r="A28" s="1527"/>
      <c r="B28" s="1527"/>
      <c r="C28" s="1527"/>
      <c r="D28" s="1527"/>
      <c r="E28" s="1527"/>
      <c r="F28" s="1527"/>
      <c r="G28" s="1527"/>
      <c r="H28" s="1527"/>
      <c r="I28" s="1527"/>
      <c r="J28" s="1527"/>
      <c r="K28" s="1527"/>
      <c r="L28" s="1528"/>
      <c r="M28" s="1527"/>
      <c r="N28" s="1527"/>
      <c r="O28" s="1527"/>
      <c r="S28" s="2311" t="s">
        <v>421</v>
      </c>
      <c r="T28" s="2311"/>
      <c r="U28" s="1531"/>
      <c r="V28" s="2312" t="str">
        <f>IF(TITLE_DATE_PR_CHANGE="",IF(TITLE_DATE_PR="","",TITLE_DATE_PR),TITLE_DATE_PR_CHANGE)</f>
        <v>45279</v>
      </c>
      <c r="W28" s="2312"/>
      <c r="X28" s="2312"/>
      <c r="Y28" s="2312"/>
      <c r="Z28" s="2312"/>
      <c r="AA28" s="2312"/>
      <c r="AB28" s="480"/>
      <c r="AC28" s="2312" t="str">
        <f>IF(TITLE_DATE_PR_CHANGE="",IF(TITLE_DATE_PR="","",TITLE_DATE_PR),TITLE_DATE_PR_CHANGE)</f>
        <v>45279</v>
      </c>
      <c r="AD28" s="2312"/>
      <c r="AE28" s="2312"/>
      <c r="AF28" s="2312"/>
      <c r="AG28" s="2312"/>
      <c r="AH28" s="2312"/>
      <c r="AI28" s="480"/>
      <c r="AJ28" s="480"/>
      <c r="AK28" s="434"/>
      <c r="AL28" s="522"/>
      <c r="AM28" s="522"/>
      <c r="AN28" s="522"/>
      <c r="AO28" s="522"/>
      <c r="AP28" s="522"/>
    </row>
    <row s="8735" customFormat="1" customHeight="1" ht="18.75">
      <c r="A29" s="1527"/>
      <c r="B29" s="1527"/>
      <c r="C29" s="1527"/>
      <c r="D29" s="1527"/>
      <c r="E29" s="1527"/>
      <c r="F29" s="1527"/>
      <c r="G29" s="1527"/>
      <c r="H29" s="1527"/>
      <c r="I29" s="1527"/>
      <c r="J29" s="1527"/>
      <c r="K29" s="1527"/>
      <c r="L29" s="1528"/>
      <c r="M29" s="1527"/>
      <c r="N29" s="1527"/>
      <c r="O29" s="1527"/>
      <c r="S29" s="2311" t="s">
        <v>422</v>
      </c>
      <c r="T29" s="2311"/>
      <c r="U29" s="1531"/>
      <c r="V29" s="2313" t="str">
        <f>IF(TITLE_NUMBER_PR_CHANGE="",IF(TITLE_NUMBER_PR="","",TITLE_NUMBER_PR),TITLE_NUMBER_PR_CHANGE)</f>
        <v>877</v>
      </c>
      <c r="W29" s="2313"/>
      <c r="X29" s="2313"/>
      <c r="Y29" s="2313"/>
      <c r="Z29" s="2313"/>
      <c r="AA29" s="2313"/>
      <c r="AB29" s="480"/>
      <c r="AC29" s="2313" t="str">
        <f>IF(TITLE_NUMBER_PR_CHANGE="",IF(TITLE_NUMBER_PR="","",TITLE_NUMBER_PR),TITLE_NUMBER_PR_CHANGE)</f>
        <v>877</v>
      </c>
      <c r="AD29" s="2313"/>
      <c r="AE29" s="2313"/>
      <c r="AF29" s="2313"/>
      <c r="AG29" s="2313"/>
      <c r="AH29" s="2313"/>
      <c r="AI29" s="480"/>
      <c r="AJ29" s="480"/>
      <c r="AK29" s="434"/>
      <c r="AL29" s="522"/>
      <c r="AM29" s="522"/>
      <c r="AN29" s="522"/>
      <c r="AO29" s="522"/>
      <c r="AP29" s="522"/>
    </row>
    <row s="8735" customFormat="1" customHeight="1" ht="18.75">
      <c r="A30" s="1527"/>
      <c r="B30" s="1527"/>
      <c r="C30" s="1527"/>
      <c r="D30" s="1527"/>
      <c r="E30" s="1527"/>
      <c r="F30" s="1527"/>
      <c r="G30" s="1527"/>
      <c r="H30" s="1527"/>
      <c r="I30" s="1527"/>
      <c r="J30" s="1527"/>
      <c r="K30" s="1527"/>
      <c r="L30" s="1528"/>
      <c r="M30" s="1527"/>
      <c r="N30" s="1527"/>
      <c r="O30" s="1527"/>
      <c r="S30" s="2311" t="s">
        <v>40</v>
      </c>
      <c r="T30" s="2311"/>
      <c r="U30" s="1531"/>
      <c r="V30" s="2313" t="str">
        <f>IF(TITLE_IST_PUB_CHANGE="",IF(TITLE_IST_PUB="","",TITLE_IST_PUB),TITLE_IST_PUB_CHANGE)</f>
        <v>Официальный портал правовой информации Ростовской области</v>
      </c>
      <c r="W30" s="2313"/>
      <c r="X30" s="2313"/>
      <c r="Y30" s="2313"/>
      <c r="Z30" s="2313"/>
      <c r="AA30" s="2313"/>
      <c r="AB30" s="480"/>
      <c r="AC30" s="2313" t="str">
        <f>IF(TITLE_IST_PUB_CHANGE="",IF(TITLE_IST_PUB="","",TITLE_IST_PUB),TITLE_IST_PUB_CHANGE)</f>
        <v>Официальный портал правовой информации Ростовской области</v>
      </c>
      <c r="AD30" s="2313"/>
      <c r="AE30" s="2313"/>
      <c r="AF30" s="2313"/>
      <c r="AG30" s="2313"/>
      <c r="AH30" s="2313"/>
      <c r="AI30" s="480"/>
      <c r="AJ30" s="480"/>
      <c r="AK30" s="434"/>
      <c r="AL30" s="522"/>
      <c r="AM30" s="522"/>
      <c r="AN30" s="522"/>
      <c r="AO30" s="522"/>
      <c r="AP30" s="522"/>
    </row>
    <row customHeight="1" ht="14.25" hidden="1">
      <c r="Q31" s="530"/>
      <c r="R31" s="530"/>
      <c r="S31" s="1434"/>
      <c r="T31" s="517"/>
      <c r="U31" s="517"/>
      <c r="V31" s="476"/>
      <c r="W31" s="476"/>
      <c r="X31" s="476"/>
      <c r="Y31" s="476"/>
      <c r="Z31" s="476"/>
      <c r="AA31" s="476"/>
      <c r="AB31" s="476"/>
      <c r="AC31" s="476"/>
      <c r="AD31" s="476"/>
      <c r="AE31" s="476"/>
      <c r="AF31" s="476"/>
      <c r="AG31" s="476"/>
      <c r="AH31" s="476"/>
      <c r="AI31" s="476"/>
      <c r="AJ31" s="663"/>
    </row>
    <row s="8735" customFormat="1" customHeight="1" ht="18.75" hidden="1">
      <c r="A32" s="1527"/>
      <c r="B32" s="1527"/>
      <c r="C32" s="1527"/>
      <c r="D32" s="1527"/>
      <c r="E32" s="1527"/>
      <c r="F32" s="1527"/>
      <c r="G32" s="1527"/>
      <c r="H32" s="1527"/>
      <c r="I32" s="1527"/>
      <c r="J32" s="1527"/>
      <c r="K32" s="1527"/>
      <c r="L32" s="1528"/>
      <c r="M32" s="1527"/>
      <c r="N32" s="1527"/>
      <c r="O32" s="1527"/>
      <c r="S32" s="2311" t="s">
        <v>423</v>
      </c>
      <c r="T32" s="2311"/>
      <c r="U32" s="1531"/>
      <c r="V32" s="2312" t="str">
        <f>IF(TITLE_DATE_PR_CHANGE="",IF(TITLE_DATE_PR="","",TITLE_DATE_PR),TITLE_DATE_PR_CHANGE)</f>
        <v>45279</v>
      </c>
      <c r="W32" s="2312"/>
      <c r="X32" s="2312"/>
      <c r="Y32" s="2312"/>
      <c r="Z32" s="2312"/>
      <c r="AA32" s="2312"/>
      <c r="AB32" s="480"/>
      <c r="AC32" s="2312" t="str">
        <f>IF(TITLE_DATE_PR_CHANGE="",IF(TITLE_DATE_PR="","",TITLE_DATE_PR),TITLE_DATE_PR_CHANGE)</f>
        <v>45279</v>
      </c>
      <c r="AD32" s="2312"/>
      <c r="AE32" s="2312"/>
      <c r="AF32" s="2312"/>
      <c r="AG32" s="2312"/>
      <c r="AH32" s="2312"/>
      <c r="AI32" s="480"/>
      <c r="AJ32" s="480"/>
      <c r="AK32" s="434"/>
      <c r="AL32" s="522"/>
      <c r="AM32" s="522"/>
      <c r="AN32" s="522"/>
      <c r="AO32" s="522"/>
      <c r="AP32" s="522"/>
    </row>
    <row s="8735" customFormat="1" customHeight="1" ht="18.75" hidden="1">
      <c r="A33" s="1527"/>
      <c r="B33" s="1527"/>
      <c r="C33" s="1527"/>
      <c r="D33" s="1527"/>
      <c r="E33" s="1527"/>
      <c r="F33" s="1527"/>
      <c r="G33" s="1527"/>
      <c r="H33" s="1527"/>
      <c r="I33" s="1527"/>
      <c r="J33" s="1527"/>
      <c r="K33" s="1527"/>
      <c r="L33" s="1528"/>
      <c r="M33" s="1527"/>
      <c r="N33" s="1527"/>
      <c r="O33" s="1527"/>
      <c r="S33" s="2311" t="s">
        <v>424</v>
      </c>
      <c r="T33" s="2311"/>
      <c r="U33" s="1531"/>
      <c r="V33" s="2313" t="str">
        <f>IF(TITLE_NUMBER_PR_CHANGE="",IF(TITLE_NUMBER_PR="","",TITLE_NUMBER_PR),TITLE_NUMBER_PR_CHANGE)</f>
        <v>877</v>
      </c>
      <c r="W33" s="2313"/>
      <c r="X33" s="2313"/>
      <c r="Y33" s="2313"/>
      <c r="Z33" s="2313"/>
      <c r="AA33" s="2313"/>
      <c r="AB33" s="480"/>
      <c r="AC33" s="2313" t="str">
        <f>IF(TITLE_NUMBER_PR_CHANGE="",IF(TITLE_NUMBER_PR="","",TITLE_NUMBER_PR),TITLE_NUMBER_PR_CHANGE)</f>
        <v>877</v>
      </c>
      <c r="AD33" s="2313"/>
      <c r="AE33" s="2313"/>
      <c r="AF33" s="2313"/>
      <c r="AG33" s="2313"/>
      <c r="AH33" s="2313"/>
      <c r="AI33" s="480"/>
      <c r="AJ33" s="480"/>
      <c r="AK33" s="434"/>
      <c r="AL33" s="522"/>
      <c r="AM33" s="522"/>
      <c r="AN33" s="522"/>
      <c r="AO33" s="522"/>
      <c r="AP33" s="522"/>
    </row>
    <row s="8735" customFormat="1" customHeight="1" ht="0.75">
      <c r="A34" s="1527"/>
      <c r="B34" s="1527"/>
      <c r="C34" s="1527"/>
      <c r="D34" s="1527"/>
      <c r="E34" s="1527"/>
      <c r="F34" s="1527"/>
      <c r="G34" s="1527"/>
      <c r="H34" s="1527"/>
      <c r="I34" s="1527"/>
      <c r="J34" s="1527"/>
      <c r="K34" s="1527"/>
      <c r="L34" s="1528"/>
      <c r="M34" s="1527"/>
      <c r="N34" s="1527"/>
      <c r="O34" s="1527"/>
      <c r="S34" s="477"/>
      <c r="T34" s="477"/>
      <c r="U34" s="1647"/>
      <c r="V34" s="480"/>
      <c r="W34" s="480"/>
      <c r="X34" s="480"/>
      <c r="Y34" s="480"/>
      <c r="Z34" s="480"/>
      <c r="AA34" s="480"/>
      <c r="AB34" s="432" t="s">
        <v>425</v>
      </c>
      <c r="AC34" s="480"/>
      <c r="AD34" s="480"/>
      <c r="AE34" s="480"/>
      <c r="AF34" s="480"/>
      <c r="AG34" s="480"/>
      <c r="AH34" s="480"/>
      <c r="AI34" s="432" t="s">
        <v>425</v>
      </c>
      <c r="AL34" s="522"/>
      <c r="AM34" s="522"/>
      <c r="AN34" s="522"/>
      <c r="AO34" s="522"/>
      <c r="AP34" s="522"/>
    </row>
    <row customHeight="1" ht="14.25">
      <c r="Q35" s="530"/>
      <c r="R35" s="530"/>
      <c r="S35" s="1434"/>
      <c r="T35" s="517"/>
      <c r="U35" s="1402"/>
      <c r="V35" s="2337"/>
      <c r="W35" s="2337"/>
      <c r="X35" s="2337"/>
      <c r="Y35" s="2337"/>
      <c r="Z35" s="2337"/>
      <c r="AA35" s="2337"/>
      <c r="AB35" s="2337"/>
      <c r="AC35" s="2337"/>
      <c r="AD35" s="2337"/>
      <c r="AE35" s="2337"/>
      <c r="AF35" s="2337"/>
      <c r="AG35" s="2337"/>
      <c r="AH35" s="2337"/>
      <c r="AI35" s="2337"/>
    </row>
    <row customHeight="1" ht="14.25">
      <c r="Q36" s="530"/>
      <c r="R36" s="530"/>
      <c r="S36" s="2185" t="s">
        <v>300</v>
      </c>
      <c r="T36" s="2185"/>
      <c r="U36" s="2185"/>
      <c r="V36" s="2185"/>
      <c r="W36" s="2185"/>
      <c r="X36" s="2185"/>
      <c r="Y36" s="2185"/>
      <c r="Z36" s="2185"/>
      <c r="AA36" s="2185"/>
      <c r="AB36" s="2185"/>
      <c r="AC36" s="2185"/>
      <c r="AD36" s="2185"/>
      <c r="AE36" s="2185"/>
      <c r="AF36" s="2185"/>
      <c r="AG36" s="2185"/>
      <c r="AH36" s="2185"/>
      <c r="AI36" s="2185"/>
      <c r="AJ36" s="2185"/>
      <c r="AK36" s="2185" t="s">
        <v>301</v>
      </c>
    </row>
    <row customHeight="1" ht="14.25">
      <c r="Q37" s="530"/>
      <c r="R37" s="530"/>
      <c r="S37" s="2338" t="s">
        <v>85</v>
      </c>
      <c r="T37" s="2275" t="s">
        <v>426</v>
      </c>
      <c r="U37" s="455"/>
      <c r="V37" s="2339" t="s">
        <v>427</v>
      </c>
      <c r="W37" s="2340"/>
      <c r="X37" s="2340"/>
      <c r="Y37" s="2340"/>
      <c r="Z37" s="2340"/>
      <c r="AA37" s="2341"/>
      <c r="AB37" s="2342" t="s">
        <v>428</v>
      </c>
      <c r="AC37" s="2339" t="s">
        <v>427</v>
      </c>
      <c r="AD37" s="2340"/>
      <c r="AE37" s="2340"/>
      <c r="AF37" s="2340"/>
      <c r="AG37" s="2340"/>
      <c r="AH37" s="2341"/>
      <c r="AI37" s="2342" t="s">
        <v>429</v>
      </c>
      <c r="AJ37" s="2345" t="s">
        <v>430</v>
      </c>
      <c r="AK37" s="2185"/>
    </row>
    <row customHeight="1" ht="33.75">
      <c r="Q38" s="530"/>
      <c r="R38" s="530"/>
      <c r="S38" s="2338"/>
      <c r="T38" s="2275"/>
      <c r="U38" s="1186"/>
      <c r="V38" s="1642" t="s">
        <v>487</v>
      </c>
      <c r="W38" s="2331" t="s">
        <v>433</v>
      </c>
      <c r="X38" s="2333"/>
      <c r="Y38" s="2331" t="s">
        <v>434</v>
      </c>
      <c r="Z38" s="2332"/>
      <c r="AA38" s="2333"/>
      <c r="AB38" s="2343"/>
      <c r="AC38" s="1642" t="s">
        <v>487</v>
      </c>
      <c r="AD38" s="2331" t="s">
        <v>433</v>
      </c>
      <c r="AE38" s="2333"/>
      <c r="AF38" s="2331" t="s">
        <v>434</v>
      </c>
      <c r="AG38" s="2332"/>
      <c r="AH38" s="2333"/>
      <c r="AI38" s="2343"/>
      <c r="AJ38" s="2346"/>
      <c r="AK38" s="2185"/>
    </row>
    <row customHeight="1" ht="86.25">
      <c r="A39" s="1529"/>
      <c r="B39" s="1529" t="s">
        <v>132</v>
      </c>
      <c r="C39" s="1529" t="s">
        <v>133</v>
      </c>
      <c r="D39" s="1529" t="s">
        <v>134</v>
      </c>
      <c r="E39" s="1523" t="s">
        <v>435</v>
      </c>
      <c r="F39" s="1523" t="s">
        <v>436</v>
      </c>
      <c r="G39" s="1523" t="s">
        <v>437</v>
      </c>
      <c r="H39" s="1523"/>
      <c r="I39" s="1523" t="s">
        <v>488</v>
      </c>
      <c r="J39" s="1523" t="s">
        <v>440</v>
      </c>
      <c r="K39" s="1523" t="s">
        <v>489</v>
      </c>
      <c r="L39" s="1523" t="s">
        <v>416</v>
      </c>
      <c r="Q39" s="530"/>
      <c r="R39" s="530"/>
      <c r="S39" s="2338"/>
      <c r="T39" s="2275"/>
      <c r="U39" s="456"/>
      <c r="V39" s="1642" t="s">
        <v>516</v>
      </c>
      <c r="W39" s="1380" t="s">
        <v>517</v>
      </c>
      <c r="X39" s="1380" t="s">
        <v>492</v>
      </c>
      <c r="Y39" s="1648" t="s">
        <v>444</v>
      </c>
      <c r="Z39" s="2334" t="s">
        <v>445</v>
      </c>
      <c r="AA39" s="2335"/>
      <c r="AB39" s="2344"/>
      <c r="AC39" s="1642" t="s">
        <v>516</v>
      </c>
      <c r="AD39" s="1380" t="s">
        <v>517</v>
      </c>
      <c r="AE39" s="1380" t="s">
        <v>492</v>
      </c>
      <c r="AF39" s="1648" t="s">
        <v>444</v>
      </c>
      <c r="AG39" s="2334" t="s">
        <v>445</v>
      </c>
      <c r="AH39" s="2335"/>
      <c r="AI39" s="2344"/>
      <c r="AJ39" s="2347"/>
      <c r="AK39" s="2185"/>
    </row>
    <row s="8552" customFormat="1" customHeight="1" ht="11.25" hidden="1">
      <c r="A40" s="1529"/>
      <c r="B40" s="1529"/>
      <c r="C40" s="1529"/>
      <c r="D40" s="1529"/>
      <c r="E40" s="1529"/>
      <c r="F40" s="1529"/>
      <c r="G40" s="1529"/>
      <c r="H40" s="1529"/>
      <c r="I40" s="1529"/>
      <c r="J40" s="1529"/>
      <c r="K40" s="1529"/>
      <c r="L40" s="1523"/>
      <c r="M40" s="1521"/>
      <c r="N40" s="1521"/>
      <c r="O40" s="1521"/>
      <c r="P40" s="1404"/>
      <c r="Q40" s="1405"/>
      <c r="R40" s="1412">
        <v>1</v>
      </c>
      <c r="S40" s="1436" t="s">
        <v>106</v>
      </c>
      <c r="T40" s="1413" t="s">
        <v>107</v>
      </c>
      <c r="U40" s="1403" t="str">
        <f>OFFSET(U40,0,-1)</f>
        <v>2</v>
      </c>
      <c r="V40" s="1641">
        <f>OFFSET(V40,0,-1)+1</f>
        <v>3</v>
      </c>
      <c r="W40" s="1641">
        <f>OFFSET(W40,0,-1)+1</f>
        <v>4</v>
      </c>
      <c r="X40" s="1641">
        <f>OFFSET(X40,0,-1)+1</f>
        <v>5</v>
      </c>
      <c r="Y40" s="1641">
        <f>OFFSET(Y40,0,-1)+1</f>
        <v>6</v>
      </c>
      <c r="Z40" s="2336">
        <f>OFFSET(Z40,0,-1)+1</f>
        <v>7</v>
      </c>
      <c r="AA40" s="2336"/>
      <c r="AB40" s="1641">
        <f>OFFSET(AB40,0,-2)+1</f>
        <v>8</v>
      </c>
      <c r="AC40" s="1641">
        <f>OFFSET(AC40,0,-1)+1</f>
        <v>9</v>
      </c>
      <c r="AD40" s="1641">
        <f>OFFSET(AD40,0,-1)+1</f>
        <v>10</v>
      </c>
      <c r="AE40" s="1641">
        <f>OFFSET(AE40,0,-1)+1</f>
        <v>11</v>
      </c>
      <c r="AF40" s="1641">
        <f>OFFSET(AF40,0,-1)+1</f>
        <v>12</v>
      </c>
      <c r="AG40" s="2336">
        <f>OFFSET(AG40,0,-1)+1</f>
        <v>13</v>
      </c>
      <c r="AH40" s="2336"/>
      <c r="AI40" s="1641">
        <f>OFFSET(AI40,0,-2)+1</f>
        <v>14</v>
      </c>
      <c r="AJ40" s="1403">
        <f>OFFSET(AJ40,0,-1)</f>
        <v>14</v>
      </c>
      <c r="AK40" s="1641">
        <f>OFFSET(AK40,0,-1)+1</f>
        <v>15</v>
      </c>
      <c r="AL40" s="665"/>
      <c r="AM40" s="665"/>
      <c r="AN40" s="665"/>
      <c r="AO40" s="665"/>
      <c r="AP40" s="665"/>
    </row>
    <row customHeight="1" ht="23.25">
      <c r="A41" s="1522" t="s">
        <v>266</v>
      </c>
      <c r="B41" s="1522"/>
      <c r="C41" s="1522"/>
      <c r="D41" s="1522"/>
      <c r="E41" s="2320">
        <v>1</v>
      </c>
      <c r="F41" s="1522"/>
      <c r="G41" s="1522"/>
      <c r="H41" s="1522"/>
      <c r="I41" s="1522"/>
      <c r="J41" s="1522"/>
      <c r="K41" s="1522"/>
      <c r="L41" s="1523"/>
      <c r="M41" s="1524"/>
      <c r="N41" s="1524"/>
      <c r="O41" s="1524"/>
      <c r="P41" s="515"/>
      <c r="Q41" s="514"/>
      <c r="R41" s="509"/>
      <c r="S41" s="1652">
        <f>INDEX(PT_DIFFERENTIATION_NUM_NTAR,MATCH(A41,PT_DIFFERENTIATION_NTAR_ID,0))</f>
        <v>0</v>
      </c>
      <c r="T41" s="452" t="s">
        <v>120</v>
      </c>
      <c r="U41" s="454"/>
      <c r="V41" s="2314"/>
      <c r="W41" s="2315"/>
      <c r="X41" s="2315"/>
      <c r="Y41" s="2315"/>
      <c r="Z41" s="2315"/>
      <c r="AA41" s="2315"/>
      <c r="AB41" s="2316"/>
      <c r="AC41" s="2314" t="str">
        <f>INDEX(PT_DIFFERENTIATION_NTAR,MATCH(A41,PT_DIFFERENTIATION_NTAR_ID,0))</f>
        <v/>
      </c>
      <c r="AD41" s="2315"/>
      <c r="AE41" s="2315"/>
      <c r="AF41" s="2315"/>
      <c r="AG41" s="2315"/>
      <c r="AH41" s="2315"/>
      <c r="AI41" s="2315"/>
      <c r="AJ41" s="2316"/>
      <c r="AK41" s="1416"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41" s="654"/>
      <c r="AN41" s="654" t="str">
        <f>IF(T41="","",T41)</f>
        <v>Наименование тарифа</v>
      </c>
      <c r="AO41" s="654"/>
      <c r="AP41" s="654"/>
    </row>
    <row customHeight="1" ht="23.25">
      <c r="A42" s="1522" t="s">
        <v>266</v>
      </c>
      <c r="B42" s="1522" t="s">
        <v>267</v>
      </c>
      <c r="C42" s="1522"/>
      <c r="D42" s="1522"/>
      <c r="E42" s="2321"/>
      <c r="F42" s="2320">
        <v>1</v>
      </c>
      <c r="G42" s="1522"/>
      <c r="H42" s="1522"/>
      <c r="I42" s="1522"/>
      <c r="J42" s="1522"/>
      <c r="K42" s="1522"/>
      <c r="L42" s="1523"/>
      <c r="M42" s="1524"/>
      <c r="N42" s="1524"/>
      <c r="O42" s="1524"/>
      <c r="P42" s="1646"/>
      <c r="Q42" s="506"/>
      <c r="R42" s="507"/>
      <c r="S42" s="1652" t="str">
        <f>INDEX(PT_DIFFERENTIATION_NUM_TER,MATCH(B42,PT_DIFFERENTIATION_TER_ID,0))</f>
        <v>.</v>
      </c>
      <c r="T42" s="462" t="s">
        <v>397</v>
      </c>
      <c r="U42" s="454"/>
      <c r="V42" s="2314"/>
      <c r="W42" s="2315"/>
      <c r="X42" s="2315"/>
      <c r="Y42" s="2315"/>
      <c r="Z42" s="2315"/>
      <c r="AA42" s="2315"/>
      <c r="AB42" s="2316"/>
      <c r="AC42" s="2314" t="str">
        <f>INDEX(PT_DIFFERENTIATION_TER,MATCH(B42,PT_DIFFERENTIATION_TER_ID,0))</f>
        <v/>
      </c>
      <c r="AD42" s="2315"/>
      <c r="AE42" s="2315"/>
      <c r="AF42" s="2315"/>
      <c r="AG42" s="2315"/>
      <c r="AH42" s="2315"/>
      <c r="AI42" s="2315"/>
      <c r="AJ42" s="2316"/>
      <c r="AK42" s="1416" t="s">
        <v>398</v>
      </c>
      <c r="AM42" s="654"/>
      <c r="AN42" s="654" t="str">
        <f>IF(T42="","",T42)</f>
        <v>Территория действия тарифа</v>
      </c>
      <c r="AO42" s="654"/>
      <c r="AP42" s="654"/>
    </row>
    <row customHeight="1" ht="23.25">
      <c r="A43" s="1522" t="s">
        <v>266</v>
      </c>
      <c r="B43" s="1522" t="s">
        <v>267</v>
      </c>
      <c r="C43" s="1522" t="s">
        <v>268</v>
      </c>
      <c r="D43" s="1522"/>
      <c r="E43" s="2321"/>
      <c r="F43" s="2321"/>
      <c r="G43" s="2320">
        <v>1</v>
      </c>
      <c r="H43" s="1522"/>
      <c r="I43" s="1522"/>
      <c r="J43" s="1522"/>
      <c r="K43" s="1522"/>
      <c r="L43" s="1523"/>
      <c r="M43" s="1524"/>
      <c r="N43" s="1524"/>
      <c r="O43" s="1524"/>
      <c r="P43" s="508"/>
      <c r="Q43" s="506"/>
      <c r="R43" s="507"/>
      <c r="S43" s="1652" t="str">
        <f>INDEX(PT_DIFFERENTIATION_NUM_CS,MATCH(C43,PT_DIFFERENTIATION_CS_ID,0))</f>
        <v>..</v>
      </c>
      <c r="T43" s="463" t="s">
        <v>514</v>
      </c>
      <c r="U43" s="454"/>
      <c r="V43" s="2314"/>
      <c r="W43" s="2315"/>
      <c r="X43" s="2315"/>
      <c r="Y43" s="2315"/>
      <c r="Z43" s="2315"/>
      <c r="AA43" s="2315"/>
      <c r="AB43" s="2316"/>
      <c r="AC43" s="2314" t="str">
        <f>INDEX(PT_DIFFERENTIATION_CS,MATCH(C43,PT_DIFFERENTIATION_CS_ID,0))</f>
        <v/>
      </c>
      <c r="AD43" s="2315"/>
      <c r="AE43" s="2315"/>
      <c r="AF43" s="2315"/>
      <c r="AG43" s="2315"/>
      <c r="AH43" s="2315"/>
      <c r="AI43" s="2315"/>
      <c r="AJ43" s="2316"/>
      <c r="AK43" s="1416" t="s">
        <v>515</v>
      </c>
      <c r="AM43" s="654"/>
      <c r="AN43" s="654" t="str">
        <f>IF(T43="","",T43)</f>
        <v>Наименование централизованной системы водоотведения</v>
      </c>
      <c r="AO43" s="654"/>
      <c r="AP43" s="654"/>
    </row>
    <row customHeight="1" ht="23.25">
      <c r="A44" s="1522" t="s">
        <v>266</v>
      </c>
      <c r="B44" s="1522" t="s">
        <v>267</v>
      </c>
      <c r="C44" s="1522" t="s">
        <v>268</v>
      </c>
      <c r="D44" s="1522" t="s">
        <v>518</v>
      </c>
      <c r="E44" s="2321"/>
      <c r="F44" s="2321"/>
      <c r="G44" s="2321"/>
      <c r="H44" s="2321"/>
      <c r="I44" s="2322" t="str">
        <f>S43&amp;".1"</f>
        <v>...1</v>
      </c>
      <c r="J44" s="1522"/>
      <c r="K44" s="1522"/>
      <c r="L44" s="1523"/>
      <c r="P44" s="2324">
        <v>1</v>
      </c>
      <c r="Q44" s="1640"/>
      <c r="R44" s="510"/>
      <c r="S44" s="1652" t="str">
        <f>$I44</f>
        <v>...1</v>
      </c>
      <c r="T44" s="439" t="s">
        <v>481</v>
      </c>
      <c r="U44" s="454"/>
      <c r="V44" s="2407"/>
      <c r="W44" s="2408"/>
      <c r="X44" s="2408"/>
      <c r="Y44" s="2408"/>
      <c r="Z44" s="2408"/>
      <c r="AA44" s="2408"/>
      <c r="AB44" s="2409"/>
      <c r="AC44" s="2410"/>
      <c r="AD44" s="2411"/>
      <c r="AE44" s="2411"/>
      <c r="AF44" s="2411"/>
      <c r="AG44" s="2411"/>
      <c r="AH44" s="2411"/>
      <c r="AI44" s="2411"/>
      <c r="AJ44" s="2412"/>
      <c r="AK44" s="1416" t="s">
        <v>482</v>
      </c>
      <c r="AM44" s="654"/>
      <c r="AN44" s="654" t="str">
        <f>IF(T44="","",T44)</f>
        <v>Наименование признака дифференциации</v>
      </c>
      <c r="AO44" s="654"/>
      <c r="AP44" s="654"/>
    </row>
    <row customHeight="1" ht="23.25">
      <c r="A45" s="1522" t="s">
        <v>266</v>
      </c>
      <c r="B45" s="1522" t="s">
        <v>267</v>
      </c>
      <c r="C45" s="1522" t="s">
        <v>268</v>
      </c>
      <c r="D45" s="1522" t="s">
        <v>518</v>
      </c>
      <c r="E45" s="2321"/>
      <c r="F45" s="2321"/>
      <c r="G45" s="2321"/>
      <c r="H45" s="2321"/>
      <c r="I45" s="2323"/>
      <c r="J45" s="2322" t="str">
        <f>I44&amp;".1"</f>
        <v>...1.1</v>
      </c>
      <c r="K45" s="1522"/>
      <c r="L45" s="1523" t="s">
        <v>406</v>
      </c>
      <c r="P45" s="2324"/>
      <c r="Q45" s="2324">
        <v>1</v>
      </c>
      <c r="R45" s="511"/>
      <c r="S45" s="1652" t="str">
        <f>$J45</f>
        <v>...1.1</v>
      </c>
      <c r="T45" s="440" t="s">
        <v>407</v>
      </c>
      <c r="U45" s="454"/>
      <c r="V45" s="2308"/>
      <c r="W45" s="2309"/>
      <c r="X45" s="2309"/>
      <c r="Y45" s="2309"/>
      <c r="Z45" s="2309"/>
      <c r="AA45" s="2309"/>
      <c r="AB45" s="2310"/>
      <c r="AC45" s="2308"/>
      <c r="AD45" s="2309"/>
      <c r="AE45" s="2309"/>
      <c r="AF45" s="2309"/>
      <c r="AG45" s="2309"/>
      <c r="AH45" s="2309"/>
      <c r="AI45" s="2309"/>
      <c r="AJ45" s="2310"/>
      <c r="AK45" s="1466" t="s">
        <v>483</v>
      </c>
      <c r="AM45" s="654"/>
      <c r="AN45" s="654" t="str">
        <f>IF(T45="","",T45)</f>
        <v>Группа потребителей</v>
      </c>
      <c r="AO45" s="654"/>
      <c r="AP45" s="654"/>
    </row>
    <row customHeight="1" ht="23.25">
      <c r="A46" s="1522" t="s">
        <v>266</v>
      </c>
      <c r="B46" s="1522" t="s">
        <v>267</v>
      </c>
      <c r="C46" s="1522" t="s">
        <v>268</v>
      </c>
      <c r="D46" s="1522" t="s">
        <v>518</v>
      </c>
      <c r="E46" s="2321"/>
      <c r="F46" s="2321"/>
      <c r="G46" s="2321"/>
      <c r="H46" s="2321"/>
      <c r="I46" s="2323"/>
      <c r="J46" s="2323"/>
      <c r="K46" s="2322" t="str">
        <f>J45&amp;".1"</f>
        <v>...1.1.1</v>
      </c>
      <c r="L46" s="1523"/>
      <c r="P46" s="2324"/>
      <c r="Q46" s="2324"/>
      <c r="R46" s="511">
        <v>1</v>
      </c>
      <c r="S46" s="1652" t="str">
        <f>$K46</f>
        <v>...1.1.1</v>
      </c>
      <c r="T46" s="1596"/>
      <c r="U46" s="454"/>
      <c r="V46" s="1519"/>
      <c r="W46" s="1519"/>
      <c r="X46" s="1520"/>
      <c r="Y46" s="2318"/>
      <c r="Z46" s="2317" t="s">
        <v>64</v>
      </c>
      <c r="AA46" s="2318"/>
      <c r="AB46" s="2317" t="s">
        <v>64</v>
      </c>
      <c r="AC46" s="905"/>
      <c r="AD46" s="905"/>
      <c r="AE46" s="1415"/>
      <c r="AF46" s="2325"/>
      <c r="AG46" s="2195" t="s">
        <v>64</v>
      </c>
      <c r="AH46" s="2327"/>
      <c r="AI46" s="2195" t="s">
        <v>54</v>
      </c>
      <c r="AJ46" s="1597"/>
      <c r="AK46" s="241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65">
        <f>STRCHECKDATE(V47:AJ47)</f>
      </c>
      <c r="AM46" s="654"/>
      <c r="AN46" s="654" t="str">
        <f>IF(T46="","",T46)</f>
        <v/>
      </c>
      <c r="AO46" s="654"/>
      <c r="AP46" s="654"/>
    </row>
    <row customHeight="1" ht="0">
      <c r="A47" s="1522" t="s">
        <v>266</v>
      </c>
      <c r="B47" s="1522" t="s">
        <v>267</v>
      </c>
      <c r="C47" s="1522" t="s">
        <v>268</v>
      </c>
      <c r="D47" s="1522" t="s">
        <v>518</v>
      </c>
      <c r="E47" s="2321"/>
      <c r="F47" s="2321"/>
      <c r="G47" s="2321"/>
      <c r="H47" s="2321"/>
      <c r="I47" s="2323"/>
      <c r="J47" s="2323"/>
      <c r="K47" s="2322"/>
      <c r="L47" s="1523"/>
      <c r="P47" s="2324"/>
      <c r="Q47" s="2324"/>
      <c r="R47" s="511"/>
      <c r="S47" s="1649"/>
      <c r="T47" s="454"/>
      <c r="U47" s="454"/>
      <c r="V47" s="1519"/>
      <c r="W47" s="1519"/>
      <c r="X47" s="482" t="str">
        <f>Y46&amp;"-"&amp;AA46</f>
        <v>-</v>
      </c>
      <c r="Y47" s="2317"/>
      <c r="Z47" s="2317"/>
      <c r="AA47" s="2317"/>
      <c r="AB47" s="2317"/>
      <c r="AC47" s="479"/>
      <c r="AD47" s="479"/>
      <c r="AE47" s="482" t="str">
        <f>AF46&amp;"-"&amp;AH46</f>
        <v>-</v>
      </c>
      <c r="AF47" s="2326"/>
      <c r="AG47" s="2195"/>
      <c r="AH47" s="2328"/>
      <c r="AI47" s="2195"/>
      <c r="AJ47" s="1598"/>
      <c r="AK47" s="2413"/>
      <c r="AM47" s="654"/>
      <c r="AN47" s="654" t="str">
        <f>IF(T47="","",T47)</f>
        <v/>
      </c>
      <c r="AO47" s="654"/>
      <c r="AP47" s="654"/>
    </row>
    <row customHeight="1" ht="21">
      <c r="A48" s="1522" t="s">
        <v>266</v>
      </c>
      <c r="B48" s="1522" t="s">
        <v>267</v>
      </c>
      <c r="C48" s="1522" t="s">
        <v>268</v>
      </c>
      <c r="D48" s="1522" t="s">
        <v>518</v>
      </c>
      <c r="E48" s="2321"/>
      <c r="F48" s="2321"/>
      <c r="G48" s="2321"/>
      <c r="H48" s="2321"/>
      <c r="I48" s="2323"/>
      <c r="J48" s="2322"/>
      <c r="K48" s="1522"/>
      <c r="L48" s="1523"/>
      <c r="P48" s="2324"/>
      <c r="Q48" s="2324"/>
      <c r="R48" s="510"/>
      <c r="S48" s="1437"/>
      <c r="T48" s="441" t="s">
        <v>484</v>
      </c>
      <c r="U48" s="521"/>
      <c r="V48" s="521"/>
      <c r="W48" s="521"/>
      <c r="X48" s="521"/>
      <c r="Y48" s="521"/>
      <c r="Z48" s="521"/>
      <c r="AA48" s="521"/>
      <c r="AB48" s="521"/>
      <c r="AC48" s="521"/>
      <c r="AD48" s="521"/>
      <c r="AE48" s="521"/>
      <c r="AF48" s="521"/>
      <c r="AG48" s="521"/>
      <c r="AH48" s="521"/>
      <c r="AI48" s="521"/>
      <c r="AJ48" s="521"/>
      <c r="AK48" s="1416" t="s">
        <v>485</v>
      </c>
      <c r="AM48" s="654"/>
      <c r="AN48" s="654" t="str">
        <f>IF(T48="","",T48)</f>
        <v>Добавить значение признака дифференциации</v>
      </c>
      <c r="AO48" s="654"/>
      <c r="AP48" s="654"/>
    </row>
    <row customHeight="1" ht="21">
      <c r="A49" s="1522" t="s">
        <v>266</v>
      </c>
      <c r="B49" s="1522" t="s">
        <v>267</v>
      </c>
      <c r="C49" s="1522" t="s">
        <v>268</v>
      </c>
      <c r="D49" s="1522" t="s">
        <v>518</v>
      </c>
      <c r="E49" s="2321"/>
      <c r="F49" s="2321"/>
      <c r="G49" s="2321"/>
      <c r="H49" s="2321"/>
      <c r="I49" s="2322"/>
      <c r="J49" s="1522"/>
      <c r="K49" s="1522"/>
      <c r="L49" s="1523"/>
      <c r="P49" s="2324"/>
      <c r="Q49" s="1640"/>
      <c r="R49" s="510"/>
      <c r="S49" s="1437"/>
      <c r="T49" s="519" t="s">
        <v>412</v>
      </c>
      <c r="U49" s="521"/>
      <c r="V49" s="521"/>
      <c r="W49" s="521"/>
      <c r="X49" s="521"/>
      <c r="Y49" s="521"/>
      <c r="Z49" s="521"/>
      <c r="AA49" s="521"/>
      <c r="AB49" s="520"/>
      <c r="AC49" s="521"/>
      <c r="AD49" s="521"/>
      <c r="AE49" s="521"/>
      <c r="AF49" s="521"/>
      <c r="AG49" s="521"/>
      <c r="AH49" s="521"/>
      <c r="AI49" s="520"/>
      <c r="AJ49" s="521"/>
      <c r="AK49" s="1599"/>
      <c r="AM49" s="654"/>
      <c r="AN49" s="654" t="str">
        <f>IF(T49="","",T49)</f>
        <v>Добавить группу потребителей</v>
      </c>
      <c r="AO49" s="654"/>
      <c r="AP49" s="654"/>
    </row>
    <row customHeight="1" ht="21">
      <c r="A50" s="1522" t="s">
        <v>266</v>
      </c>
      <c r="B50" s="1522" t="s">
        <v>267</v>
      </c>
      <c r="C50" s="1522" t="s">
        <v>268</v>
      </c>
      <c r="D50" s="1522" t="s">
        <v>518</v>
      </c>
      <c r="E50" s="2321"/>
      <c r="F50" s="2321"/>
      <c r="G50" s="2321"/>
      <c r="H50" s="2320"/>
      <c r="I50" s="1522"/>
      <c r="J50" s="1522"/>
      <c r="K50" s="1522"/>
      <c r="L50" s="1523"/>
      <c r="M50" s="1524"/>
      <c r="N50" s="1524"/>
      <c r="O50" s="691"/>
      <c r="P50" s="514"/>
      <c r="Q50" s="529"/>
      <c r="R50" s="509"/>
      <c r="S50" s="1437"/>
      <c r="T50" s="526" t="s">
        <v>486</v>
      </c>
      <c r="U50" s="521"/>
      <c r="V50" s="521"/>
      <c r="W50" s="521"/>
      <c r="X50" s="521"/>
      <c r="Y50" s="521"/>
      <c r="Z50" s="521"/>
      <c r="AA50" s="521"/>
      <c r="AB50" s="520"/>
      <c r="AC50" s="521"/>
      <c r="AD50" s="521"/>
      <c r="AE50" s="521"/>
      <c r="AF50" s="521"/>
      <c r="AG50" s="521"/>
      <c r="AH50" s="521"/>
      <c r="AI50" s="520"/>
      <c r="AJ50" s="521"/>
      <c r="AK50" s="457"/>
      <c r="AM50" s="654"/>
      <c r="AN50" s="654" t="str">
        <f>IF(T50="","",T50)</f>
        <v>Добавить наименование признака дифференциации</v>
      </c>
      <c r="AO50" s="654"/>
      <c r="AP50" s="654"/>
    </row>
    <row s="8702" customFormat="1" customHeight="1" ht="0">
      <c r="A51" s="1502" t="s">
        <v>266</v>
      </c>
      <c r="B51" s="1502" t="s">
        <v>267</v>
      </c>
      <c r="C51" s="1473"/>
      <c r="D51" s="1473"/>
      <c r="E51" s="2321"/>
      <c r="F51" s="2320"/>
      <c r="G51" s="1473"/>
      <c r="H51" s="1473"/>
      <c r="I51" s="1473"/>
      <c r="J51" s="1473"/>
      <c r="K51" s="1473"/>
      <c r="L51" s="1653"/>
      <c r="M51" s="1480"/>
      <c r="N51" s="1480"/>
      <c r="P51" s="1475"/>
      <c r="Q51" s="1476"/>
      <c r="R51" s="1475"/>
      <c r="S51" s="1481"/>
      <c r="T51" s="1484" t="s">
        <v>251</v>
      </c>
      <c r="U51" s="1483"/>
      <c r="V51" s="1483"/>
      <c r="W51" s="1483"/>
      <c r="X51" s="1483"/>
      <c r="Y51" s="1483"/>
      <c r="Z51" s="1483"/>
      <c r="AA51" s="1483"/>
      <c r="AB51" s="1483"/>
      <c r="AC51" s="1483"/>
      <c r="AD51" s="1483"/>
      <c r="AE51" s="1483"/>
      <c r="AF51" s="1483"/>
      <c r="AG51" s="1483"/>
      <c r="AH51" s="1483"/>
      <c r="AI51" s="1483"/>
      <c r="AJ51" s="1483"/>
      <c r="AK51" s="1483"/>
      <c r="AM51" s="943"/>
      <c r="AN51" s="943" t="str">
        <f>IF(T51="","",T51)</f>
        <v>Добавить централизованную систему для дифференциации</v>
      </c>
      <c r="AO51" s="943"/>
      <c r="AP51" s="943"/>
    </row>
    <row s="8794" customFormat="1" customHeight="1" ht="0">
      <c r="A52" s="1502" t="s">
        <v>266</v>
      </c>
      <c r="B52" s="1502"/>
      <c r="C52" s="1502"/>
      <c r="D52" s="1502"/>
      <c r="E52" s="2320"/>
      <c r="F52" s="1502"/>
      <c r="G52" s="1502"/>
      <c r="H52" s="1502"/>
      <c r="I52" s="1502"/>
      <c r="J52" s="1502"/>
      <c r="K52" s="1502"/>
      <c r="L52" s="1505"/>
      <c r="M52" s="1480"/>
      <c r="N52" s="1480"/>
      <c r="O52" s="672"/>
      <c r="P52" s="534"/>
      <c r="Q52" s="1503"/>
      <c r="R52" s="534"/>
      <c r="S52" s="1481"/>
      <c r="T52" s="1484" t="s">
        <v>252</v>
      </c>
      <c r="U52" s="1483"/>
      <c r="V52" s="1483"/>
      <c r="W52" s="1483"/>
      <c r="X52" s="1483"/>
      <c r="Y52" s="1483"/>
      <c r="Z52" s="1483"/>
      <c r="AA52" s="1483"/>
      <c r="AB52" s="1483"/>
      <c r="AC52" s="1483"/>
      <c r="AD52" s="1483"/>
      <c r="AE52" s="1483"/>
      <c r="AF52" s="1483"/>
      <c r="AG52" s="1483"/>
      <c r="AH52" s="1483"/>
      <c r="AI52" s="1483"/>
      <c r="AJ52" s="1483"/>
      <c r="AK52" s="1483"/>
      <c r="AM52" s="654"/>
      <c r="AN52" s="654" t="str">
        <f>IF(T52="","",T52)</f>
        <v>Добавить территорию для дифференциации</v>
      </c>
      <c r="AO52" s="654"/>
      <c r="AP52" s="654"/>
    </row>
    <row s="8702" customFormat="1" customHeight="1" ht="0">
      <c r="A53" s="1473"/>
      <c r="B53" s="1473"/>
      <c r="C53" s="1473"/>
      <c r="D53" s="1473"/>
      <c r="E53" s="1502"/>
      <c r="F53" s="1473"/>
      <c r="G53" s="1473"/>
      <c r="H53" s="1473"/>
      <c r="I53" s="1473"/>
      <c r="J53" s="1473"/>
      <c r="K53" s="1473"/>
      <c r="L53" s="1653"/>
      <c r="M53" s="1480"/>
      <c r="N53" s="1480"/>
      <c r="P53" s="1475"/>
      <c r="Q53" s="1476"/>
      <c r="R53" s="1475"/>
      <c r="S53" s="1481"/>
      <c r="T53" s="1484" t="s">
        <v>253</v>
      </c>
      <c r="U53" s="1483"/>
      <c r="V53" s="1483"/>
      <c r="W53" s="1483"/>
      <c r="X53" s="1483"/>
      <c r="Y53" s="1483"/>
      <c r="Z53" s="1483"/>
      <c r="AA53" s="1483"/>
      <c r="AB53" s="1483"/>
      <c r="AC53" s="1483"/>
      <c r="AD53" s="1483"/>
      <c r="AE53" s="1483"/>
      <c r="AF53" s="1483"/>
      <c r="AG53" s="1483"/>
      <c r="AH53" s="1483"/>
      <c r="AI53" s="1483"/>
      <c r="AJ53" s="1483"/>
      <c r="AK53" s="1483"/>
      <c r="AM53" s="943"/>
      <c r="AN53" s="943" t="str">
        <f>IF(T53="","",T53)</f>
        <v>Добавить наименование тарифа</v>
      </c>
      <c r="AO53" s="943"/>
      <c r="AP53" s="943"/>
    </row>
    <row customHeight="1" ht="11.25">
      <c r="M54" s="1316"/>
      <c r="N54" s="1316"/>
      <c r="O54" s="691"/>
      <c r="P54" s="1311"/>
      <c r="Q54" s="1311"/>
      <c r="R54" s="1311"/>
      <c r="S54" s="1311"/>
      <c r="AL54" s="1311"/>
      <c r="AM54" s="1311"/>
      <c r="AN54" s="1311"/>
      <c r="AO54" s="1311"/>
      <c r="AP54" s="1311"/>
    </row>
    <row customHeight="1" ht="14.25">
      <c r="O55" s="691"/>
      <c r="S55" s="1411"/>
      <c r="T55" s="2319"/>
      <c r="U55" s="2319"/>
      <c r="V55" s="2319"/>
      <c r="W55" s="2319"/>
      <c r="X55" s="2319"/>
      <c r="Y55" s="2319"/>
      <c r="Z55" s="2319"/>
      <c r="AA55" s="2319"/>
      <c r="AB55" s="2319"/>
      <c r="AC55" s="2319"/>
      <c r="AD55" s="2319"/>
      <c r="AE55" s="2319"/>
      <c r="AF55" s="2319"/>
      <c r="AG55" s="2319"/>
      <c r="AH55" s="2319"/>
      <c r="AI55" s="2319"/>
      <c r="AJ55" s="2319"/>
      <c r="AK55" s="2319"/>
    </row>
    <row customHeight="1" ht="14.25">
      <c r="O56" s="691"/>
    </row>
    <row customHeight="1" ht="14.25">
      <c r="O57" s="691"/>
      <c r="S57" s="1411"/>
      <c r="T57" s="2319"/>
      <c r="U57" s="2319"/>
      <c r="V57" s="2319"/>
      <c r="W57" s="2319"/>
      <c r="X57" s="2319"/>
      <c r="Y57" s="2319"/>
      <c r="Z57" s="2319"/>
      <c r="AA57" s="2319"/>
      <c r="AB57" s="2319"/>
      <c r="AC57" s="2319"/>
      <c r="AD57" s="2319"/>
      <c r="AE57" s="2319"/>
      <c r="AF57" s="2319"/>
      <c r="AG57" s="2319"/>
      <c r="AH57" s="2319"/>
      <c r="AI57" s="2319"/>
      <c r="AJ57" s="2319"/>
      <c r="AK57" s="2319"/>
    </row>
  </sheetData>
  <sheetProtection formatColumns="0" formatRows="0" autoFilter="0" sort="0" insertRows="0" insertColumns="1" deleteRows="0" deleteColumns="0"/>
  <mergeCells count="101">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 ref="AK7:AK8"/>
    <mergeCell ref="AF15:AF16"/>
    <mergeCell ref="AG15:AG16"/>
    <mergeCell ref="AH15:AH16"/>
    <mergeCell ref="AI15:AI16"/>
    <mergeCell ref="Z7:Z8"/>
    <mergeCell ref="AA7:AA8"/>
    <mergeCell ref="AB7:AB8"/>
    <mergeCell ref="AF7:AF8"/>
    <mergeCell ref="AG7:AG8"/>
    <mergeCell ref="AH7:AH8"/>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46:AK47"/>
    <mergeCell ref="T55:AK55"/>
    <mergeCell ref="T57:AK57"/>
    <mergeCell ref="K46:K47"/>
    <mergeCell ref="Y46:Y47"/>
    <mergeCell ref="Z46:Z47"/>
    <mergeCell ref="AA46:AA47"/>
    <mergeCell ref="AB46:AB47"/>
    <mergeCell ref="AF46:AF47"/>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DDB37C6-3E24-CD52-5702-3D297E8082DD}" mc:Ignorable="x14ac xr xr2 xr3">
  <sheetPr>
    <tabColor theme="6" tint="0.4"/>
  </sheetPr>
  <dimension ref="A1:AP57"/>
  <sheetViews>
    <sheetView topLeftCell="A1" showGridLines="0" zoomScale="90" workbookViewId="0">
      <selection activeCell="A1" sqref="A1"/>
    </sheetView>
  </sheetViews>
  <sheetFormatPr defaultColWidth="10.57421875" customHeight="1" defaultRowHeight="14.25"/>
  <cols>
    <col min="1" max="1" style="8721" width="10.57421875" hidden="1"/>
    <col min="2" max="2" style="8721" width="11.00390625" hidden="1" customWidth="1"/>
    <col min="3" max="3" style="8721" width="10.57421875" hidden="1"/>
    <col min="4" max="4" style="8721" width="11.8515625" hidden="1" customWidth="1"/>
    <col min="5" max="5" style="8721" width="10.00390625" hidden="1" customWidth="1"/>
    <col min="6" max="6" style="8721" width="8.7109375" hidden="1" customWidth="1"/>
    <col min="7" max="7" style="8721" width="7.57421875" hidden="1" customWidth="1"/>
    <col min="8" max="8" style="8721" width="11.421875" hidden="1" customWidth="1"/>
    <col min="9" max="9" style="8721" width="14.140625" hidden="1" customWidth="1"/>
    <col min="10" max="10" style="8721" width="9.8515625" hidden="1" customWidth="1"/>
    <col min="11" max="11" style="8721" width="14.7109375" hidden="1" customWidth="1"/>
    <col min="12" max="12" style="9072" width="19.140625" hidden="1" customWidth="1"/>
    <col min="13" max="14" style="8803" width="12.28125" hidden="1" customWidth="1"/>
    <col min="15" max="15" style="8803" width="23.421875" hidden="1" customWidth="1"/>
    <col min="16" max="16" style="9073" width="3.7109375" customWidth="1"/>
    <col min="17" max="18" style="8805" width="3.7109375" customWidth="1"/>
    <col min="19" max="19" style="8806" width="12.7109375" customWidth="1"/>
    <col min="20" max="20" style="8807" width="35.7109375" customWidth="1"/>
    <col min="21" max="21" style="8807" width="0.140625" customWidth="1"/>
    <col min="22" max="24" style="8807" width="24.7109375" hidden="1" customWidth="1"/>
    <col min="25" max="25" style="8807" width="11.7109375" hidden="1" customWidth="1"/>
    <col min="26" max="26" style="8807" width="3.7109375" hidden="1" customWidth="1"/>
    <col min="27" max="27" style="8807" width="11.7109375" hidden="1" customWidth="1"/>
    <col min="28" max="28" style="8807" width="8.57421875" hidden="1" customWidth="1"/>
    <col min="29" max="31" style="8807" width="24.7109375" customWidth="1"/>
    <col min="32" max="32" style="8807" width="11.7109375" customWidth="1"/>
    <col min="33" max="33" style="8807" width="3.7109375" customWidth="1"/>
    <col min="34" max="34" style="8807" width="11.7109375" customWidth="1"/>
    <col min="35" max="35" style="8807" width="8.57421875" hidden="1" customWidth="1"/>
    <col min="36" max="36" style="8807" width="4.7109375" customWidth="1"/>
    <col min="37" max="37" style="8807" width="115.7109375" customWidth="1"/>
    <col min="38" max="39" style="8794" width="10.57421875"/>
    <col min="40" max="40" style="8794" width="11.140625" customWidth="1"/>
    <col min="41" max="42" style="8794" width="10.57421875"/>
  </cols>
  <sheetData>
    <row customHeight="1" ht="14.25" hidden="1">
      <c r="X1" s="481"/>
      <c r="Y1" s="481"/>
      <c r="AE1" s="481"/>
      <c r="AF1" s="481"/>
    </row>
    <row customHeight="1" ht="23.25" hidden="1">
      <c r="A2" s="1522"/>
      <c r="B2" s="1522"/>
      <c r="C2" s="1522"/>
      <c r="D2" s="1522"/>
      <c r="E2" s="2320">
        <v>1</v>
      </c>
      <c r="F2" s="1522"/>
      <c r="G2" s="1522"/>
      <c r="H2" s="1522"/>
      <c r="I2" s="1522"/>
      <c r="J2" s="1522"/>
      <c r="K2" s="1522"/>
      <c r="L2" s="1523"/>
      <c r="M2" s="1524"/>
      <c r="N2" s="1524"/>
      <c r="O2" s="1524"/>
      <c r="P2" s="515"/>
      <c r="Q2" s="514"/>
      <c r="R2" s="509"/>
      <c r="S2" s="1652">
        <f>INDEX(PT_DIFFERENTIATION_NUM_NTAR,MATCH(A2,PT_DIFFERENTIATION_NTAR_ID,0))</f>
      </c>
      <c r="T2" s="452" t="s">
        <v>120</v>
      </c>
      <c r="U2" s="454"/>
      <c r="V2" s="2314"/>
      <c r="W2" s="2315"/>
      <c r="X2" s="2315"/>
      <c r="Y2" s="2315"/>
      <c r="Z2" s="2315"/>
      <c r="AA2" s="2315"/>
      <c r="AB2" s="2316"/>
      <c r="AC2" s="2314">
        <f>INDEX(PT_DIFFERENTIATION_NTAR,MATCH(A2,PT_DIFFERENTIATION_NTAR_ID,0))</f>
      </c>
      <c r="AD2" s="2315"/>
      <c r="AE2" s="2315"/>
      <c r="AF2" s="2315"/>
      <c r="AG2" s="2315"/>
      <c r="AH2" s="2315"/>
      <c r="AI2" s="2315"/>
      <c r="AJ2" s="2316"/>
      <c r="AK2" s="1416"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2" s="654"/>
      <c r="AN2" s="654" t="str">
        <f>IF(T2="","",T2)</f>
        <v>Наименование тарифа</v>
      </c>
      <c r="AO2" s="654"/>
      <c r="AP2" s="654"/>
    </row>
    <row customHeight="1" ht="23.25" hidden="1">
      <c r="A3" s="1522"/>
      <c r="B3" s="1522"/>
      <c r="C3" s="1522"/>
      <c r="D3" s="1522"/>
      <c r="E3" s="2321"/>
      <c r="F3" s="2320">
        <v>1</v>
      </c>
      <c r="G3" s="1522"/>
      <c r="H3" s="1522"/>
      <c r="I3" s="1522"/>
      <c r="J3" s="1522"/>
      <c r="K3" s="1522"/>
      <c r="L3" s="1523"/>
      <c r="M3" s="1524"/>
      <c r="N3" s="1524"/>
      <c r="O3" s="1524"/>
      <c r="P3" s="1646"/>
      <c r="Q3" s="506"/>
      <c r="R3" s="507"/>
      <c r="S3" s="1652">
        <f>INDEX(PT_DIFFERENTIATION_NUM_TER,MATCH(B3,PT_DIFFERENTIATION_TER_ID,0))</f>
      </c>
      <c r="T3" s="462" t="s">
        <v>397</v>
      </c>
      <c r="U3" s="454"/>
      <c r="V3" s="2314"/>
      <c r="W3" s="2315"/>
      <c r="X3" s="2315"/>
      <c r="Y3" s="2315"/>
      <c r="Z3" s="2315"/>
      <c r="AA3" s="2315"/>
      <c r="AB3" s="2316"/>
      <c r="AC3" s="2314">
        <f>INDEX(PT_DIFFERENTIATION_TER,MATCH(B3,PT_DIFFERENTIATION_TER_ID,0))</f>
      </c>
      <c r="AD3" s="2315"/>
      <c r="AE3" s="2315"/>
      <c r="AF3" s="2315"/>
      <c r="AG3" s="2315"/>
      <c r="AH3" s="2315"/>
      <c r="AI3" s="2315"/>
      <c r="AJ3" s="2316"/>
      <c r="AK3" s="1416" t="s">
        <v>398</v>
      </c>
      <c r="AM3" s="654"/>
      <c r="AN3" s="654" t="str">
        <f>IF(T3="","",T3)</f>
        <v>Территория действия тарифа</v>
      </c>
      <c r="AO3" s="654"/>
      <c r="AP3" s="654"/>
    </row>
    <row customHeight="1" ht="23.25" hidden="1">
      <c r="A4" s="1522"/>
      <c r="B4" s="1522"/>
      <c r="C4" s="1522"/>
      <c r="D4" s="1522"/>
      <c r="E4" s="2321"/>
      <c r="F4" s="2321"/>
      <c r="G4" s="2320">
        <v>1</v>
      </c>
      <c r="H4" s="1522"/>
      <c r="I4" s="1522"/>
      <c r="J4" s="1522"/>
      <c r="K4" s="1522"/>
      <c r="L4" s="1523"/>
      <c r="M4" s="1524"/>
      <c r="N4" s="1524"/>
      <c r="O4" s="1524"/>
      <c r="P4" s="508"/>
      <c r="Q4" s="506"/>
      <c r="R4" s="507"/>
      <c r="S4" s="1652">
        <f>INDEX(PT_DIFFERENTIATION_NUM_CS,MATCH(C4,PT_DIFFERENTIATION_CS_ID,0))</f>
      </c>
      <c r="T4" s="463" t="s">
        <v>514</v>
      </c>
      <c r="U4" s="454"/>
      <c r="V4" s="2314"/>
      <c r="W4" s="2315"/>
      <c r="X4" s="2315"/>
      <c r="Y4" s="2315"/>
      <c r="Z4" s="2315"/>
      <c r="AA4" s="2315"/>
      <c r="AB4" s="2316"/>
      <c r="AC4" s="2314">
        <f>INDEX(PT_DIFFERENTIATION_CS,MATCH(C4,PT_DIFFERENTIATION_CS_ID,0))</f>
      </c>
      <c r="AD4" s="2315"/>
      <c r="AE4" s="2315"/>
      <c r="AF4" s="2315"/>
      <c r="AG4" s="2315"/>
      <c r="AH4" s="2315"/>
      <c r="AI4" s="2315"/>
      <c r="AJ4" s="2316"/>
      <c r="AK4" s="1416" t="s">
        <v>515</v>
      </c>
      <c r="AM4" s="654"/>
      <c r="AN4" s="654" t="str">
        <f>IF(T4="","",T4)</f>
        <v>Наименование централизованной системы водоотведения</v>
      </c>
      <c r="AO4" s="654"/>
      <c r="AP4" s="654"/>
    </row>
    <row customHeight="1" ht="23.25" hidden="1">
      <c r="A5" s="1522"/>
      <c r="B5" s="1522"/>
      <c r="C5" s="1522"/>
      <c r="D5" s="1522"/>
      <c r="E5" s="2321"/>
      <c r="F5" s="2321"/>
      <c r="G5" s="2321"/>
      <c r="H5" s="2321"/>
      <c r="I5" s="2322">
        <f>S4&amp;".1"</f>
      </c>
      <c r="J5" s="1522"/>
      <c r="K5" s="1522"/>
      <c r="L5" s="1523"/>
      <c r="P5" s="2324">
        <v>1</v>
      </c>
      <c r="Q5" s="1640"/>
      <c r="R5" s="510"/>
      <c r="S5" s="1652">
        <f>$I5</f>
      </c>
      <c r="T5" s="439" t="s">
        <v>481</v>
      </c>
      <c r="U5" s="454"/>
      <c r="V5" s="2407"/>
      <c r="W5" s="2408"/>
      <c r="X5" s="2408"/>
      <c r="Y5" s="2408"/>
      <c r="Z5" s="2408"/>
      <c r="AA5" s="2408"/>
      <c r="AB5" s="2409"/>
      <c r="AC5" s="2410"/>
      <c r="AD5" s="2411"/>
      <c r="AE5" s="2411"/>
      <c r="AF5" s="2411"/>
      <c r="AG5" s="2411"/>
      <c r="AH5" s="2411"/>
      <c r="AI5" s="2411"/>
      <c r="AJ5" s="2412"/>
      <c r="AK5" s="1416" t="s">
        <v>482</v>
      </c>
      <c r="AM5" s="654"/>
      <c r="AN5" s="654" t="str">
        <f>IF(T5="","",T5)</f>
        <v>Наименование признака дифференциации</v>
      </c>
      <c r="AO5" s="654"/>
      <c r="AP5" s="654"/>
    </row>
    <row customHeight="1" ht="23.25" hidden="1">
      <c r="A6" s="1522"/>
      <c r="B6" s="1522"/>
      <c r="C6" s="1522"/>
      <c r="D6" s="1522"/>
      <c r="E6" s="2321"/>
      <c r="F6" s="2321"/>
      <c r="G6" s="2321"/>
      <c r="H6" s="2321"/>
      <c r="I6" s="2323"/>
      <c r="J6" s="2322">
        <f>I5&amp;".1"</f>
      </c>
      <c r="K6" s="1522"/>
      <c r="L6" s="1523" t="s">
        <v>406</v>
      </c>
      <c r="P6" s="2324"/>
      <c r="Q6" s="2324">
        <v>1</v>
      </c>
      <c r="R6" s="511"/>
      <c r="S6" s="1652">
        <f>$J6</f>
      </c>
      <c r="T6" s="440" t="s">
        <v>407</v>
      </c>
      <c r="U6" s="454"/>
      <c r="V6" s="2308"/>
      <c r="W6" s="2309"/>
      <c r="X6" s="2309"/>
      <c r="Y6" s="2309"/>
      <c r="Z6" s="2309"/>
      <c r="AA6" s="2309"/>
      <c r="AB6" s="2310"/>
      <c r="AC6" s="2308"/>
      <c r="AD6" s="2309"/>
      <c r="AE6" s="2309"/>
      <c r="AF6" s="2309"/>
      <c r="AG6" s="2309"/>
      <c r="AH6" s="2309"/>
      <c r="AI6" s="2309"/>
      <c r="AJ6" s="2310"/>
      <c r="AK6" s="1466" t="s">
        <v>483</v>
      </c>
      <c r="AM6" s="654"/>
      <c r="AN6" s="654" t="str">
        <f>IF(T6="","",T6)</f>
        <v>Группа потребителей</v>
      </c>
      <c r="AO6" s="654"/>
      <c r="AP6" s="654"/>
    </row>
    <row customHeight="1" ht="23.25" hidden="1">
      <c r="A7" s="1522"/>
      <c r="B7" s="1522"/>
      <c r="C7" s="1522"/>
      <c r="D7" s="1522"/>
      <c r="E7" s="2321"/>
      <c r="F7" s="2321"/>
      <c r="G7" s="2321"/>
      <c r="H7" s="2321"/>
      <c r="I7" s="2323"/>
      <c r="J7" s="2323"/>
      <c r="K7" s="2322">
        <f>J6&amp;".1"</f>
      </c>
      <c r="L7" s="1523"/>
      <c r="P7" s="2324"/>
      <c r="Q7" s="2324"/>
      <c r="R7" s="511">
        <v>1</v>
      </c>
      <c r="S7" s="1652">
        <f>$K7</f>
      </c>
      <c r="T7" s="1596"/>
      <c r="U7" s="454"/>
      <c r="V7" s="905"/>
      <c r="W7" s="905"/>
      <c r="X7" s="1415"/>
      <c r="Y7" s="2325"/>
      <c r="Z7" s="2195" t="s">
        <v>64</v>
      </c>
      <c r="AA7" s="2325"/>
      <c r="AB7" s="2195" t="s">
        <v>64</v>
      </c>
      <c r="AC7" s="905"/>
      <c r="AD7" s="905"/>
      <c r="AE7" s="1415"/>
      <c r="AF7" s="2325"/>
      <c r="AG7" s="2195" t="s">
        <v>64</v>
      </c>
      <c r="AH7" s="2327"/>
      <c r="AI7" s="2195" t="s">
        <v>64</v>
      </c>
      <c r="AJ7" s="1597"/>
      <c r="AK7" s="241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65">
        <f>STRCHECKDATE(V8:AJ8)</f>
      </c>
      <c r="AM7" s="654"/>
      <c r="AN7" s="654" t="str">
        <f>IF(T7="","",T7)</f>
        <v/>
      </c>
      <c r="AO7" s="654"/>
      <c r="AP7" s="654"/>
    </row>
    <row customHeight="1" ht="14.25" hidden="1">
      <c r="A8" s="1522"/>
      <c r="B8" s="1522"/>
      <c r="C8" s="1522"/>
      <c r="D8" s="1522"/>
      <c r="E8" s="2321"/>
      <c r="F8" s="2321"/>
      <c r="G8" s="2321"/>
      <c r="H8" s="2321"/>
      <c r="I8" s="2323"/>
      <c r="J8" s="2323"/>
      <c r="K8" s="2322"/>
      <c r="L8" s="1523"/>
      <c r="P8" s="2324"/>
      <c r="Q8" s="2324"/>
      <c r="R8" s="511"/>
      <c r="S8" s="1649"/>
      <c r="T8" s="454"/>
      <c r="U8" s="454"/>
      <c r="V8" s="479"/>
      <c r="W8" s="479"/>
      <c r="X8" s="482" t="str">
        <f>Y7&amp;"-"&amp;AA7</f>
        <v>-</v>
      </c>
      <c r="Y8" s="2326"/>
      <c r="Z8" s="2195"/>
      <c r="AA8" s="2326"/>
      <c r="AB8" s="2195"/>
      <c r="AC8" s="479"/>
      <c r="AD8" s="479"/>
      <c r="AE8" s="482" t="str">
        <f>AF7&amp;"-"&amp;AH7</f>
        <v>-</v>
      </c>
      <c r="AF8" s="2326"/>
      <c r="AG8" s="2195"/>
      <c r="AH8" s="2328"/>
      <c r="AI8" s="2195"/>
      <c r="AJ8" s="1598"/>
      <c r="AK8" s="2413"/>
      <c r="AM8" s="654"/>
      <c r="AN8" s="654" t="str">
        <f>IF(T8="","",T8)</f>
        <v/>
      </c>
      <c r="AO8" s="654"/>
      <c r="AP8" s="654"/>
    </row>
    <row customHeight="1" ht="21" hidden="1">
      <c r="A9" s="1522"/>
      <c r="B9" s="1522"/>
      <c r="C9" s="1522"/>
      <c r="D9" s="1522"/>
      <c r="E9" s="2321"/>
      <c r="F9" s="2321"/>
      <c r="G9" s="2321"/>
      <c r="H9" s="2321"/>
      <c r="I9" s="2323"/>
      <c r="J9" s="2322"/>
      <c r="K9" s="1522"/>
      <c r="L9" s="1523"/>
      <c r="P9" s="2324"/>
      <c r="Q9" s="2324"/>
      <c r="R9" s="510"/>
      <c r="S9" s="1437"/>
      <c r="T9" s="441" t="s">
        <v>484</v>
      </c>
      <c r="U9" s="521"/>
      <c r="V9" s="521"/>
      <c r="W9" s="521"/>
      <c r="X9" s="521"/>
      <c r="Y9" s="521"/>
      <c r="Z9" s="521"/>
      <c r="AA9" s="521"/>
      <c r="AB9" s="521"/>
      <c r="AC9" s="521"/>
      <c r="AD9" s="521"/>
      <c r="AE9" s="521"/>
      <c r="AF9" s="521"/>
      <c r="AG9" s="521"/>
      <c r="AH9" s="521"/>
      <c r="AI9" s="521"/>
      <c r="AJ9" s="521"/>
      <c r="AK9" s="1416" t="s">
        <v>485</v>
      </c>
      <c r="AM9" s="654"/>
      <c r="AN9" s="654" t="str">
        <f>IF(T9="","",T9)</f>
        <v>Добавить значение признака дифференциации</v>
      </c>
      <c r="AO9" s="654"/>
      <c r="AP9" s="654"/>
    </row>
    <row customHeight="1" ht="21" hidden="1">
      <c r="A10" s="1522"/>
      <c r="B10" s="1522"/>
      <c r="C10" s="1522"/>
      <c r="D10" s="1522"/>
      <c r="E10" s="2321"/>
      <c r="F10" s="2321"/>
      <c r="G10" s="2321"/>
      <c r="H10" s="2321"/>
      <c r="I10" s="2322"/>
      <c r="J10" s="1522"/>
      <c r="K10" s="1522"/>
      <c r="L10" s="1523"/>
      <c r="P10" s="2324"/>
      <c r="Q10" s="1640"/>
      <c r="R10" s="510"/>
      <c r="S10" s="1437"/>
      <c r="T10" s="519" t="s">
        <v>412</v>
      </c>
      <c r="U10" s="521"/>
      <c r="V10" s="521"/>
      <c r="W10" s="521"/>
      <c r="X10" s="521"/>
      <c r="Y10" s="521"/>
      <c r="Z10" s="521"/>
      <c r="AA10" s="521"/>
      <c r="AB10" s="520"/>
      <c r="AC10" s="521"/>
      <c r="AD10" s="521"/>
      <c r="AE10" s="521"/>
      <c r="AF10" s="521"/>
      <c r="AG10" s="521"/>
      <c r="AH10" s="521"/>
      <c r="AI10" s="520"/>
      <c r="AJ10" s="521"/>
      <c r="AK10" s="1599"/>
      <c r="AM10" s="654"/>
      <c r="AN10" s="654" t="str">
        <f>IF(T10="","",T10)</f>
        <v>Добавить группу потребителей</v>
      </c>
      <c r="AO10" s="654"/>
      <c r="AP10" s="654"/>
    </row>
    <row customHeight="1" ht="21" hidden="1">
      <c r="A11" s="1522"/>
      <c r="B11" s="1522"/>
      <c r="C11" s="1522"/>
      <c r="D11" s="1522"/>
      <c r="E11" s="2321"/>
      <c r="F11" s="2321"/>
      <c r="G11" s="2321"/>
      <c r="H11" s="2320"/>
      <c r="I11" s="1522"/>
      <c r="J11" s="1522"/>
      <c r="K11" s="1522"/>
      <c r="L11" s="1523"/>
      <c r="M11" s="1524"/>
      <c r="N11" s="1524"/>
      <c r="O11" s="691"/>
      <c r="P11" s="514"/>
      <c r="Q11" s="529"/>
      <c r="R11" s="509"/>
      <c r="S11" s="1437"/>
      <c r="T11" s="526" t="s">
        <v>486</v>
      </c>
      <c r="U11" s="521"/>
      <c r="V11" s="521"/>
      <c r="W11" s="521"/>
      <c r="X11" s="521"/>
      <c r="Y11" s="521"/>
      <c r="Z11" s="521"/>
      <c r="AA11" s="521"/>
      <c r="AB11" s="520"/>
      <c r="AC11" s="521"/>
      <c r="AD11" s="521"/>
      <c r="AE11" s="521"/>
      <c r="AF11" s="521"/>
      <c r="AG11" s="521"/>
      <c r="AH11" s="521"/>
      <c r="AI11" s="520"/>
      <c r="AJ11" s="521"/>
      <c r="AK11" s="457"/>
      <c r="AM11" s="654"/>
      <c r="AN11" s="654" t="str">
        <f>IF(T11="","",T11)</f>
        <v>Добавить наименование признака дифференциации</v>
      </c>
      <c r="AO11" s="654"/>
      <c r="AP11" s="654"/>
    </row>
    <row s="8702" customFormat="1" customHeight="1" ht="14.25" hidden="1">
      <c r="A12" s="1502"/>
      <c r="B12" s="1502"/>
      <c r="C12" s="1473"/>
      <c r="D12" s="1473"/>
      <c r="E12" s="2321"/>
      <c r="F12" s="2320"/>
      <c r="G12" s="1473"/>
      <c r="H12" s="1473"/>
      <c r="I12" s="1473"/>
      <c r="J12" s="1473"/>
      <c r="K12" s="1473"/>
      <c r="L12" s="1653"/>
      <c r="M12" s="1480"/>
      <c r="N12" s="1480"/>
      <c r="P12" s="1475"/>
      <c r="Q12" s="1476"/>
      <c r="R12" s="1475"/>
      <c r="S12" s="1481"/>
      <c r="T12" s="1484" t="s">
        <v>251</v>
      </c>
      <c r="U12" s="1483"/>
      <c r="V12" s="1483"/>
      <c r="W12" s="1483"/>
      <c r="X12" s="1483"/>
      <c r="Y12" s="1483"/>
      <c r="Z12" s="1483"/>
      <c r="AA12" s="1483"/>
      <c r="AB12" s="1483"/>
      <c r="AC12" s="1483"/>
      <c r="AD12" s="1483"/>
      <c r="AE12" s="1483"/>
      <c r="AF12" s="1483"/>
      <c r="AG12" s="1483"/>
      <c r="AH12" s="1483"/>
      <c r="AI12" s="1483"/>
      <c r="AJ12" s="1483"/>
      <c r="AK12" s="1483"/>
      <c r="AM12" s="943"/>
      <c r="AN12" s="943" t="str">
        <f>IF(T12="","",T12)</f>
        <v>Добавить централизованную систему для дифференциации</v>
      </c>
      <c r="AO12" s="943"/>
      <c r="AP12" s="943"/>
    </row>
    <row s="8794" customFormat="1" customHeight="1" ht="14.25" hidden="1">
      <c r="A13" s="1502"/>
      <c r="B13" s="1502"/>
      <c r="C13" s="1502"/>
      <c r="D13" s="1502"/>
      <c r="E13" s="2320"/>
      <c r="F13" s="1502"/>
      <c r="G13" s="1502"/>
      <c r="H13" s="1502"/>
      <c r="I13" s="1502"/>
      <c r="J13" s="1502"/>
      <c r="K13" s="1502"/>
      <c r="L13" s="1505"/>
      <c r="M13" s="1480"/>
      <c r="N13" s="1480"/>
      <c r="O13" s="672"/>
      <c r="P13" s="534"/>
      <c r="Q13" s="1503"/>
      <c r="R13" s="534"/>
      <c r="S13" s="1481"/>
      <c r="T13" s="1484" t="s">
        <v>252</v>
      </c>
      <c r="U13" s="1483"/>
      <c r="V13" s="1483"/>
      <c r="W13" s="1483"/>
      <c r="X13" s="1483"/>
      <c r="Y13" s="1483"/>
      <c r="Z13" s="1483"/>
      <c r="AA13" s="1483"/>
      <c r="AB13" s="1483"/>
      <c r="AC13" s="1483"/>
      <c r="AD13" s="1483"/>
      <c r="AE13" s="1483"/>
      <c r="AF13" s="1483"/>
      <c r="AG13" s="1483"/>
      <c r="AH13" s="1483"/>
      <c r="AI13" s="1483"/>
      <c r="AJ13" s="1483"/>
      <c r="AK13" s="1483"/>
      <c r="AM13" s="654"/>
      <c r="AN13" s="654" t="str">
        <f>IF(T13="","",T13)</f>
        <v>Добавить территорию для дифференциации</v>
      </c>
      <c r="AO13" s="654"/>
      <c r="AP13" s="654"/>
    </row>
    <row customHeight="1" ht="14.25" hidden="1">
      <c r="AB14" s="481"/>
      <c r="AI14" s="481"/>
    </row>
    <row customHeight="1" ht="14.25" hidden="1">
      <c r="AC15" s="1519"/>
      <c r="AD15" s="1519"/>
      <c r="AE15" s="1520"/>
      <c r="AF15" s="2318"/>
      <c r="AG15" s="2317" t="s">
        <v>64</v>
      </c>
      <c r="AH15" s="2318"/>
      <c r="AI15" s="2317" t="s">
        <v>64</v>
      </c>
    </row>
    <row customHeight="1" ht="14.25" hidden="1">
      <c r="AC16" s="1519"/>
      <c r="AD16" s="1519"/>
      <c r="AE16" s="482" t="str">
        <f>AF15&amp;"-"&amp;AH15</f>
        <v>-</v>
      </c>
      <c r="AF16" s="2317"/>
      <c r="AG16" s="2317"/>
      <c r="AH16" s="2317"/>
      <c r="AI16" s="2317"/>
    </row>
    <row customHeight="1" ht="14.25" hidden="1">
      <c r="AI17" s="481"/>
    </row>
    <row s="8721" customFormat="1" customHeight="1" ht="22.5" hidden="1">
      <c r="L18" s="1637"/>
      <c r="M18" s="1521"/>
      <c r="N18" s="1521"/>
      <c r="O18" s="1526" t="s">
        <v>415</v>
      </c>
      <c r="P18" s="1521"/>
      <c r="Q18" s="1530"/>
      <c r="R18" s="1530"/>
      <c r="S18" s="883"/>
      <c r="Y18" s="1526"/>
      <c r="AA18" s="1526"/>
      <c r="AB18" s="1525"/>
      <c r="AF18" s="1526"/>
      <c r="AH18" s="1526"/>
      <c r="AI18" s="1525"/>
      <c r="AL18" s="665"/>
      <c r="AM18" s="665"/>
      <c r="AN18" s="665"/>
      <c r="AO18" s="665"/>
      <c r="AP18" s="665"/>
    </row>
    <row s="8721" customFormat="1" customHeight="1" ht="14.25" hidden="1">
      <c r="L19" s="1637"/>
      <c r="M19" s="1521"/>
      <c r="N19" s="1521"/>
      <c r="O19" s="1521"/>
      <c r="P19" s="1521"/>
      <c r="Q19" s="1530"/>
      <c r="R19" s="1530"/>
      <c r="S19" s="883"/>
      <c r="AB19" s="1525"/>
      <c r="AI19" s="1525"/>
      <c r="AL19" s="665"/>
      <c r="AM19" s="665"/>
      <c r="AN19" s="665"/>
      <c r="AO19" s="665"/>
      <c r="AP19" s="665"/>
    </row>
    <row s="8721" customFormat="1" customHeight="1" ht="12" hidden="1">
      <c r="L20" s="1637"/>
      <c r="M20" s="1521"/>
      <c r="N20" s="1521"/>
      <c r="O20" s="1523" t="s">
        <v>416</v>
      </c>
      <c r="P20" s="1521"/>
      <c r="Q20" s="1601"/>
      <c r="R20" s="1601"/>
      <c r="S20" s="883"/>
      <c r="T20" s="1316" t="s">
        <v>417</v>
      </c>
      <c r="Z20" s="340" t="s">
        <v>418</v>
      </c>
      <c r="AB20" s="340" t="s">
        <v>419</v>
      </c>
      <c r="AC20" s="1316" t="s">
        <v>417</v>
      </c>
      <c r="AG20" s="340" t="s">
        <v>420</v>
      </c>
      <c r="AI20" s="340" t="s">
        <v>419</v>
      </c>
    </row>
    <row customHeight="1" ht="14.25" hidden="1">
      <c r="O21" s="1523"/>
    </row>
    <row customHeight="1" ht="14.25" hidden="1">
      <c r="O22" s="1523"/>
    </row>
    <row customHeight="1" ht="14.25">
      <c r="Q23" s="530"/>
      <c r="R23" s="530"/>
      <c r="S23" s="1434"/>
      <c r="T23" s="517"/>
      <c r="U23" s="517"/>
      <c r="V23" s="663"/>
      <c r="W23" s="663"/>
      <c r="X23" s="663"/>
      <c r="Y23" s="663"/>
      <c r="Z23" s="663"/>
      <c r="AA23" s="663"/>
      <c r="AB23" s="663"/>
      <c r="AC23" s="663"/>
      <c r="AD23" s="663"/>
      <c r="AE23" s="663"/>
      <c r="AF23" s="663"/>
      <c r="AG23" s="663"/>
      <c r="AH23" s="663"/>
      <c r="AI23" s="663"/>
    </row>
    <row customHeight="1" ht="14.25">
      <c r="Q24" s="530"/>
      <c r="R24" s="530"/>
      <c r="S24" s="2353" t="str">
        <f>IF(TEMPLATE_GROUP="P",PT_P_FORM_VOTV_4_NAME_FORM,PT_R_FORM_VOTV_16_NAME_FORM)</f>
        <v>Форма 2. Информация о тарифах в сфере водоотведения на товары (услуги) организации водоотведения, подлежащих регулированию</v>
      </c>
      <c r="T24" s="2353"/>
      <c r="U24" s="2353"/>
      <c r="V24" s="2353"/>
      <c r="W24" s="2353"/>
      <c r="X24" s="2353"/>
      <c r="Y24" s="2353"/>
      <c r="Z24" s="2353"/>
      <c r="AA24" s="2353"/>
      <c r="AB24" s="2353"/>
      <c r="AC24" s="2353"/>
      <c r="AD24" s="2353"/>
      <c r="AE24" s="2353"/>
      <c r="AF24" s="2353"/>
      <c r="AG24" s="2353"/>
      <c r="AH24" s="2353"/>
      <c r="AI24" s="1401"/>
    </row>
    <row customHeight="1" ht="14.25">
      <c r="Q25" s="530"/>
      <c r="R25" s="530"/>
      <c r="S25" s="2354" t="str">
        <f>IF(org=0,"Не определено",org)</f>
        <v>АО "Теплокоммунэнерго"</v>
      </c>
      <c r="T25" s="2354"/>
      <c r="U25" s="2354"/>
      <c r="V25" s="2354"/>
      <c r="W25" s="2354"/>
      <c r="X25" s="2354"/>
      <c r="Y25" s="2354"/>
      <c r="Z25" s="2354"/>
      <c r="AA25" s="2354"/>
      <c r="AB25" s="2354"/>
      <c r="AC25" s="2354"/>
      <c r="AD25" s="2354"/>
      <c r="AE25" s="2354"/>
      <c r="AF25" s="2354"/>
      <c r="AG25" s="2354"/>
      <c r="AH25" s="2354"/>
      <c r="AI25" s="1401"/>
    </row>
    <row customHeight="1" ht="14.25">
      <c r="Q26" s="530"/>
      <c r="R26" s="530"/>
      <c r="S26" s="1434"/>
      <c r="T26" s="517"/>
      <c r="U26" s="517"/>
      <c r="V26" s="476"/>
      <c r="W26" s="476"/>
      <c r="X26" s="476"/>
      <c r="Y26" s="476"/>
      <c r="Z26" s="476"/>
      <c r="AA26" s="476"/>
      <c r="AB26" s="476"/>
      <c r="AC26" s="476"/>
      <c r="AD26" s="476"/>
      <c r="AE26" s="476"/>
      <c r="AF26" s="476"/>
      <c r="AG26" s="476"/>
      <c r="AH26" s="476"/>
      <c r="AI26" s="476"/>
      <c r="AJ26" s="663"/>
    </row>
    <row s="8735" customFormat="1" customHeight="1" ht="25.5">
      <c r="A27" s="1527"/>
      <c r="B27" s="1527"/>
      <c r="C27" s="1527"/>
      <c r="D27" s="1527"/>
      <c r="E27" s="1527"/>
      <c r="F27" s="1527"/>
      <c r="G27" s="1527"/>
      <c r="H27" s="1527"/>
      <c r="I27" s="1527"/>
      <c r="J27" s="1527"/>
      <c r="K27" s="1527"/>
      <c r="L27" s="1528"/>
      <c r="M27" s="1527"/>
      <c r="N27" s="1527"/>
      <c r="O27" s="1527"/>
      <c r="S27" s="2311" t="s">
        <v>38</v>
      </c>
      <c r="T27" s="2311"/>
      <c r="U27" s="1531"/>
      <c r="V27" s="2313" t="str">
        <f>IF(TITLE_NAME_OR_PR_CHANGE="",IF(TITLE_NAME_OR_PR="","",TITLE_NAME_OR_PR),TITLE_NAME_OR_PR_CHANGE)</f>
        <v>Региональная служба по тарифам Ростовской области</v>
      </c>
      <c r="W27" s="2313"/>
      <c r="X27" s="2313"/>
      <c r="Y27" s="2313"/>
      <c r="Z27" s="2313"/>
      <c r="AA27" s="2313"/>
      <c r="AB27" s="480"/>
      <c r="AC27" s="2313" t="str">
        <f>IF(TITLE_NAME_OR_PR_CHANGE="",IF(TITLE_NAME_OR_PR="","",TITLE_NAME_OR_PR),TITLE_NAME_OR_PR_CHANGE)</f>
        <v>Региональная служба по тарифам Ростовской области</v>
      </c>
      <c r="AD27" s="2313"/>
      <c r="AE27" s="2313"/>
      <c r="AF27" s="2313"/>
      <c r="AG27" s="2313"/>
      <c r="AH27" s="2313"/>
      <c r="AI27" s="480"/>
      <c r="AJ27" s="480"/>
      <c r="AK27" s="434"/>
      <c r="AL27" s="522"/>
      <c r="AM27" s="522"/>
      <c r="AN27" s="522"/>
      <c r="AO27" s="522"/>
      <c r="AP27" s="522"/>
    </row>
    <row s="8735" customFormat="1" customHeight="1" ht="18.75">
      <c r="A28" s="1527"/>
      <c r="B28" s="1527"/>
      <c r="C28" s="1527"/>
      <c r="D28" s="1527"/>
      <c r="E28" s="1527"/>
      <c r="F28" s="1527"/>
      <c r="G28" s="1527"/>
      <c r="H28" s="1527"/>
      <c r="I28" s="1527"/>
      <c r="J28" s="1527"/>
      <c r="K28" s="1527"/>
      <c r="L28" s="1528"/>
      <c r="M28" s="1527"/>
      <c r="N28" s="1527"/>
      <c r="O28" s="1527"/>
      <c r="S28" s="2311" t="s">
        <v>421</v>
      </c>
      <c r="T28" s="2311"/>
      <c r="U28" s="1531"/>
      <c r="V28" s="2312" t="str">
        <f>IF(TITLE_DATE_PR_CHANGE="",IF(TITLE_DATE_PR="","",TITLE_DATE_PR),TITLE_DATE_PR_CHANGE)</f>
        <v>45279</v>
      </c>
      <c r="W28" s="2312"/>
      <c r="X28" s="2312"/>
      <c r="Y28" s="2312"/>
      <c r="Z28" s="2312"/>
      <c r="AA28" s="2312"/>
      <c r="AB28" s="480"/>
      <c r="AC28" s="2312" t="str">
        <f>IF(TITLE_DATE_PR_CHANGE="",IF(TITLE_DATE_PR="","",TITLE_DATE_PR),TITLE_DATE_PR_CHANGE)</f>
        <v>45279</v>
      </c>
      <c r="AD28" s="2312"/>
      <c r="AE28" s="2312"/>
      <c r="AF28" s="2312"/>
      <c r="AG28" s="2312"/>
      <c r="AH28" s="2312"/>
      <c r="AI28" s="480"/>
      <c r="AJ28" s="480"/>
      <c r="AK28" s="434"/>
      <c r="AL28" s="522"/>
      <c r="AM28" s="522"/>
      <c r="AN28" s="522"/>
      <c r="AO28" s="522"/>
      <c r="AP28" s="522"/>
    </row>
    <row s="8735" customFormat="1" customHeight="1" ht="18.75">
      <c r="A29" s="1527"/>
      <c r="B29" s="1527"/>
      <c r="C29" s="1527"/>
      <c r="D29" s="1527"/>
      <c r="E29" s="1527"/>
      <c r="F29" s="1527"/>
      <c r="G29" s="1527"/>
      <c r="H29" s="1527"/>
      <c r="I29" s="1527"/>
      <c r="J29" s="1527"/>
      <c r="K29" s="1527"/>
      <c r="L29" s="1528"/>
      <c r="M29" s="1527"/>
      <c r="N29" s="1527"/>
      <c r="O29" s="1527"/>
      <c r="S29" s="2311" t="s">
        <v>422</v>
      </c>
      <c r="T29" s="2311"/>
      <c r="U29" s="1531"/>
      <c r="V29" s="2313" t="str">
        <f>IF(TITLE_NUMBER_PR_CHANGE="",IF(TITLE_NUMBER_PR="","",TITLE_NUMBER_PR),TITLE_NUMBER_PR_CHANGE)</f>
        <v>877</v>
      </c>
      <c r="W29" s="2313"/>
      <c r="X29" s="2313"/>
      <c r="Y29" s="2313"/>
      <c r="Z29" s="2313"/>
      <c r="AA29" s="2313"/>
      <c r="AB29" s="480"/>
      <c r="AC29" s="2313" t="str">
        <f>IF(TITLE_NUMBER_PR_CHANGE="",IF(TITLE_NUMBER_PR="","",TITLE_NUMBER_PR),TITLE_NUMBER_PR_CHANGE)</f>
        <v>877</v>
      </c>
      <c r="AD29" s="2313"/>
      <c r="AE29" s="2313"/>
      <c r="AF29" s="2313"/>
      <c r="AG29" s="2313"/>
      <c r="AH29" s="2313"/>
      <c r="AI29" s="480"/>
      <c r="AJ29" s="480"/>
      <c r="AK29" s="434"/>
      <c r="AL29" s="522"/>
      <c r="AM29" s="522"/>
      <c r="AN29" s="522"/>
      <c r="AO29" s="522"/>
      <c r="AP29" s="522"/>
    </row>
    <row s="8735" customFormat="1" customHeight="1" ht="18.75">
      <c r="A30" s="1527"/>
      <c r="B30" s="1527"/>
      <c r="C30" s="1527"/>
      <c r="D30" s="1527"/>
      <c r="E30" s="1527"/>
      <c r="F30" s="1527"/>
      <c r="G30" s="1527"/>
      <c r="H30" s="1527"/>
      <c r="I30" s="1527"/>
      <c r="J30" s="1527"/>
      <c r="K30" s="1527"/>
      <c r="L30" s="1528"/>
      <c r="M30" s="1527"/>
      <c r="N30" s="1527"/>
      <c r="O30" s="1527"/>
      <c r="S30" s="2311" t="s">
        <v>40</v>
      </c>
      <c r="T30" s="2311"/>
      <c r="U30" s="1531"/>
      <c r="V30" s="2313" t="str">
        <f>IF(TITLE_IST_PUB_CHANGE="",IF(TITLE_IST_PUB="","",TITLE_IST_PUB),TITLE_IST_PUB_CHANGE)</f>
        <v>Официальный портал правовой информации Ростовской области</v>
      </c>
      <c r="W30" s="2313"/>
      <c r="X30" s="2313"/>
      <c r="Y30" s="2313"/>
      <c r="Z30" s="2313"/>
      <c r="AA30" s="2313"/>
      <c r="AB30" s="480"/>
      <c r="AC30" s="2313" t="str">
        <f>IF(TITLE_IST_PUB_CHANGE="",IF(TITLE_IST_PUB="","",TITLE_IST_PUB),TITLE_IST_PUB_CHANGE)</f>
        <v>Официальный портал правовой информации Ростовской области</v>
      </c>
      <c r="AD30" s="2313"/>
      <c r="AE30" s="2313"/>
      <c r="AF30" s="2313"/>
      <c r="AG30" s="2313"/>
      <c r="AH30" s="2313"/>
      <c r="AI30" s="480"/>
      <c r="AJ30" s="480"/>
      <c r="AK30" s="434"/>
      <c r="AL30" s="522"/>
      <c r="AM30" s="522"/>
      <c r="AN30" s="522"/>
      <c r="AO30" s="522"/>
      <c r="AP30" s="522"/>
    </row>
    <row customHeight="1" ht="14.25" hidden="1">
      <c r="Q31" s="530"/>
      <c r="R31" s="530"/>
      <c r="S31" s="1434"/>
      <c r="T31" s="517"/>
      <c r="U31" s="517"/>
      <c r="V31" s="476"/>
      <c r="W31" s="476"/>
      <c r="X31" s="476"/>
      <c r="Y31" s="476"/>
      <c r="Z31" s="476"/>
      <c r="AA31" s="476"/>
      <c r="AB31" s="476"/>
      <c r="AC31" s="476"/>
      <c r="AD31" s="476"/>
      <c r="AE31" s="476"/>
      <c r="AF31" s="476"/>
      <c r="AG31" s="476"/>
      <c r="AH31" s="476"/>
      <c r="AI31" s="476"/>
      <c r="AJ31" s="663"/>
    </row>
    <row s="8735" customFormat="1" customHeight="1" ht="18.75" hidden="1">
      <c r="A32" s="1527"/>
      <c r="B32" s="1527"/>
      <c r="C32" s="1527"/>
      <c r="D32" s="1527"/>
      <c r="E32" s="1527"/>
      <c r="F32" s="1527"/>
      <c r="G32" s="1527"/>
      <c r="H32" s="1527"/>
      <c r="I32" s="1527"/>
      <c r="J32" s="1527"/>
      <c r="K32" s="1527"/>
      <c r="L32" s="1528"/>
      <c r="M32" s="1527"/>
      <c r="N32" s="1527"/>
      <c r="O32" s="1527"/>
      <c r="S32" s="2311" t="s">
        <v>423</v>
      </c>
      <c r="T32" s="2311"/>
      <c r="U32" s="1531"/>
      <c r="V32" s="2312" t="str">
        <f>IF(TITLE_DATE_PR_CHANGE="",IF(TITLE_DATE_PR="","",TITLE_DATE_PR),TITLE_DATE_PR_CHANGE)</f>
        <v>45279</v>
      </c>
      <c r="W32" s="2312"/>
      <c r="X32" s="2312"/>
      <c r="Y32" s="2312"/>
      <c r="Z32" s="2312"/>
      <c r="AA32" s="2312"/>
      <c r="AB32" s="480"/>
      <c r="AC32" s="2312" t="str">
        <f>IF(TITLE_DATE_PR_CHANGE="",IF(TITLE_DATE_PR="","",TITLE_DATE_PR),TITLE_DATE_PR_CHANGE)</f>
        <v>45279</v>
      </c>
      <c r="AD32" s="2312"/>
      <c r="AE32" s="2312"/>
      <c r="AF32" s="2312"/>
      <c r="AG32" s="2312"/>
      <c r="AH32" s="2312"/>
      <c r="AI32" s="480"/>
      <c r="AJ32" s="480"/>
      <c r="AK32" s="434"/>
      <c r="AL32" s="522"/>
      <c r="AM32" s="522"/>
      <c r="AN32" s="522"/>
      <c r="AO32" s="522"/>
      <c r="AP32" s="522"/>
    </row>
    <row s="8735" customFormat="1" customHeight="1" ht="18.75" hidden="1">
      <c r="A33" s="1527"/>
      <c r="B33" s="1527"/>
      <c r="C33" s="1527"/>
      <c r="D33" s="1527"/>
      <c r="E33" s="1527"/>
      <c r="F33" s="1527"/>
      <c r="G33" s="1527"/>
      <c r="H33" s="1527"/>
      <c r="I33" s="1527"/>
      <c r="J33" s="1527"/>
      <c r="K33" s="1527"/>
      <c r="L33" s="1528"/>
      <c r="M33" s="1527"/>
      <c r="N33" s="1527"/>
      <c r="O33" s="1527"/>
      <c r="S33" s="2311" t="s">
        <v>424</v>
      </c>
      <c r="T33" s="2311"/>
      <c r="U33" s="1531"/>
      <c r="V33" s="2313" t="str">
        <f>IF(TITLE_NUMBER_PR_CHANGE="",IF(TITLE_NUMBER_PR="","",TITLE_NUMBER_PR),TITLE_NUMBER_PR_CHANGE)</f>
        <v>877</v>
      </c>
      <c r="W33" s="2313"/>
      <c r="X33" s="2313"/>
      <c r="Y33" s="2313"/>
      <c r="Z33" s="2313"/>
      <c r="AA33" s="2313"/>
      <c r="AB33" s="480"/>
      <c r="AC33" s="2313" t="str">
        <f>IF(TITLE_NUMBER_PR_CHANGE="",IF(TITLE_NUMBER_PR="","",TITLE_NUMBER_PR),TITLE_NUMBER_PR_CHANGE)</f>
        <v>877</v>
      </c>
      <c r="AD33" s="2313"/>
      <c r="AE33" s="2313"/>
      <c r="AF33" s="2313"/>
      <c r="AG33" s="2313"/>
      <c r="AH33" s="2313"/>
      <c r="AI33" s="480"/>
      <c r="AJ33" s="480"/>
      <c r="AK33" s="434"/>
      <c r="AL33" s="522"/>
      <c r="AM33" s="522"/>
      <c r="AN33" s="522"/>
      <c r="AO33" s="522"/>
      <c r="AP33" s="522"/>
    </row>
    <row s="8735" customFormat="1" customHeight="1" ht="0.75">
      <c r="A34" s="1527"/>
      <c r="B34" s="1527"/>
      <c r="C34" s="1527"/>
      <c r="D34" s="1527"/>
      <c r="E34" s="1527"/>
      <c r="F34" s="1527"/>
      <c r="G34" s="1527"/>
      <c r="H34" s="1527"/>
      <c r="I34" s="1527"/>
      <c r="J34" s="1527"/>
      <c r="K34" s="1527"/>
      <c r="L34" s="1528"/>
      <c r="M34" s="1527"/>
      <c r="N34" s="1527"/>
      <c r="O34" s="1527"/>
      <c r="S34" s="477"/>
      <c r="T34" s="477"/>
      <c r="U34" s="1647"/>
      <c r="V34" s="480"/>
      <c r="W34" s="480"/>
      <c r="X34" s="480"/>
      <c r="Y34" s="480"/>
      <c r="Z34" s="480"/>
      <c r="AA34" s="480"/>
      <c r="AB34" s="432" t="s">
        <v>425</v>
      </c>
      <c r="AC34" s="480"/>
      <c r="AD34" s="480"/>
      <c r="AE34" s="480"/>
      <c r="AF34" s="480"/>
      <c r="AG34" s="480"/>
      <c r="AH34" s="480"/>
      <c r="AI34" s="432" t="s">
        <v>425</v>
      </c>
      <c r="AL34" s="522"/>
      <c r="AM34" s="522"/>
      <c r="AN34" s="522"/>
      <c r="AO34" s="522"/>
      <c r="AP34" s="522"/>
    </row>
    <row customHeight="1" ht="14.25">
      <c r="Q35" s="530"/>
      <c r="R35" s="530"/>
      <c r="S35" s="1434"/>
      <c r="T35" s="517"/>
      <c r="U35" s="1402"/>
      <c r="V35" s="2337"/>
      <c r="W35" s="2337"/>
      <c r="X35" s="2337"/>
      <c r="Y35" s="2337"/>
      <c r="Z35" s="2337"/>
      <c r="AA35" s="2337"/>
      <c r="AB35" s="2337"/>
      <c r="AC35" s="2337"/>
      <c r="AD35" s="2337"/>
      <c r="AE35" s="2337"/>
      <c r="AF35" s="2337"/>
      <c r="AG35" s="2337"/>
      <c r="AH35" s="2337"/>
      <c r="AI35" s="2337"/>
    </row>
    <row customHeight="1" ht="14.25">
      <c r="Q36" s="530"/>
      <c r="R36" s="530"/>
      <c r="S36" s="2185" t="s">
        <v>300</v>
      </c>
      <c r="T36" s="2185"/>
      <c r="U36" s="2185"/>
      <c r="V36" s="2185"/>
      <c r="W36" s="2185"/>
      <c r="X36" s="2185"/>
      <c r="Y36" s="2185"/>
      <c r="Z36" s="2185"/>
      <c r="AA36" s="2185"/>
      <c r="AB36" s="2185"/>
      <c r="AC36" s="2185"/>
      <c r="AD36" s="2185"/>
      <c r="AE36" s="2185"/>
      <c r="AF36" s="2185"/>
      <c r="AG36" s="2185"/>
      <c r="AH36" s="2185"/>
      <c r="AI36" s="2185"/>
      <c r="AJ36" s="2185"/>
      <c r="AK36" s="2185" t="s">
        <v>301</v>
      </c>
    </row>
    <row customHeight="1" ht="14.25">
      <c r="Q37" s="530"/>
      <c r="R37" s="530"/>
      <c r="S37" s="2338" t="s">
        <v>85</v>
      </c>
      <c r="T37" s="2275" t="s">
        <v>426</v>
      </c>
      <c r="U37" s="455"/>
      <c r="V37" s="2339" t="s">
        <v>427</v>
      </c>
      <c r="W37" s="2340"/>
      <c r="X37" s="2340"/>
      <c r="Y37" s="2340"/>
      <c r="Z37" s="2340"/>
      <c r="AA37" s="2341"/>
      <c r="AB37" s="2342" t="s">
        <v>428</v>
      </c>
      <c r="AC37" s="2339" t="s">
        <v>427</v>
      </c>
      <c r="AD37" s="2340"/>
      <c r="AE37" s="2340"/>
      <c r="AF37" s="2340"/>
      <c r="AG37" s="2340"/>
      <c r="AH37" s="2341"/>
      <c r="AI37" s="2342" t="s">
        <v>429</v>
      </c>
      <c r="AJ37" s="2345" t="s">
        <v>430</v>
      </c>
      <c r="AK37" s="2185"/>
    </row>
    <row customHeight="1" ht="33.75">
      <c r="Q38" s="530"/>
      <c r="R38" s="530"/>
      <c r="S38" s="2338"/>
      <c r="T38" s="2275"/>
      <c r="U38" s="1186"/>
      <c r="V38" s="1642" t="s">
        <v>487</v>
      </c>
      <c r="W38" s="2331" t="s">
        <v>433</v>
      </c>
      <c r="X38" s="2333"/>
      <c r="Y38" s="2331" t="s">
        <v>434</v>
      </c>
      <c r="Z38" s="2332"/>
      <c r="AA38" s="2333"/>
      <c r="AB38" s="2343"/>
      <c r="AC38" s="1642" t="s">
        <v>487</v>
      </c>
      <c r="AD38" s="2331" t="s">
        <v>433</v>
      </c>
      <c r="AE38" s="2333"/>
      <c r="AF38" s="2331" t="s">
        <v>434</v>
      </c>
      <c r="AG38" s="2332"/>
      <c r="AH38" s="2333"/>
      <c r="AI38" s="2343"/>
      <c r="AJ38" s="2346"/>
      <c r="AK38" s="2185"/>
    </row>
    <row customHeight="1" ht="86.25">
      <c r="A39" s="1529"/>
      <c r="B39" s="1529" t="s">
        <v>132</v>
      </c>
      <c r="C39" s="1529" t="s">
        <v>133</v>
      </c>
      <c r="D39" s="1529" t="s">
        <v>134</v>
      </c>
      <c r="E39" s="1523" t="s">
        <v>435</v>
      </c>
      <c r="F39" s="1523" t="s">
        <v>436</v>
      </c>
      <c r="G39" s="1523" t="s">
        <v>437</v>
      </c>
      <c r="H39" s="1523"/>
      <c r="I39" s="1523" t="s">
        <v>488</v>
      </c>
      <c r="J39" s="1523" t="s">
        <v>440</v>
      </c>
      <c r="K39" s="1523" t="s">
        <v>489</v>
      </c>
      <c r="L39" s="1523" t="s">
        <v>416</v>
      </c>
      <c r="Q39" s="530"/>
      <c r="R39" s="530"/>
      <c r="S39" s="2338"/>
      <c r="T39" s="2275"/>
      <c r="U39" s="456"/>
      <c r="V39" s="1642" t="s">
        <v>516</v>
      </c>
      <c r="W39" s="1380" t="s">
        <v>517</v>
      </c>
      <c r="X39" s="1380" t="s">
        <v>492</v>
      </c>
      <c r="Y39" s="1648" t="s">
        <v>444</v>
      </c>
      <c r="Z39" s="2334" t="s">
        <v>445</v>
      </c>
      <c r="AA39" s="2335"/>
      <c r="AB39" s="2344"/>
      <c r="AC39" s="1642" t="s">
        <v>516</v>
      </c>
      <c r="AD39" s="1380" t="s">
        <v>517</v>
      </c>
      <c r="AE39" s="1380" t="s">
        <v>492</v>
      </c>
      <c r="AF39" s="1648" t="s">
        <v>444</v>
      </c>
      <c r="AG39" s="2334" t="s">
        <v>445</v>
      </c>
      <c r="AH39" s="2335"/>
      <c r="AI39" s="2344"/>
      <c r="AJ39" s="2347"/>
      <c r="AK39" s="2185"/>
    </row>
    <row s="8552" customFormat="1" customHeight="1" ht="0">
      <c r="A40" s="1529"/>
      <c r="B40" s="1529"/>
      <c r="C40" s="1529"/>
      <c r="D40" s="1529"/>
      <c r="E40" s="1529"/>
      <c r="F40" s="1529"/>
      <c r="G40" s="1529"/>
      <c r="H40" s="1529"/>
      <c r="I40" s="1529"/>
      <c r="J40" s="1529"/>
      <c r="K40" s="1529"/>
      <c r="L40" s="1523"/>
      <c r="M40" s="1521"/>
      <c r="N40" s="1521"/>
      <c r="O40" s="1521"/>
      <c r="P40" s="1404"/>
      <c r="Q40" s="1405"/>
      <c r="R40" s="1412">
        <v>1</v>
      </c>
      <c r="S40" s="1436" t="s">
        <v>106</v>
      </c>
      <c r="T40" s="1413" t="s">
        <v>107</v>
      </c>
      <c r="U40" s="1403" t="str">
        <f>OFFSET(U40,0,-1)</f>
        <v>2</v>
      </c>
      <c r="V40" s="1641">
        <f>OFFSET(V40,0,-1)+1</f>
        <v>3</v>
      </c>
      <c r="W40" s="1641">
        <f>OFFSET(W40,0,-1)+1</f>
        <v>4</v>
      </c>
      <c r="X40" s="1641">
        <f>OFFSET(X40,0,-1)+1</f>
        <v>5</v>
      </c>
      <c r="Y40" s="1641">
        <f>OFFSET(Y40,0,-1)+1</f>
        <v>6</v>
      </c>
      <c r="Z40" s="2336">
        <f>OFFSET(Z40,0,-1)+1</f>
        <v>7</v>
      </c>
      <c r="AA40" s="2336"/>
      <c r="AB40" s="1641">
        <f>OFFSET(AB40,0,-2)+1</f>
        <v>8</v>
      </c>
      <c r="AC40" s="1641">
        <f>OFFSET(AC40,0,-1)+1</f>
        <v>9</v>
      </c>
      <c r="AD40" s="1641">
        <f>OFFSET(AD40,0,-1)+1</f>
        <v>10</v>
      </c>
      <c r="AE40" s="1641">
        <f>OFFSET(AE40,0,-1)+1</f>
        <v>11</v>
      </c>
      <c r="AF40" s="1641">
        <f>OFFSET(AF40,0,-1)+1</f>
        <v>12</v>
      </c>
      <c r="AG40" s="2336">
        <f>OFFSET(AG40,0,-1)+1</f>
        <v>13</v>
      </c>
      <c r="AH40" s="2336"/>
      <c r="AI40" s="1641">
        <f>OFFSET(AI40,0,-2)+1</f>
        <v>14</v>
      </c>
      <c r="AJ40" s="1403">
        <f>OFFSET(AJ40,0,-1)</f>
        <v>14</v>
      </c>
      <c r="AK40" s="1641">
        <f>OFFSET(AK40,0,-1)+1</f>
        <v>15</v>
      </c>
      <c r="AL40" s="665"/>
      <c r="AM40" s="665"/>
      <c r="AN40" s="665"/>
      <c r="AO40" s="665"/>
      <c r="AP40" s="665"/>
    </row>
    <row customHeight="1" ht="23.25">
      <c r="A41" s="1522" t="s">
        <v>271</v>
      </c>
      <c r="B41" s="1522"/>
      <c r="C41" s="1522"/>
      <c r="D41" s="1522"/>
      <c r="E41" s="2320">
        <v>1</v>
      </c>
      <c r="F41" s="1522"/>
      <c r="G41" s="1522"/>
      <c r="H41" s="1522"/>
      <c r="I41" s="1522"/>
      <c r="J41" s="1522"/>
      <c r="K41" s="1522"/>
      <c r="L41" s="1523"/>
      <c r="M41" s="1524"/>
      <c r="N41" s="1524"/>
      <c r="O41" s="1524"/>
      <c r="P41" s="515"/>
      <c r="Q41" s="514"/>
      <c r="R41" s="509"/>
      <c r="S41" s="1652">
        <f>INDEX(PT_DIFFERENTIATION_NUM_NTAR,MATCH(A41,PT_DIFFERENTIATION_NTAR_ID,0))</f>
        <v>0</v>
      </c>
      <c r="T41" s="452" t="s">
        <v>120</v>
      </c>
      <c r="U41" s="454"/>
      <c r="V41" s="2314"/>
      <c r="W41" s="2315"/>
      <c r="X41" s="2315"/>
      <c r="Y41" s="2315"/>
      <c r="Z41" s="2315"/>
      <c r="AA41" s="2315"/>
      <c r="AB41" s="2316"/>
      <c r="AC41" s="2314" t="str">
        <f>INDEX(PT_DIFFERENTIATION_NTAR,MATCH(A41,PT_DIFFERENTIATION_NTAR_ID,0))</f>
        <v/>
      </c>
      <c r="AD41" s="2315"/>
      <c r="AE41" s="2315"/>
      <c r="AF41" s="2315"/>
      <c r="AG41" s="2315"/>
      <c r="AH41" s="2315"/>
      <c r="AI41" s="2315"/>
      <c r="AJ41" s="2316"/>
      <c r="AK41" s="1416"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41" s="654"/>
      <c r="AN41" s="654" t="str">
        <f>IF(T41="","",T41)</f>
        <v>Наименование тарифа</v>
      </c>
      <c r="AO41" s="654"/>
      <c r="AP41" s="654"/>
    </row>
    <row customHeight="1" ht="23.25">
      <c r="A42" s="1522" t="s">
        <v>271</v>
      </c>
      <c r="B42" s="1522" t="s">
        <v>272</v>
      </c>
      <c r="C42" s="1522"/>
      <c r="D42" s="1522"/>
      <c r="E42" s="2321"/>
      <c r="F42" s="2320">
        <v>1</v>
      </c>
      <c r="G42" s="1522"/>
      <c r="H42" s="1522"/>
      <c r="I42" s="1522"/>
      <c r="J42" s="1522"/>
      <c r="K42" s="1522"/>
      <c r="L42" s="1523"/>
      <c r="M42" s="1524"/>
      <c r="N42" s="1524"/>
      <c r="O42" s="1524"/>
      <c r="P42" s="1646"/>
      <c r="Q42" s="506"/>
      <c r="R42" s="507"/>
      <c r="S42" s="1652" t="str">
        <f>INDEX(PT_DIFFERENTIATION_NUM_TER,MATCH(B42,PT_DIFFERENTIATION_TER_ID,0))</f>
        <v>.</v>
      </c>
      <c r="T42" s="462" t="s">
        <v>397</v>
      </c>
      <c r="U42" s="454"/>
      <c r="V42" s="2314"/>
      <c r="W42" s="2315"/>
      <c r="X42" s="2315"/>
      <c r="Y42" s="2315"/>
      <c r="Z42" s="2315"/>
      <c r="AA42" s="2315"/>
      <c r="AB42" s="2316"/>
      <c r="AC42" s="2314" t="str">
        <f>INDEX(PT_DIFFERENTIATION_TER,MATCH(B42,PT_DIFFERENTIATION_TER_ID,0))</f>
        <v/>
      </c>
      <c r="AD42" s="2315"/>
      <c r="AE42" s="2315"/>
      <c r="AF42" s="2315"/>
      <c r="AG42" s="2315"/>
      <c r="AH42" s="2315"/>
      <c r="AI42" s="2315"/>
      <c r="AJ42" s="2316"/>
      <c r="AK42" s="1416" t="s">
        <v>398</v>
      </c>
      <c r="AM42" s="654"/>
      <c r="AN42" s="654" t="str">
        <f>IF(T42="","",T42)</f>
        <v>Территория действия тарифа</v>
      </c>
      <c r="AO42" s="654"/>
      <c r="AP42" s="654"/>
    </row>
    <row customHeight="1" ht="23.25">
      <c r="A43" s="1522" t="s">
        <v>271</v>
      </c>
      <c r="B43" s="1522" t="s">
        <v>272</v>
      </c>
      <c r="C43" s="1522" t="s">
        <v>273</v>
      </c>
      <c r="D43" s="1522"/>
      <c r="E43" s="2321"/>
      <c r="F43" s="2321"/>
      <c r="G43" s="2320">
        <v>1</v>
      </c>
      <c r="H43" s="1522"/>
      <c r="I43" s="1522"/>
      <c r="J43" s="1522"/>
      <c r="K43" s="1522"/>
      <c r="L43" s="1523"/>
      <c r="M43" s="1524"/>
      <c r="N43" s="1524"/>
      <c r="O43" s="1524"/>
      <c r="P43" s="508"/>
      <c r="Q43" s="506"/>
      <c r="R43" s="507"/>
      <c r="S43" s="1652" t="str">
        <f>INDEX(PT_DIFFERENTIATION_NUM_CS,MATCH(C43,PT_DIFFERENTIATION_CS_ID,0))</f>
        <v>..</v>
      </c>
      <c r="T43" s="463" t="s">
        <v>514</v>
      </c>
      <c r="U43" s="454"/>
      <c r="V43" s="2314"/>
      <c r="W43" s="2315"/>
      <c r="X43" s="2315"/>
      <c r="Y43" s="2315"/>
      <c r="Z43" s="2315"/>
      <c r="AA43" s="2315"/>
      <c r="AB43" s="2316"/>
      <c r="AC43" s="2314" t="str">
        <f>INDEX(PT_DIFFERENTIATION_CS,MATCH(C43,PT_DIFFERENTIATION_CS_ID,0))</f>
        <v/>
      </c>
      <c r="AD43" s="2315"/>
      <c r="AE43" s="2315"/>
      <c r="AF43" s="2315"/>
      <c r="AG43" s="2315"/>
      <c r="AH43" s="2315"/>
      <c r="AI43" s="2315"/>
      <c r="AJ43" s="2316"/>
      <c r="AK43" s="1416" t="s">
        <v>515</v>
      </c>
      <c r="AM43" s="654"/>
      <c r="AN43" s="654" t="str">
        <f>IF(T43="","",T43)</f>
        <v>Наименование централизованной системы водоотведения</v>
      </c>
      <c r="AO43" s="654"/>
      <c r="AP43" s="654"/>
    </row>
    <row customHeight="1" ht="23.25">
      <c r="A44" s="1522" t="s">
        <v>271</v>
      </c>
      <c r="B44" s="1522" t="s">
        <v>272</v>
      </c>
      <c r="C44" s="1522" t="s">
        <v>273</v>
      </c>
      <c r="D44" s="1522" t="s">
        <v>519</v>
      </c>
      <c r="E44" s="2321"/>
      <c r="F44" s="2321"/>
      <c r="G44" s="2321"/>
      <c r="H44" s="2321"/>
      <c r="I44" s="2322" t="str">
        <f>S43&amp;".1"</f>
        <v>...1</v>
      </c>
      <c r="J44" s="1522"/>
      <c r="K44" s="1522"/>
      <c r="L44" s="1523"/>
      <c r="P44" s="2324">
        <v>1</v>
      </c>
      <c r="Q44" s="1640"/>
      <c r="R44" s="510"/>
      <c r="S44" s="1652" t="str">
        <f>$I44</f>
        <v>...1</v>
      </c>
      <c r="T44" s="439" t="s">
        <v>481</v>
      </c>
      <c r="U44" s="454"/>
      <c r="V44" s="2407"/>
      <c r="W44" s="2408"/>
      <c r="X44" s="2408"/>
      <c r="Y44" s="2408"/>
      <c r="Z44" s="2408"/>
      <c r="AA44" s="2408"/>
      <c r="AB44" s="2409"/>
      <c r="AC44" s="2410"/>
      <c r="AD44" s="2411"/>
      <c r="AE44" s="2411"/>
      <c r="AF44" s="2411"/>
      <c r="AG44" s="2411"/>
      <c r="AH44" s="2411"/>
      <c r="AI44" s="2411"/>
      <c r="AJ44" s="2412"/>
      <c r="AK44" s="1416" t="s">
        <v>482</v>
      </c>
      <c r="AM44" s="654"/>
      <c r="AN44" s="654" t="str">
        <f>IF(T44="","",T44)</f>
        <v>Наименование признака дифференциации</v>
      </c>
      <c r="AO44" s="654"/>
      <c r="AP44" s="654"/>
    </row>
    <row customHeight="1" ht="23.25">
      <c r="A45" s="1522" t="s">
        <v>271</v>
      </c>
      <c r="B45" s="1522" t="s">
        <v>272</v>
      </c>
      <c r="C45" s="1522" t="s">
        <v>273</v>
      </c>
      <c r="D45" s="1522" t="s">
        <v>519</v>
      </c>
      <c r="E45" s="2321"/>
      <c r="F45" s="2321"/>
      <c r="G45" s="2321"/>
      <c r="H45" s="2321"/>
      <c r="I45" s="2323"/>
      <c r="J45" s="2322" t="str">
        <f>I44&amp;".1"</f>
        <v>...1.1</v>
      </c>
      <c r="K45" s="1522"/>
      <c r="L45" s="1523" t="s">
        <v>406</v>
      </c>
      <c r="P45" s="2324"/>
      <c r="Q45" s="2324">
        <v>1</v>
      </c>
      <c r="R45" s="511"/>
      <c r="S45" s="1652" t="str">
        <f>$J45</f>
        <v>...1.1</v>
      </c>
      <c r="T45" s="440" t="s">
        <v>407</v>
      </c>
      <c r="U45" s="454"/>
      <c r="V45" s="2308"/>
      <c r="W45" s="2309"/>
      <c r="X45" s="2309"/>
      <c r="Y45" s="2309"/>
      <c r="Z45" s="2309"/>
      <c r="AA45" s="2309"/>
      <c r="AB45" s="2310"/>
      <c r="AC45" s="2308"/>
      <c r="AD45" s="2309"/>
      <c r="AE45" s="2309"/>
      <c r="AF45" s="2309"/>
      <c r="AG45" s="2309"/>
      <c r="AH45" s="2309"/>
      <c r="AI45" s="2309"/>
      <c r="AJ45" s="2310"/>
      <c r="AK45" s="1466" t="s">
        <v>483</v>
      </c>
      <c r="AM45" s="654"/>
      <c r="AN45" s="654" t="str">
        <f>IF(T45="","",T45)</f>
        <v>Группа потребителей</v>
      </c>
      <c r="AO45" s="654"/>
      <c r="AP45" s="654"/>
    </row>
    <row customHeight="1" ht="23.25">
      <c r="A46" s="1522" t="s">
        <v>271</v>
      </c>
      <c r="B46" s="1522" t="s">
        <v>272</v>
      </c>
      <c r="C46" s="1522" t="s">
        <v>273</v>
      </c>
      <c r="D46" s="1522" t="s">
        <v>519</v>
      </c>
      <c r="E46" s="2321"/>
      <c r="F46" s="2321"/>
      <c r="G46" s="2321"/>
      <c r="H46" s="2321"/>
      <c r="I46" s="2323"/>
      <c r="J46" s="2323"/>
      <c r="K46" s="2322" t="str">
        <f>J45&amp;".1"</f>
        <v>...1.1.1</v>
      </c>
      <c r="L46" s="1523"/>
      <c r="P46" s="2324"/>
      <c r="Q46" s="2324"/>
      <c r="R46" s="511">
        <v>1</v>
      </c>
      <c r="S46" s="1652" t="str">
        <f>$K46</f>
        <v>...1.1.1</v>
      </c>
      <c r="T46" s="1596"/>
      <c r="U46" s="454"/>
      <c r="V46" s="1519"/>
      <c r="W46" s="1519"/>
      <c r="X46" s="1520"/>
      <c r="Y46" s="2318"/>
      <c r="Z46" s="2317" t="s">
        <v>64</v>
      </c>
      <c r="AA46" s="2318"/>
      <c r="AB46" s="2317" t="s">
        <v>64</v>
      </c>
      <c r="AC46" s="905"/>
      <c r="AD46" s="905"/>
      <c r="AE46" s="1415"/>
      <c r="AF46" s="2325"/>
      <c r="AG46" s="2195" t="s">
        <v>64</v>
      </c>
      <c r="AH46" s="2327"/>
      <c r="AI46" s="2195" t="s">
        <v>54</v>
      </c>
      <c r="AJ46" s="1597"/>
      <c r="AK46" s="241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65">
        <f>STRCHECKDATE(V47:AJ47)</f>
      </c>
      <c r="AM46" s="654"/>
      <c r="AN46" s="654" t="str">
        <f>IF(T46="","",T46)</f>
        <v/>
      </c>
      <c r="AO46" s="654"/>
      <c r="AP46" s="654"/>
    </row>
    <row customHeight="1" ht="0">
      <c r="A47" s="1522" t="s">
        <v>271</v>
      </c>
      <c r="B47" s="1522" t="s">
        <v>272</v>
      </c>
      <c r="C47" s="1522" t="s">
        <v>273</v>
      </c>
      <c r="D47" s="1522" t="s">
        <v>519</v>
      </c>
      <c r="E47" s="2321"/>
      <c r="F47" s="2321"/>
      <c r="G47" s="2321"/>
      <c r="H47" s="2321"/>
      <c r="I47" s="2323"/>
      <c r="J47" s="2323"/>
      <c r="K47" s="2322"/>
      <c r="L47" s="1523"/>
      <c r="P47" s="2324"/>
      <c r="Q47" s="2324"/>
      <c r="R47" s="511"/>
      <c r="S47" s="1649"/>
      <c r="T47" s="454"/>
      <c r="U47" s="454"/>
      <c r="V47" s="1519"/>
      <c r="W47" s="1519"/>
      <c r="X47" s="482" t="str">
        <f>Y46&amp;"-"&amp;AA46</f>
        <v>-</v>
      </c>
      <c r="Y47" s="2317"/>
      <c r="Z47" s="2317"/>
      <c r="AA47" s="2317"/>
      <c r="AB47" s="2317"/>
      <c r="AC47" s="479"/>
      <c r="AD47" s="479"/>
      <c r="AE47" s="482" t="str">
        <f>AF46&amp;"-"&amp;AH46</f>
        <v>-</v>
      </c>
      <c r="AF47" s="2326"/>
      <c r="AG47" s="2195"/>
      <c r="AH47" s="2328"/>
      <c r="AI47" s="2195"/>
      <c r="AJ47" s="1598"/>
      <c r="AK47" s="2413"/>
      <c r="AM47" s="654"/>
      <c r="AN47" s="654" t="str">
        <f>IF(T47="","",T47)</f>
        <v/>
      </c>
      <c r="AO47" s="654"/>
      <c r="AP47" s="654"/>
    </row>
    <row customHeight="1" ht="21">
      <c r="A48" s="1522" t="s">
        <v>271</v>
      </c>
      <c r="B48" s="1522" t="s">
        <v>272</v>
      </c>
      <c r="C48" s="1522" t="s">
        <v>273</v>
      </c>
      <c r="D48" s="1522" t="s">
        <v>519</v>
      </c>
      <c r="E48" s="2321"/>
      <c r="F48" s="2321"/>
      <c r="G48" s="2321"/>
      <c r="H48" s="2321"/>
      <c r="I48" s="2323"/>
      <c r="J48" s="2322"/>
      <c r="K48" s="1522"/>
      <c r="L48" s="1523"/>
      <c r="P48" s="2324"/>
      <c r="Q48" s="2324"/>
      <c r="R48" s="510"/>
      <c r="S48" s="1437"/>
      <c r="T48" s="441" t="s">
        <v>484</v>
      </c>
      <c r="U48" s="521"/>
      <c r="V48" s="521"/>
      <c r="W48" s="521"/>
      <c r="X48" s="521"/>
      <c r="Y48" s="521"/>
      <c r="Z48" s="521"/>
      <c r="AA48" s="521"/>
      <c r="AB48" s="521"/>
      <c r="AC48" s="521"/>
      <c r="AD48" s="521"/>
      <c r="AE48" s="521"/>
      <c r="AF48" s="521"/>
      <c r="AG48" s="521"/>
      <c r="AH48" s="521"/>
      <c r="AI48" s="521"/>
      <c r="AJ48" s="521"/>
      <c r="AK48" s="1416" t="s">
        <v>485</v>
      </c>
      <c r="AM48" s="654"/>
      <c r="AN48" s="654" t="str">
        <f>IF(T48="","",T48)</f>
        <v>Добавить значение признака дифференциации</v>
      </c>
      <c r="AO48" s="654"/>
      <c r="AP48" s="654"/>
    </row>
    <row customHeight="1" ht="21">
      <c r="A49" s="1522" t="s">
        <v>271</v>
      </c>
      <c r="B49" s="1522" t="s">
        <v>272</v>
      </c>
      <c r="C49" s="1522" t="s">
        <v>273</v>
      </c>
      <c r="D49" s="1522" t="s">
        <v>519</v>
      </c>
      <c r="E49" s="2321"/>
      <c r="F49" s="2321"/>
      <c r="G49" s="2321"/>
      <c r="H49" s="2321"/>
      <c r="I49" s="2322"/>
      <c r="J49" s="1522"/>
      <c r="K49" s="1522"/>
      <c r="L49" s="1523"/>
      <c r="P49" s="2324"/>
      <c r="Q49" s="1640"/>
      <c r="R49" s="510"/>
      <c r="S49" s="1437"/>
      <c r="T49" s="519" t="s">
        <v>412</v>
      </c>
      <c r="U49" s="521"/>
      <c r="V49" s="521"/>
      <c r="W49" s="521"/>
      <c r="X49" s="521"/>
      <c r="Y49" s="521"/>
      <c r="Z49" s="521"/>
      <c r="AA49" s="521"/>
      <c r="AB49" s="520"/>
      <c r="AC49" s="521"/>
      <c r="AD49" s="521"/>
      <c r="AE49" s="521"/>
      <c r="AF49" s="521"/>
      <c r="AG49" s="521"/>
      <c r="AH49" s="521"/>
      <c r="AI49" s="520"/>
      <c r="AJ49" s="521"/>
      <c r="AK49" s="1599"/>
      <c r="AM49" s="654"/>
      <c r="AN49" s="654" t="str">
        <f>IF(T49="","",T49)</f>
        <v>Добавить группу потребителей</v>
      </c>
      <c r="AO49" s="654"/>
      <c r="AP49" s="654"/>
    </row>
    <row customHeight="1" ht="21">
      <c r="A50" s="1522" t="s">
        <v>271</v>
      </c>
      <c r="B50" s="1522" t="s">
        <v>272</v>
      </c>
      <c r="C50" s="1522" t="s">
        <v>273</v>
      </c>
      <c r="D50" s="1522" t="s">
        <v>519</v>
      </c>
      <c r="E50" s="2321"/>
      <c r="F50" s="2321"/>
      <c r="G50" s="2321"/>
      <c r="H50" s="2320"/>
      <c r="I50" s="1522"/>
      <c r="J50" s="1522"/>
      <c r="K50" s="1522"/>
      <c r="L50" s="1523"/>
      <c r="M50" s="1524"/>
      <c r="N50" s="1524"/>
      <c r="O50" s="691"/>
      <c r="P50" s="514"/>
      <c r="Q50" s="529"/>
      <c r="R50" s="509"/>
      <c r="S50" s="1437"/>
      <c r="T50" s="526" t="s">
        <v>486</v>
      </c>
      <c r="U50" s="521"/>
      <c r="V50" s="521"/>
      <c r="W50" s="521"/>
      <c r="X50" s="521"/>
      <c r="Y50" s="521"/>
      <c r="Z50" s="521"/>
      <c r="AA50" s="521"/>
      <c r="AB50" s="520"/>
      <c r="AC50" s="521"/>
      <c r="AD50" s="521"/>
      <c r="AE50" s="521"/>
      <c r="AF50" s="521"/>
      <c r="AG50" s="521"/>
      <c r="AH50" s="521"/>
      <c r="AI50" s="520"/>
      <c r="AJ50" s="521"/>
      <c r="AK50" s="457"/>
      <c r="AM50" s="654"/>
      <c r="AN50" s="654" t="str">
        <f>IF(T50="","",T50)</f>
        <v>Добавить наименование признака дифференциации</v>
      </c>
      <c r="AO50" s="654"/>
      <c r="AP50" s="654"/>
    </row>
    <row s="8702" customFormat="1" customHeight="1" ht="0">
      <c r="A51" s="1502" t="s">
        <v>271</v>
      </c>
      <c r="B51" s="1502" t="s">
        <v>272</v>
      </c>
      <c r="C51" s="1473"/>
      <c r="D51" s="1473"/>
      <c r="E51" s="2321"/>
      <c r="F51" s="2320"/>
      <c r="G51" s="1473"/>
      <c r="H51" s="1473"/>
      <c r="I51" s="1473"/>
      <c r="J51" s="1473"/>
      <c r="K51" s="1473"/>
      <c r="L51" s="1653"/>
      <c r="M51" s="1480"/>
      <c r="N51" s="1480"/>
      <c r="P51" s="1475"/>
      <c r="Q51" s="1476"/>
      <c r="R51" s="1475"/>
      <c r="S51" s="1481"/>
      <c r="T51" s="1484" t="s">
        <v>251</v>
      </c>
      <c r="U51" s="1483"/>
      <c r="V51" s="1483"/>
      <c r="W51" s="1483"/>
      <c r="X51" s="1483"/>
      <c r="Y51" s="1483"/>
      <c r="Z51" s="1483"/>
      <c r="AA51" s="1483"/>
      <c r="AB51" s="1483"/>
      <c r="AC51" s="1483"/>
      <c r="AD51" s="1483"/>
      <c r="AE51" s="1483"/>
      <c r="AF51" s="1483"/>
      <c r="AG51" s="1483"/>
      <c r="AH51" s="1483"/>
      <c r="AI51" s="1483"/>
      <c r="AJ51" s="1483"/>
      <c r="AK51" s="1483"/>
      <c r="AM51" s="943"/>
      <c r="AN51" s="943" t="str">
        <f>IF(T51="","",T51)</f>
        <v>Добавить централизованную систему для дифференциации</v>
      </c>
      <c r="AO51" s="943"/>
      <c r="AP51" s="943"/>
    </row>
    <row s="8794" customFormat="1" customHeight="1" ht="0">
      <c r="A52" s="1502" t="s">
        <v>271</v>
      </c>
      <c r="B52" s="1502"/>
      <c r="C52" s="1502"/>
      <c r="D52" s="1502"/>
      <c r="E52" s="2320"/>
      <c r="F52" s="1502"/>
      <c r="G52" s="1502"/>
      <c r="H52" s="1502"/>
      <c r="I52" s="1502"/>
      <c r="J52" s="1502"/>
      <c r="K52" s="1502"/>
      <c r="L52" s="1505"/>
      <c r="M52" s="1480"/>
      <c r="N52" s="1480"/>
      <c r="O52" s="672"/>
      <c r="P52" s="534"/>
      <c r="Q52" s="1503"/>
      <c r="R52" s="534"/>
      <c r="S52" s="1481"/>
      <c r="T52" s="1484" t="s">
        <v>252</v>
      </c>
      <c r="U52" s="1483"/>
      <c r="V52" s="1483"/>
      <c r="W52" s="1483"/>
      <c r="X52" s="1483"/>
      <c r="Y52" s="1483"/>
      <c r="Z52" s="1483"/>
      <c r="AA52" s="1483"/>
      <c r="AB52" s="1483"/>
      <c r="AC52" s="1483"/>
      <c r="AD52" s="1483"/>
      <c r="AE52" s="1483"/>
      <c r="AF52" s="1483"/>
      <c r="AG52" s="1483"/>
      <c r="AH52" s="1483"/>
      <c r="AI52" s="1483"/>
      <c r="AJ52" s="1483"/>
      <c r="AK52" s="1483"/>
      <c r="AM52" s="654"/>
      <c r="AN52" s="654" t="str">
        <f>IF(T52="","",T52)</f>
        <v>Добавить территорию для дифференциации</v>
      </c>
      <c r="AO52" s="654"/>
      <c r="AP52" s="654"/>
    </row>
    <row s="8702" customFormat="1" customHeight="1" ht="0">
      <c r="A53" s="1473"/>
      <c r="B53" s="1473"/>
      <c r="C53" s="1473"/>
      <c r="D53" s="1473"/>
      <c r="E53" s="1502"/>
      <c r="F53" s="1473"/>
      <c r="G53" s="1473"/>
      <c r="H53" s="1473"/>
      <c r="I53" s="1473"/>
      <c r="J53" s="1473"/>
      <c r="K53" s="1473"/>
      <c r="L53" s="1653"/>
      <c r="M53" s="1480"/>
      <c r="N53" s="1480"/>
      <c r="P53" s="1475"/>
      <c r="Q53" s="1476"/>
      <c r="R53" s="1475"/>
      <c r="S53" s="1481"/>
      <c r="T53" s="1484" t="s">
        <v>253</v>
      </c>
      <c r="U53" s="1483"/>
      <c r="V53" s="1483"/>
      <c r="W53" s="1483"/>
      <c r="X53" s="1483"/>
      <c r="Y53" s="1483"/>
      <c r="Z53" s="1483"/>
      <c r="AA53" s="1483"/>
      <c r="AB53" s="1483"/>
      <c r="AC53" s="1483"/>
      <c r="AD53" s="1483"/>
      <c r="AE53" s="1483"/>
      <c r="AF53" s="1483"/>
      <c r="AG53" s="1483"/>
      <c r="AH53" s="1483"/>
      <c r="AI53" s="1483"/>
      <c r="AJ53" s="1483"/>
      <c r="AK53" s="1483"/>
      <c r="AM53" s="943"/>
      <c r="AN53" s="943" t="str">
        <f>IF(T53="","",T53)</f>
        <v>Добавить наименование тарифа</v>
      </c>
      <c r="AO53" s="943"/>
      <c r="AP53" s="943"/>
    </row>
    <row customHeight="1" ht="11.25">
      <c r="M54" s="1316"/>
      <c r="N54" s="1316"/>
      <c r="O54" s="691"/>
      <c r="P54" s="1311"/>
      <c r="Q54" s="1311"/>
      <c r="R54" s="1311"/>
      <c r="S54" s="1311"/>
      <c r="AL54" s="1311"/>
      <c r="AM54" s="1311"/>
      <c r="AN54" s="1311"/>
      <c r="AO54" s="1311"/>
      <c r="AP54" s="1311"/>
    </row>
    <row customHeight="1" ht="14.25">
      <c r="O55" s="691"/>
      <c r="S55" s="1411"/>
      <c r="T55" s="2319"/>
      <c r="U55" s="2319"/>
      <c r="V55" s="2319"/>
      <c r="W55" s="2319"/>
      <c r="X55" s="2319"/>
      <c r="Y55" s="2319"/>
      <c r="Z55" s="2319"/>
      <c r="AA55" s="2319"/>
      <c r="AB55" s="2319"/>
      <c r="AC55" s="2319"/>
      <c r="AD55" s="2319"/>
      <c r="AE55" s="2319"/>
      <c r="AF55" s="2319"/>
      <c r="AG55" s="2319"/>
      <c r="AH55" s="2319"/>
      <c r="AI55" s="2319"/>
      <c r="AJ55" s="2319"/>
      <c r="AK55" s="2319"/>
    </row>
    <row customHeight="1" ht="14.25">
      <c r="O56" s="691"/>
    </row>
    <row customHeight="1" ht="14.25">
      <c r="O57" s="691"/>
      <c r="S57" s="1411"/>
      <c r="T57" s="2319"/>
      <c r="U57" s="2319"/>
      <c r="V57" s="2319"/>
      <c r="W57" s="2319"/>
      <c r="X57" s="2319"/>
      <c r="Y57" s="2319"/>
      <c r="Z57" s="2319"/>
      <c r="AA57" s="2319"/>
      <c r="AB57" s="2319"/>
      <c r="AC57" s="2319"/>
      <c r="AD57" s="2319"/>
      <c r="AE57" s="2319"/>
      <c r="AF57" s="2319"/>
      <c r="AG57" s="2319"/>
      <c r="AH57" s="2319"/>
      <c r="AI57" s="2319"/>
      <c r="AJ57" s="2319"/>
      <c r="AK57" s="2319"/>
    </row>
  </sheetData>
  <sheetProtection formatColumns="0" formatRows="0" autoFilter="0" sort="0" insertRows="0" insertColumns="1" deleteRows="0" deleteColumns="0"/>
  <mergeCells count="101">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 ref="AK7:AK8"/>
    <mergeCell ref="AF15:AF16"/>
    <mergeCell ref="AG15:AG16"/>
    <mergeCell ref="AH15:AH16"/>
    <mergeCell ref="AI15:AI16"/>
    <mergeCell ref="Z7:Z8"/>
    <mergeCell ref="AA7:AA8"/>
    <mergeCell ref="AB7:AB8"/>
    <mergeCell ref="AF7:AF8"/>
    <mergeCell ref="AG7:AG8"/>
    <mergeCell ref="AH7:AH8"/>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46:AK47"/>
    <mergeCell ref="T55:AK55"/>
    <mergeCell ref="T57:AK57"/>
    <mergeCell ref="K46:K47"/>
    <mergeCell ref="Y46:Y47"/>
    <mergeCell ref="Z46:Z47"/>
    <mergeCell ref="AA46:AA47"/>
    <mergeCell ref="AB46:AB47"/>
    <mergeCell ref="AF46:AF47"/>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008BA16-9932-2A44-B1B9-C0ED1643887E}" mc:Ignorable="x14ac xr xr2 xr3">
  <sheetPr>
    <tabColor theme="6" tint="0.4"/>
  </sheetPr>
  <dimension ref="A1:BH68"/>
  <sheetViews>
    <sheetView topLeftCell="A1" showGridLines="0" zoomScale="90" workbookViewId="0">
      <selection activeCell="A1" sqref="A1"/>
    </sheetView>
  </sheetViews>
  <sheetFormatPr defaultColWidth="10.57421875" customHeight="1" defaultRowHeight="14.25"/>
  <cols>
    <col min="1" max="1" style="8721" width="11.57421875" hidden="1" customWidth="1"/>
    <col min="2" max="2" style="8721" width="11.00390625" hidden="1" customWidth="1"/>
    <col min="3" max="3" style="8721" width="10.57421875" hidden="1"/>
    <col min="4" max="4" style="8721" width="12.8515625" hidden="1" customWidth="1"/>
    <col min="5" max="5" style="8721" width="10.00390625" hidden="1" customWidth="1"/>
    <col min="6" max="6" style="8721" width="8.7109375" hidden="1" customWidth="1"/>
    <col min="7" max="7" style="8721" width="7.57421875" hidden="1" customWidth="1"/>
    <col min="8" max="8" style="8721" width="11.421875" hidden="1" customWidth="1"/>
    <col min="9" max="9" style="8721" width="12.00390625" hidden="1" customWidth="1"/>
    <col min="10" max="10" style="8721" width="9.8515625" hidden="1" customWidth="1"/>
    <col min="11" max="11" style="8721" width="11.421875" hidden="1" customWidth="1"/>
    <col min="12" max="12" style="9072" width="19.140625" hidden="1" customWidth="1"/>
    <col min="13" max="14" style="8803" width="12.28125" hidden="1" customWidth="1"/>
    <col min="15" max="15" style="8803" width="23.421875" hidden="1" customWidth="1"/>
    <col min="16" max="16" style="8803" width="3.7109375" hidden="1" customWidth="1"/>
    <col min="17" max="17" style="8976" width="3.7109375" hidden="1" customWidth="1"/>
    <col min="18" max="18" style="8805" width="3.7109375" customWidth="1"/>
    <col min="19" max="19" style="8806" width="12.7109375" customWidth="1"/>
    <col min="20" max="20" style="8807" width="32.00390625" customWidth="1"/>
    <col min="21" max="21" style="8807" width="0.140625" customWidth="1"/>
    <col min="22" max="25" style="8807" width="21.7109375" hidden="1" customWidth="1"/>
    <col min="26" max="26" style="8807" width="11.7109375" hidden="1" customWidth="1"/>
    <col min="27" max="27" style="8807" width="3.7109375" hidden="1" customWidth="1"/>
    <col min="28" max="28" style="8807" width="11.7109375" hidden="1" customWidth="1"/>
    <col min="29" max="29" style="8807" width="8.57421875" hidden="1" customWidth="1"/>
    <col min="30" max="32" style="8807" width="3.7109375" customWidth="1"/>
    <col min="33" max="33" style="8807" width="24.7109375" customWidth="1"/>
    <col min="34" max="36" style="8807" width="3.7109375" customWidth="1"/>
    <col min="37" max="37" style="8807" width="24.7109375" customWidth="1"/>
    <col min="38" max="40" style="8807" width="3.7109375" customWidth="1"/>
    <col min="41" max="41" style="8807" width="18.8515625" customWidth="1"/>
    <col min="42" max="44" style="8807" width="3.7109375" customWidth="1"/>
    <col min="45" max="45" style="8807" width="18.8515625" customWidth="1"/>
    <col min="46" max="49" style="8807" width="21.7109375" customWidth="1"/>
    <col min="50" max="50" style="8807" width="11.7109375" customWidth="1"/>
    <col min="51" max="51" style="8807" width="3.7109375" customWidth="1"/>
    <col min="52" max="52" style="8807" width="11.7109375" customWidth="1"/>
    <col min="53" max="53" style="8807" width="8.57421875" hidden="1" customWidth="1"/>
    <col min="54" max="54" style="8807" width="4.7109375" customWidth="1"/>
    <col min="55" max="55" style="8807" width="115.7109375" customWidth="1"/>
    <col min="56" max="57" style="8794" width="10.57421875"/>
    <col min="58" max="58" style="8794" width="11.140625" customWidth="1"/>
    <col min="59" max="60" style="8794" width="10.57421875"/>
  </cols>
  <sheetData>
    <row customHeight="1" ht="14.25" hidden="1">
      <c r="W1" s="481"/>
      <c r="Y1" s="481"/>
      <c r="Z1" s="481"/>
      <c r="AW1" s="481"/>
      <c r="AX1" s="481"/>
    </row>
    <row customHeight="1" ht="21" hidden="1">
      <c r="A2" s="1522"/>
      <c r="B2" s="1522"/>
      <c r="C2" s="1522"/>
      <c r="D2" s="1522"/>
      <c r="E2" s="2320">
        <v>1</v>
      </c>
      <c r="F2" s="1522"/>
      <c r="G2" s="1522"/>
      <c r="H2" s="1522"/>
      <c r="I2" s="1522"/>
      <c r="J2" s="1522"/>
      <c r="K2" s="1522"/>
      <c r="L2" s="1523"/>
      <c r="M2" s="1524"/>
      <c r="N2" s="1524"/>
      <c r="O2" s="1524"/>
      <c r="P2" s="1568"/>
      <c r="Q2" s="1027"/>
      <c r="R2" s="509"/>
      <c r="S2" s="1652">
        <f>INDEX(PT_DIFFERENTIATION_NUM_NTAR,MATCH(A2,PT_DIFFERENTIATION_NTAR_ID,0))</f>
      </c>
      <c r="T2" s="452" t="s">
        <v>120</v>
      </c>
      <c r="U2" s="454"/>
      <c r="V2" s="2315"/>
      <c r="W2" s="2315"/>
      <c r="X2" s="2315"/>
      <c r="Y2" s="2315"/>
      <c r="Z2" s="2315"/>
      <c r="AA2" s="2315"/>
      <c r="AB2" s="2315"/>
      <c r="AC2" s="2316"/>
      <c r="AD2" s="2314">
        <f>INDEX(PT_DIFFERENTIATION_NTAR,MATCH(A2,PT_DIFFERENTIATION_NTAR_ID,0))</f>
      </c>
      <c r="AE2" s="2315"/>
      <c r="AF2" s="2315"/>
      <c r="AG2" s="2315"/>
      <c r="AH2" s="2315"/>
      <c r="AI2" s="2315"/>
      <c r="AJ2" s="2315"/>
      <c r="AK2" s="2315"/>
      <c r="AL2" s="2315"/>
      <c r="AM2" s="2315"/>
      <c r="AN2" s="2315"/>
      <c r="AO2" s="2315"/>
      <c r="AP2" s="2315"/>
      <c r="AQ2" s="2315"/>
      <c r="AR2" s="2315"/>
      <c r="AS2" s="2315"/>
      <c r="AT2" s="2315"/>
      <c r="AU2" s="2315"/>
      <c r="AV2" s="2315"/>
      <c r="AW2" s="2315"/>
      <c r="AX2" s="2315"/>
      <c r="AY2" s="2315"/>
      <c r="AZ2" s="2315"/>
      <c r="BA2" s="2315"/>
      <c r="BB2" s="2316"/>
      <c r="BC2" s="1416"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BE2" s="654"/>
      <c r="BF2" s="654" t="str">
        <f>IF(T2="","",T2)</f>
        <v>Наименование тарифа</v>
      </c>
      <c r="BG2" s="654"/>
      <c r="BH2" s="654"/>
    </row>
    <row customHeight="1" ht="21" hidden="1">
      <c r="A3" s="1522"/>
      <c r="B3" s="1522"/>
      <c r="C3" s="1522"/>
      <c r="D3" s="1522"/>
      <c r="E3" s="2321"/>
      <c r="F3" s="2320">
        <v>1</v>
      </c>
      <c r="G3" s="1522"/>
      <c r="H3" s="1522"/>
      <c r="I3" s="1522"/>
      <c r="J3" s="1522"/>
      <c r="K3" s="1522"/>
      <c r="L3" s="1523"/>
      <c r="M3" s="1524"/>
      <c r="N3" s="1524"/>
      <c r="O3" s="1524"/>
      <c r="P3" s="1569"/>
      <c r="Q3" s="1570"/>
      <c r="R3" s="507"/>
      <c r="S3" s="1652">
        <f>INDEX(PT_DIFFERENTIATION_NUM_TER,MATCH(B3,PT_DIFFERENTIATION_TER_ID,0))</f>
      </c>
      <c r="T3" s="462" t="s">
        <v>397</v>
      </c>
      <c r="U3" s="454"/>
      <c r="V3" s="2315"/>
      <c r="W3" s="2315"/>
      <c r="X3" s="2315"/>
      <c r="Y3" s="2315"/>
      <c r="Z3" s="2315"/>
      <c r="AA3" s="2315"/>
      <c r="AB3" s="2315"/>
      <c r="AC3" s="2316"/>
      <c r="AD3" s="2314">
        <f>INDEX(PT_DIFFERENTIATION_TER,MATCH(B3,PT_DIFFERENTIATION_TER_ID,0))</f>
      </c>
      <c r="AE3" s="2315"/>
      <c r="AF3" s="2315"/>
      <c r="AG3" s="2315"/>
      <c r="AH3" s="2315"/>
      <c r="AI3" s="2315"/>
      <c r="AJ3" s="2315"/>
      <c r="AK3" s="2315"/>
      <c r="AL3" s="2315"/>
      <c r="AM3" s="2315"/>
      <c r="AN3" s="2315"/>
      <c r="AO3" s="2315"/>
      <c r="AP3" s="2315"/>
      <c r="AQ3" s="2315"/>
      <c r="AR3" s="2315"/>
      <c r="AS3" s="2315"/>
      <c r="AT3" s="2315"/>
      <c r="AU3" s="2315"/>
      <c r="AV3" s="2315"/>
      <c r="AW3" s="2315"/>
      <c r="AX3" s="2315"/>
      <c r="AY3" s="2315"/>
      <c r="AZ3" s="2315"/>
      <c r="BA3" s="2315"/>
      <c r="BB3" s="2316"/>
      <c r="BC3" s="1416" t="s">
        <v>398</v>
      </c>
      <c r="BE3" s="654"/>
      <c r="BF3" s="654" t="str">
        <f>IF(T3="","",T3)</f>
        <v>Территория действия тарифа</v>
      </c>
      <c r="BG3" s="654"/>
      <c r="BH3" s="654"/>
    </row>
    <row customHeight="1" ht="33.75" hidden="1">
      <c r="A4" s="1522"/>
      <c r="B4" s="1522"/>
      <c r="C4" s="1522"/>
      <c r="D4" s="1522"/>
      <c r="E4" s="2321"/>
      <c r="F4" s="2321"/>
      <c r="G4" s="2320">
        <v>1</v>
      </c>
      <c r="H4" s="1522"/>
      <c r="I4" s="1522"/>
      <c r="J4" s="1522"/>
      <c r="K4" s="1522"/>
      <c r="L4" s="1523"/>
      <c r="M4" s="1524"/>
      <c r="N4" s="1524"/>
      <c r="O4" s="1524"/>
      <c r="P4" s="1571"/>
      <c r="Q4" s="1570"/>
      <c r="R4" s="507"/>
      <c r="S4" s="1652">
        <f>INDEX(PT_DIFFERENTIATION_NUM_CS,MATCH(C4,PT_DIFFERENTIATION_CS_ID,0))</f>
      </c>
      <c r="T4" s="463" t="s">
        <v>514</v>
      </c>
      <c r="U4" s="454"/>
      <c r="V4" s="2315"/>
      <c r="W4" s="2315"/>
      <c r="X4" s="2315"/>
      <c r="Y4" s="2315"/>
      <c r="Z4" s="2315"/>
      <c r="AA4" s="2315"/>
      <c r="AB4" s="2315"/>
      <c r="AC4" s="2316"/>
      <c r="AD4" s="2314">
        <f>INDEX(PT_DIFFERENTIATION_CS,MATCH(C4,PT_DIFFERENTIATION_CS_ID,0))</f>
      </c>
      <c r="AE4" s="2315"/>
      <c r="AF4" s="2315"/>
      <c r="AG4" s="2315"/>
      <c r="AH4" s="2315"/>
      <c r="AI4" s="2315"/>
      <c r="AJ4" s="2315"/>
      <c r="AK4" s="2315"/>
      <c r="AL4" s="2315"/>
      <c r="AM4" s="2315"/>
      <c r="AN4" s="2315"/>
      <c r="AO4" s="2315"/>
      <c r="AP4" s="2315"/>
      <c r="AQ4" s="2315"/>
      <c r="AR4" s="2315"/>
      <c r="AS4" s="2315"/>
      <c r="AT4" s="2315"/>
      <c r="AU4" s="2315"/>
      <c r="AV4" s="2315"/>
      <c r="AW4" s="2315"/>
      <c r="AX4" s="2315"/>
      <c r="AY4" s="2315"/>
      <c r="AZ4" s="2315"/>
      <c r="BA4" s="2315"/>
      <c r="BB4" s="2316"/>
      <c r="BC4" s="1416" t="s">
        <v>515</v>
      </c>
      <c r="BE4" s="654"/>
      <c r="BF4" s="654" t="str">
        <f>IF(T4="","",T4)</f>
        <v>Наименование централизованной системы водоотведения</v>
      </c>
      <c r="BG4" s="654"/>
      <c r="BH4" s="654"/>
    </row>
    <row s="8794" customFormat="1" customHeight="1" ht="14.25" hidden="1">
      <c r="A5" s="1502"/>
      <c r="B5" s="1502"/>
      <c r="C5" s="1502"/>
      <c r="D5" s="1502"/>
      <c r="E5" s="2321"/>
      <c r="F5" s="2321"/>
      <c r="G5" s="2321"/>
      <c r="H5" s="2320">
        <v>1</v>
      </c>
      <c r="I5" s="1502"/>
      <c r="J5" s="1502"/>
      <c r="K5" s="1502"/>
      <c r="L5" s="1505"/>
      <c r="M5" s="1474"/>
      <c r="N5" s="1474"/>
      <c r="O5" s="1474"/>
      <c r="P5" s="1656"/>
      <c r="Q5" s="1657"/>
      <c r="R5" s="511"/>
      <c r="S5" s="1197"/>
      <c r="T5" s="1658"/>
      <c r="U5" s="1543"/>
      <c r="V5" s="2363"/>
      <c r="W5" s="2363"/>
      <c r="X5" s="2363"/>
      <c r="Y5" s="2363"/>
      <c r="Z5" s="2363"/>
      <c r="AA5" s="2363"/>
      <c r="AB5" s="2363"/>
      <c r="AC5" s="2364"/>
      <c r="AD5" s="2362"/>
      <c r="AE5" s="2363"/>
      <c r="AF5" s="2363"/>
      <c r="AG5" s="2363"/>
      <c r="AH5" s="2363"/>
      <c r="AI5" s="2363"/>
      <c r="AJ5" s="2363"/>
      <c r="AK5" s="2363"/>
      <c r="AL5" s="2363"/>
      <c r="AM5" s="2363"/>
      <c r="AN5" s="2363"/>
      <c r="AO5" s="2363"/>
      <c r="AP5" s="2363"/>
      <c r="AQ5" s="2363"/>
      <c r="AR5" s="2363"/>
      <c r="AS5" s="2363"/>
      <c r="AT5" s="2363"/>
      <c r="AU5" s="2363"/>
      <c r="AV5" s="2363"/>
      <c r="AW5" s="2363"/>
      <c r="AX5" s="2363"/>
      <c r="AY5" s="2363"/>
      <c r="AZ5" s="2363"/>
      <c r="BA5" s="2363"/>
      <c r="BB5" s="2364"/>
      <c r="BC5" s="1544" t="s">
        <v>402</v>
      </c>
      <c r="BE5" s="654"/>
      <c r="BF5" s="654" t="str">
        <f>IF(T5="","",T5)</f>
        <v/>
      </c>
      <c r="BG5" s="654"/>
      <c r="BH5" s="654"/>
    </row>
    <row s="8794" customFormat="1" customHeight="1" ht="14.25" hidden="1">
      <c r="A6" s="1502"/>
      <c r="B6" s="1502"/>
      <c r="C6" s="1502"/>
      <c r="D6" s="1502"/>
      <c r="E6" s="2321"/>
      <c r="F6" s="2321"/>
      <c r="G6" s="2321"/>
      <c r="H6" s="2321"/>
      <c r="I6" s="2322" t="str">
        <f>S5&amp;".1"</f>
        <v>.1</v>
      </c>
      <c r="J6" s="1502"/>
      <c r="K6" s="1502"/>
      <c r="L6" s="1505" t="s">
        <v>403</v>
      </c>
      <c r="M6" s="664"/>
      <c r="N6" s="664"/>
      <c r="O6" s="664"/>
      <c r="P6" s="2324">
        <v>1</v>
      </c>
      <c r="Q6" s="1640"/>
      <c r="R6" s="510"/>
      <c r="S6" s="1197"/>
      <c r="T6" s="1542"/>
      <c r="U6" s="1543"/>
      <c r="V6" s="2363"/>
      <c r="W6" s="2363"/>
      <c r="X6" s="2363"/>
      <c r="Y6" s="2363"/>
      <c r="Z6" s="2363"/>
      <c r="AA6" s="2363"/>
      <c r="AB6" s="2363"/>
      <c r="AC6" s="2364"/>
      <c r="AD6" s="2362"/>
      <c r="AE6" s="2363"/>
      <c r="AF6" s="2363"/>
      <c r="AG6" s="2363"/>
      <c r="AH6" s="2363"/>
      <c r="AI6" s="2363"/>
      <c r="AJ6" s="2363"/>
      <c r="AK6" s="2363"/>
      <c r="AL6" s="2363"/>
      <c r="AM6" s="2363"/>
      <c r="AN6" s="2363"/>
      <c r="AO6" s="2363"/>
      <c r="AP6" s="2363"/>
      <c r="AQ6" s="2363"/>
      <c r="AR6" s="2363"/>
      <c r="AS6" s="2363"/>
      <c r="AT6" s="2363"/>
      <c r="AU6" s="2363"/>
      <c r="AV6" s="2363"/>
      <c r="AW6" s="2363"/>
      <c r="AX6" s="2363"/>
      <c r="AY6" s="2363"/>
      <c r="AZ6" s="2363"/>
      <c r="BA6" s="2363"/>
      <c r="BB6" s="2364"/>
      <c r="BC6" s="1544"/>
      <c r="BE6" s="654"/>
      <c r="BF6" s="654" t="str">
        <f>IF(T6="","",T6)</f>
        <v/>
      </c>
      <c r="BG6" s="654"/>
      <c r="BH6" s="654"/>
    </row>
    <row s="8794" customFormat="1" customHeight="1" ht="14.25" hidden="1">
      <c r="A7" s="1502"/>
      <c r="B7" s="1502"/>
      <c r="C7" s="1502"/>
      <c r="D7" s="1502"/>
      <c r="E7" s="2321"/>
      <c r="F7" s="2321"/>
      <c r="G7" s="2321"/>
      <c r="H7" s="2321"/>
      <c r="I7" s="2323"/>
      <c r="J7" s="2322" t="str">
        <f>S5&amp;".1"</f>
        <v>.1</v>
      </c>
      <c r="K7" s="1502"/>
      <c r="L7" s="1505"/>
      <c r="M7" s="664"/>
      <c r="N7" s="664"/>
      <c r="O7" s="664"/>
      <c r="P7" s="2324"/>
      <c r="Q7" s="2324">
        <v>1</v>
      </c>
      <c r="R7" s="511"/>
      <c r="S7" s="1197"/>
      <c r="T7" s="1558"/>
      <c r="U7" s="1543"/>
      <c r="V7" s="2363"/>
      <c r="W7" s="2363"/>
      <c r="X7" s="2363"/>
      <c r="Y7" s="2363"/>
      <c r="Z7" s="2363"/>
      <c r="AA7" s="2363"/>
      <c r="AB7" s="2363"/>
      <c r="AC7" s="2364"/>
      <c r="AD7" s="2362"/>
      <c r="AE7" s="2363"/>
      <c r="AF7" s="2363"/>
      <c r="AG7" s="2363"/>
      <c r="AH7" s="2363"/>
      <c r="AI7" s="2363"/>
      <c r="AJ7" s="2363"/>
      <c r="AK7" s="2363"/>
      <c r="AL7" s="2363"/>
      <c r="AM7" s="2363"/>
      <c r="AN7" s="2363"/>
      <c r="AO7" s="2363"/>
      <c r="AP7" s="2363"/>
      <c r="AQ7" s="2363"/>
      <c r="AR7" s="2363"/>
      <c r="AS7" s="2363"/>
      <c r="AT7" s="2363"/>
      <c r="AU7" s="2363"/>
      <c r="AV7" s="2363"/>
      <c r="AW7" s="2363"/>
      <c r="AX7" s="2363"/>
      <c r="AY7" s="2363"/>
      <c r="AZ7" s="2363"/>
      <c r="BA7" s="2363"/>
      <c r="BB7" s="2364"/>
      <c r="BC7" s="1544"/>
      <c r="BE7" s="654"/>
      <c r="BF7" s="654" t="str">
        <f>IF(T7="","",T7)</f>
        <v/>
      </c>
      <c r="BG7" s="654"/>
      <c r="BH7" s="654"/>
    </row>
    <row customHeight="1" ht="11.25" hidden="1">
      <c r="A8" s="1522"/>
      <c r="B8" s="1522"/>
      <c r="C8" s="1522"/>
      <c r="D8" s="1522"/>
      <c r="E8" s="2321"/>
      <c r="F8" s="2321"/>
      <c r="G8" s="2321"/>
      <c r="H8" s="2321"/>
      <c r="I8" s="2323"/>
      <c r="J8" s="2323"/>
      <c r="K8" s="2322">
        <f>S4&amp;".1"</f>
      </c>
      <c r="L8" s="1523"/>
      <c r="P8" s="2324"/>
      <c r="Q8" s="2324"/>
      <c r="R8" s="2400">
        <v>1</v>
      </c>
      <c r="S8" s="2397">
        <f>$K8</f>
      </c>
      <c r="T8" s="2417"/>
      <c r="U8" s="454"/>
      <c r="V8" s="905"/>
      <c r="W8" s="1415"/>
      <c r="X8" s="905"/>
      <c r="Y8" s="1415"/>
      <c r="Z8" s="1893"/>
      <c r="AA8" s="1628" t="s">
        <v>64</v>
      </c>
      <c r="AB8" s="1893"/>
      <c r="AC8" s="1628" t="s">
        <v>64</v>
      </c>
      <c r="AD8" s="2258" t="s">
        <v>64</v>
      </c>
      <c r="AE8" s="2393"/>
      <c r="AF8" s="2271">
        <v>1</v>
      </c>
      <c r="AG8" s="2416"/>
      <c r="AH8" s="2195" t="s">
        <v>64</v>
      </c>
      <c r="AI8" s="2393"/>
      <c r="AJ8" s="2271">
        <v>1</v>
      </c>
      <c r="AK8" s="2415" t="s">
        <v>24</v>
      </c>
      <c r="AL8" s="2195" t="s">
        <v>64</v>
      </c>
      <c r="AM8" s="2243"/>
      <c r="AN8" s="2271">
        <v>1</v>
      </c>
      <c r="AO8" s="2420"/>
      <c r="AP8" s="2421" t="s">
        <v>64</v>
      </c>
      <c r="AQ8" s="465"/>
      <c r="AR8" s="1645">
        <v>1</v>
      </c>
      <c r="AS8" s="1651" t="s">
        <v>24</v>
      </c>
      <c r="AT8" s="905"/>
      <c r="AU8" s="1415"/>
      <c r="AV8" s="905"/>
      <c r="AW8" s="1415"/>
      <c r="AX8" s="1893"/>
      <c r="AY8" s="1628" t="s">
        <v>64</v>
      </c>
      <c r="AZ8" s="1893"/>
      <c r="BA8" s="1628" t="s">
        <v>64</v>
      </c>
      <c r="BB8" s="1507"/>
      <c r="BC8" s="2350" t="s">
        <v>499</v>
      </c>
      <c r="BE8" s="654"/>
      <c r="BF8" s="654" t="str">
        <f>IF(T8="","",T8)</f>
        <v/>
      </c>
      <c r="BG8" s="654"/>
      <c r="BH8" s="654"/>
    </row>
    <row customHeight="1" ht="11.25" hidden="1">
      <c r="A9" s="1522"/>
      <c r="B9" s="1522"/>
      <c r="C9" s="1522"/>
      <c r="D9" s="1522"/>
      <c r="E9" s="2321"/>
      <c r="F9" s="2321"/>
      <c r="G9" s="2321"/>
      <c r="H9" s="2321"/>
      <c r="I9" s="2323"/>
      <c r="J9" s="2323"/>
      <c r="K9" s="2322"/>
      <c r="L9" s="1523"/>
      <c r="P9" s="2324"/>
      <c r="Q9" s="2324"/>
      <c r="R9" s="2400"/>
      <c r="S9" s="2398"/>
      <c r="T9" s="2418"/>
      <c r="U9" s="454"/>
      <c r="V9" s="1552"/>
      <c r="W9" s="1655"/>
      <c r="X9" s="1552"/>
      <c r="Y9" s="1655"/>
      <c r="Z9" s="1552"/>
      <c r="AA9" s="1552"/>
      <c r="AB9" s="1552"/>
      <c r="AC9" s="1552"/>
      <c r="AD9" s="2259"/>
      <c r="AE9" s="2393"/>
      <c r="AF9" s="2271"/>
      <c r="AG9" s="2416"/>
      <c r="AH9" s="2195"/>
      <c r="AI9" s="2393"/>
      <c r="AJ9" s="2271"/>
      <c r="AK9" s="2415"/>
      <c r="AL9" s="2195"/>
      <c r="AM9" s="2251"/>
      <c r="AN9" s="2271"/>
      <c r="AO9" s="2420"/>
      <c r="AP9" s="2422"/>
      <c r="AQ9" s="470"/>
      <c r="AR9" s="570"/>
      <c r="AS9" s="570" t="s">
        <v>500</v>
      </c>
      <c r="AT9" s="1552"/>
      <c r="AU9" s="1655"/>
      <c r="AV9" s="1552"/>
      <c r="AW9" s="1655"/>
      <c r="AX9" s="1552"/>
      <c r="AY9" s="1552"/>
      <c r="AZ9" s="1552"/>
      <c r="BA9" s="1552"/>
      <c r="BB9" s="1556"/>
      <c r="BC9" s="2351"/>
      <c r="BE9" s="654"/>
      <c r="BF9" s="654"/>
      <c r="BG9" s="654"/>
      <c r="BH9" s="654"/>
    </row>
    <row customHeight="1" ht="11.25" hidden="1">
      <c r="A10" s="1522"/>
      <c r="B10" s="1522"/>
      <c r="C10" s="1522"/>
      <c r="D10" s="1522"/>
      <c r="E10" s="2321"/>
      <c r="F10" s="2321"/>
      <c r="G10" s="2321"/>
      <c r="H10" s="2321"/>
      <c r="I10" s="2323"/>
      <c r="J10" s="2323"/>
      <c r="K10" s="2322"/>
      <c r="L10" s="1523"/>
      <c r="P10" s="2324"/>
      <c r="Q10" s="2324"/>
      <c r="R10" s="2400"/>
      <c r="S10" s="2398"/>
      <c r="T10" s="2418"/>
      <c r="U10" s="454"/>
      <c r="V10" s="1552"/>
      <c r="W10" s="1655"/>
      <c r="X10" s="1552"/>
      <c r="Y10" s="1655"/>
      <c r="Z10" s="1552"/>
      <c r="AA10" s="1552"/>
      <c r="AB10" s="1552"/>
      <c r="AC10" s="1552"/>
      <c r="AD10" s="2259"/>
      <c r="AE10" s="2393"/>
      <c r="AF10" s="2271"/>
      <c r="AG10" s="2416"/>
      <c r="AH10" s="2195"/>
      <c r="AI10" s="2393"/>
      <c r="AJ10" s="2271"/>
      <c r="AK10" s="2415"/>
      <c r="AL10" s="2195"/>
      <c r="AM10" s="470"/>
      <c r="AN10" s="1659"/>
      <c r="AO10" s="1659" t="s">
        <v>520</v>
      </c>
      <c r="AP10" s="570"/>
      <c r="AQ10" s="570"/>
      <c r="AR10" s="570"/>
      <c r="AS10" s="1552"/>
      <c r="AT10" s="1552"/>
      <c r="AU10" s="1655"/>
      <c r="AV10" s="1552"/>
      <c r="AW10" s="1655"/>
      <c r="AX10" s="1552"/>
      <c r="AY10" s="1552"/>
      <c r="AZ10" s="1552"/>
      <c r="BA10" s="1552"/>
      <c r="BB10" s="1556"/>
      <c r="BC10" s="2351"/>
      <c r="BE10" s="654"/>
      <c r="BF10" s="654"/>
      <c r="BG10" s="654"/>
      <c r="BH10" s="654"/>
    </row>
    <row customHeight="1" ht="11.25" hidden="1">
      <c r="A11" s="1522"/>
      <c r="B11" s="1522"/>
      <c r="C11" s="1522"/>
      <c r="D11" s="1522"/>
      <c r="E11" s="2321"/>
      <c r="F11" s="2321"/>
      <c r="G11" s="2321"/>
      <c r="H11" s="2321"/>
      <c r="I11" s="2323"/>
      <c r="J11" s="2323"/>
      <c r="K11" s="2322"/>
      <c r="L11" s="1523"/>
      <c r="P11" s="2324"/>
      <c r="Q11" s="2324"/>
      <c r="R11" s="2400"/>
      <c r="S11" s="2398"/>
      <c r="T11" s="2418"/>
      <c r="U11" s="454"/>
      <c r="V11" s="1552"/>
      <c r="W11" s="1655"/>
      <c r="X11" s="1552"/>
      <c r="Y11" s="1655"/>
      <c r="Z11" s="1552"/>
      <c r="AA11" s="1552"/>
      <c r="AB11" s="1552"/>
      <c r="AC11" s="1552"/>
      <c r="AD11" s="2259"/>
      <c r="AE11" s="2393"/>
      <c r="AF11" s="2271"/>
      <c r="AG11" s="2416"/>
      <c r="AH11" s="2195"/>
      <c r="AI11" s="448"/>
      <c r="AJ11" s="569"/>
      <c r="AK11" s="467" t="s">
        <v>521</v>
      </c>
      <c r="AL11" s="1552"/>
      <c r="AM11" s="1552"/>
      <c r="AN11" s="1552"/>
      <c r="AO11" s="1552"/>
      <c r="AP11" s="1552"/>
      <c r="AQ11" s="1552"/>
      <c r="AR11" s="1552"/>
      <c r="AS11" s="1552"/>
      <c r="AT11" s="1552"/>
      <c r="AU11" s="1655"/>
      <c r="AV11" s="1552"/>
      <c r="AW11" s="1655"/>
      <c r="AX11" s="1552"/>
      <c r="AY11" s="1552"/>
      <c r="AZ11" s="1552"/>
      <c r="BA11" s="1552"/>
      <c r="BB11" s="1556"/>
      <c r="BC11" s="2351"/>
      <c r="BE11" s="654"/>
      <c r="BF11" s="654"/>
      <c r="BG11" s="654"/>
      <c r="BH11" s="654"/>
    </row>
    <row customHeight="1" ht="11.25" hidden="1">
      <c r="A12" s="1522"/>
      <c r="B12" s="1522"/>
      <c r="C12" s="1522"/>
      <c r="D12" s="1522"/>
      <c r="E12" s="2321"/>
      <c r="F12" s="2321"/>
      <c r="G12" s="2321"/>
      <c r="H12" s="2321"/>
      <c r="I12" s="2323"/>
      <c r="J12" s="2323"/>
      <c r="K12" s="2322"/>
      <c r="L12" s="1523"/>
      <c r="P12" s="2324"/>
      <c r="Q12" s="2324"/>
      <c r="R12" s="2400"/>
      <c r="S12" s="2399"/>
      <c r="T12" s="2419"/>
      <c r="U12" s="454"/>
      <c r="V12" s="1552"/>
      <c r="W12" s="1553" t="str">
        <f>Z8&amp;"-"&amp;AB8</f>
        <v>-</v>
      </c>
      <c r="X12" s="1552"/>
      <c r="Y12" s="1553" t="str">
        <f>AB8&amp;"-"&amp;AD8</f>
        <v>-да</v>
      </c>
      <c r="Z12" s="1552"/>
      <c r="AA12" s="1552"/>
      <c r="AB12" s="1552"/>
      <c r="AC12" s="1552"/>
      <c r="AD12" s="2200"/>
      <c r="AE12" s="466"/>
      <c r="AF12" s="468"/>
      <c r="AG12" s="570" t="s">
        <v>503</v>
      </c>
      <c r="AH12" s="1552"/>
      <c r="AI12" s="1552"/>
      <c r="AJ12" s="1552"/>
      <c r="AK12" s="1552"/>
      <c r="AL12" s="1552"/>
      <c r="AM12" s="1552"/>
      <c r="AN12" s="1552"/>
      <c r="AO12" s="1552"/>
      <c r="AP12" s="1552"/>
      <c r="AQ12" s="1552"/>
      <c r="AR12" s="1552"/>
      <c r="AS12" s="1552"/>
      <c r="AT12" s="1552"/>
      <c r="AU12" s="1553" t="str">
        <f>AX8&amp;"-"&amp;AZ8</f>
        <v>-</v>
      </c>
      <c r="AV12" s="1552"/>
      <c r="AW12" s="1553" t="str">
        <f>AZ8&amp;"-"&amp;BB8</f>
        <v>-</v>
      </c>
      <c r="AX12" s="1552"/>
      <c r="AY12" s="1552"/>
      <c r="AZ12" s="1552"/>
      <c r="BA12" s="1552"/>
      <c r="BB12" s="1555" t="str">
        <f>BE8&amp;"-"&amp;BG8</f>
        <v>-</v>
      </c>
      <c r="BC12" s="2351"/>
      <c r="BE12" s="654"/>
      <c r="BF12" s="654" t="str">
        <f>IF(T12="","",T12)</f>
        <v/>
      </c>
      <c r="BG12" s="654"/>
      <c r="BH12" s="654"/>
    </row>
    <row customHeight="1" ht="11.25" hidden="1">
      <c r="A13" s="1522"/>
      <c r="B13" s="1522"/>
      <c r="C13" s="1522"/>
      <c r="D13" s="1522"/>
      <c r="E13" s="2321"/>
      <c r="F13" s="2321"/>
      <c r="G13" s="2321"/>
      <c r="H13" s="2321"/>
      <c r="I13" s="2323"/>
      <c r="J13" s="2322"/>
      <c r="K13" s="1522"/>
      <c r="L13" s="1523"/>
      <c r="P13" s="2324"/>
      <c r="Q13" s="2324"/>
      <c r="R13" s="510"/>
      <c r="S13" s="1437"/>
      <c r="T13" s="441" t="s">
        <v>465</v>
      </c>
      <c r="U13" s="521"/>
      <c r="V13" s="521"/>
      <c r="W13" s="521"/>
      <c r="X13" s="521"/>
      <c r="Y13" s="521"/>
      <c r="Z13" s="521"/>
      <c r="AA13" s="521"/>
      <c r="AB13" s="521"/>
      <c r="AC13" s="521"/>
      <c r="AD13" s="1664"/>
      <c r="AE13" s="521"/>
      <c r="AF13" s="521"/>
      <c r="AG13" s="521"/>
      <c r="AH13" s="521"/>
      <c r="AI13" s="521"/>
      <c r="AJ13" s="521"/>
      <c r="AK13" s="521"/>
      <c r="AL13" s="521"/>
      <c r="AM13" s="521"/>
      <c r="AN13" s="521"/>
      <c r="AO13" s="521"/>
      <c r="AP13" s="521"/>
      <c r="AQ13" s="521"/>
      <c r="AR13" s="521"/>
      <c r="AS13" s="521"/>
      <c r="AT13" s="521"/>
      <c r="AU13" s="521"/>
      <c r="AV13" s="521"/>
      <c r="AW13" s="521"/>
      <c r="AX13" s="521"/>
      <c r="AY13" s="521"/>
      <c r="AZ13" s="521"/>
      <c r="BA13" s="521"/>
      <c r="BB13" s="478"/>
      <c r="BC13" s="2352"/>
      <c r="BE13" s="654"/>
      <c r="BF13" s="654" t="str">
        <f>IF(T13="","",T13)</f>
        <v>Добавить строку</v>
      </c>
      <c r="BG13" s="654"/>
      <c r="BH13" s="654"/>
    </row>
    <row s="8794" customFormat="1" customHeight="1" ht="14.25" hidden="1">
      <c r="A14" s="1502"/>
      <c r="B14" s="1502"/>
      <c r="C14" s="1502"/>
      <c r="D14" s="1502"/>
      <c r="E14" s="2321"/>
      <c r="F14" s="2321"/>
      <c r="G14" s="2321"/>
      <c r="H14" s="2321"/>
      <c r="I14" s="2322"/>
      <c r="J14" s="1502"/>
      <c r="K14" s="1502"/>
      <c r="L14" s="1505"/>
      <c r="M14" s="664"/>
      <c r="N14" s="664"/>
      <c r="O14" s="664"/>
      <c r="P14" s="2324"/>
      <c r="Q14" s="1640"/>
      <c r="R14" s="510"/>
      <c r="S14" s="1545"/>
      <c r="T14" s="1546"/>
      <c r="U14" s="1547"/>
      <c r="V14" s="1547"/>
      <c r="W14" s="1547"/>
      <c r="X14" s="1547"/>
      <c r="Y14" s="1547"/>
      <c r="Z14" s="1547"/>
      <c r="AA14" s="1547"/>
      <c r="AB14" s="1547"/>
      <c r="AC14" s="1547"/>
      <c r="AD14" s="1547"/>
      <c r="AE14" s="1547"/>
      <c r="AF14" s="1547"/>
      <c r="AG14" s="1547"/>
      <c r="AH14" s="1547"/>
      <c r="AI14" s="1547"/>
      <c r="AJ14" s="1547"/>
      <c r="AK14" s="1547"/>
      <c r="AL14" s="1547"/>
      <c r="AM14" s="1547"/>
      <c r="AN14" s="1547"/>
      <c r="AO14" s="1547"/>
      <c r="AP14" s="1547"/>
      <c r="AQ14" s="1547"/>
      <c r="AR14" s="1547"/>
      <c r="AS14" s="1547"/>
      <c r="AT14" s="1547"/>
      <c r="AU14" s="1547"/>
      <c r="AV14" s="1547"/>
      <c r="AW14" s="1547"/>
      <c r="AX14" s="1547"/>
      <c r="AY14" s="1547"/>
      <c r="AZ14" s="1547"/>
      <c r="BA14" s="1547"/>
      <c r="BB14" s="1547"/>
      <c r="BC14" s="1548"/>
      <c r="BE14" s="654"/>
      <c r="BF14" s="654" t="str">
        <f>IF(T14="","",T14)</f>
        <v/>
      </c>
      <c r="BG14" s="654"/>
      <c r="BH14" s="654"/>
    </row>
    <row s="8794" customFormat="1" customHeight="1" ht="14.25" hidden="1">
      <c r="A15" s="1502"/>
      <c r="B15" s="1502"/>
      <c r="C15" s="1502"/>
      <c r="D15" s="1502"/>
      <c r="E15" s="2321"/>
      <c r="F15" s="2321"/>
      <c r="G15" s="2321"/>
      <c r="H15" s="2320"/>
      <c r="I15" s="1502"/>
      <c r="J15" s="1502"/>
      <c r="K15" s="1502"/>
      <c r="L15" s="1505"/>
      <c r="M15" s="1474"/>
      <c r="N15" s="1474"/>
      <c r="O15" s="672"/>
      <c r="P15" s="534"/>
      <c r="Q15" s="1503"/>
      <c r="R15" s="1560"/>
      <c r="S15" s="1545"/>
      <c r="T15" s="1546"/>
      <c r="U15" s="1547"/>
      <c r="V15" s="1547"/>
      <c r="W15" s="1547"/>
      <c r="X15" s="1547"/>
      <c r="Y15" s="1547"/>
      <c r="Z15" s="1547"/>
      <c r="AA15" s="1547"/>
      <c r="AB15" s="1547"/>
      <c r="AC15" s="1547"/>
      <c r="AD15" s="1547"/>
      <c r="AE15" s="1547"/>
      <c r="AF15" s="1547"/>
      <c r="AG15" s="1547"/>
      <c r="AH15" s="1547"/>
      <c r="AI15" s="1547"/>
      <c r="AJ15" s="1547"/>
      <c r="AK15" s="1547"/>
      <c r="AL15" s="1547"/>
      <c r="AM15" s="1547"/>
      <c r="AN15" s="1547"/>
      <c r="AO15" s="1547"/>
      <c r="AP15" s="1547"/>
      <c r="AQ15" s="1547"/>
      <c r="AR15" s="1547"/>
      <c r="AS15" s="1547"/>
      <c r="AT15" s="1547"/>
      <c r="AU15" s="1547"/>
      <c r="AV15" s="1547"/>
      <c r="AW15" s="1547"/>
      <c r="AX15" s="1547"/>
      <c r="AY15" s="1547"/>
      <c r="AZ15" s="1547"/>
      <c r="BA15" s="1547"/>
      <c r="BB15" s="1547"/>
      <c r="BC15" s="1548"/>
      <c r="BE15" s="654"/>
      <c r="BF15" s="654" t="str">
        <f>IF(T15="","",T15)</f>
        <v/>
      </c>
      <c r="BG15" s="654"/>
      <c r="BH15" s="654"/>
    </row>
    <row s="8702" customFormat="1" customHeight="1" ht="14.25" hidden="1">
      <c r="A16" s="1502"/>
      <c r="B16" s="1502"/>
      <c r="C16" s="1502"/>
      <c r="D16" s="1473"/>
      <c r="E16" s="2321"/>
      <c r="F16" s="2321"/>
      <c r="G16" s="2320"/>
      <c r="H16" s="1473"/>
      <c r="I16" s="1473"/>
      <c r="J16" s="1473"/>
      <c r="K16" s="1473"/>
      <c r="L16" s="1653"/>
      <c r="M16" s="1474"/>
      <c r="N16" s="1474"/>
      <c r="P16" s="1475"/>
      <c r="Q16" s="1476"/>
      <c r="R16" s="1475"/>
      <c r="S16" s="1481"/>
      <c r="T16" s="1484"/>
      <c r="U16" s="1483"/>
      <c r="V16" s="1483"/>
      <c r="W16" s="1483"/>
      <c r="X16" s="1483"/>
      <c r="Y16" s="1483"/>
      <c r="Z16" s="1483"/>
      <c r="AA16" s="1483"/>
      <c r="AB16" s="1483"/>
      <c r="AC16" s="1483"/>
      <c r="AD16" s="1483"/>
      <c r="AE16" s="1483"/>
      <c r="AF16" s="1483"/>
      <c r="AG16" s="1483"/>
      <c r="AH16" s="1483"/>
      <c r="AI16" s="1483"/>
      <c r="AJ16" s="1483"/>
      <c r="AK16" s="1483"/>
      <c r="AL16" s="1483"/>
      <c r="AM16" s="1483"/>
      <c r="AN16" s="1483"/>
      <c r="AO16" s="1483"/>
      <c r="AP16" s="1483"/>
      <c r="AQ16" s="1483"/>
      <c r="AR16" s="1483"/>
      <c r="AS16" s="1483"/>
      <c r="AT16" s="1483"/>
      <c r="AU16" s="1483"/>
      <c r="AV16" s="1483"/>
      <c r="AW16" s="1483"/>
      <c r="AX16" s="1483"/>
      <c r="AY16" s="1483"/>
      <c r="AZ16" s="1483"/>
      <c r="BA16" s="1483"/>
      <c r="BB16" s="1483"/>
      <c r="BC16" s="1483"/>
      <c r="BE16" s="943"/>
      <c r="BF16" s="943" t="str">
        <f>IF(T16="","",T16)</f>
        <v/>
      </c>
      <c r="BG16" s="943"/>
      <c r="BH16" s="943"/>
    </row>
    <row s="8702" customFormat="1" customHeight="1" ht="14.25" hidden="1">
      <c r="A17" s="1502"/>
      <c r="B17" s="1502"/>
      <c r="C17" s="1473"/>
      <c r="D17" s="1473"/>
      <c r="E17" s="2321"/>
      <c r="F17" s="2320"/>
      <c r="G17" s="1473"/>
      <c r="H17" s="1473"/>
      <c r="I17" s="1473"/>
      <c r="J17" s="1473"/>
      <c r="K17" s="1473"/>
      <c r="L17" s="1653"/>
      <c r="M17" s="1480"/>
      <c r="N17" s="1480"/>
      <c r="P17" s="1475"/>
      <c r="Q17" s="1476"/>
      <c r="R17" s="1475"/>
      <c r="S17" s="1481"/>
      <c r="T17" s="1484" t="s">
        <v>251</v>
      </c>
      <c r="U17" s="1483"/>
      <c r="V17" s="1483"/>
      <c r="W17" s="1483"/>
      <c r="X17" s="1483"/>
      <c r="Y17" s="1483"/>
      <c r="Z17" s="1483"/>
      <c r="AA17" s="1483"/>
      <c r="AB17" s="1483"/>
      <c r="AC17" s="1483"/>
      <c r="AD17" s="1483"/>
      <c r="AE17" s="1483"/>
      <c r="AF17" s="1483"/>
      <c r="AG17" s="1483"/>
      <c r="AH17" s="1483"/>
      <c r="AI17" s="1483"/>
      <c r="AJ17" s="1483"/>
      <c r="AK17" s="1483"/>
      <c r="AL17" s="1483"/>
      <c r="AM17" s="1483"/>
      <c r="AN17" s="1483"/>
      <c r="AO17" s="1483"/>
      <c r="AP17" s="1483"/>
      <c r="AQ17" s="1483"/>
      <c r="AR17" s="1483"/>
      <c r="AS17" s="1483"/>
      <c r="AT17" s="1483"/>
      <c r="AU17" s="1483"/>
      <c r="AV17" s="1483"/>
      <c r="AW17" s="1483"/>
      <c r="AX17" s="1483"/>
      <c r="AY17" s="1483"/>
      <c r="AZ17" s="1483"/>
      <c r="BA17" s="1483"/>
      <c r="BB17" s="1483"/>
      <c r="BC17" s="1483"/>
      <c r="BE17" s="943"/>
      <c r="BF17" s="943" t="str">
        <f>IF(T17="","",T17)</f>
        <v>Добавить централизованную систему для дифференциации</v>
      </c>
      <c r="BG17" s="943"/>
      <c r="BH17" s="943"/>
    </row>
    <row s="8794" customFormat="1" customHeight="1" ht="14.25" hidden="1">
      <c r="A18" s="1502"/>
      <c r="B18" s="1502"/>
      <c r="C18" s="1502"/>
      <c r="D18" s="1502"/>
      <c r="E18" s="2320"/>
      <c r="F18" s="1502"/>
      <c r="G18" s="1502"/>
      <c r="H18" s="1502"/>
      <c r="I18" s="1502"/>
      <c r="J18" s="1502"/>
      <c r="K18" s="1502"/>
      <c r="L18" s="1505"/>
      <c r="M18" s="1480"/>
      <c r="N18" s="1480"/>
      <c r="O18" s="672"/>
      <c r="P18" s="534"/>
      <c r="Q18" s="1503"/>
      <c r="R18" s="534"/>
      <c r="S18" s="1481"/>
      <c r="T18" s="1484" t="s">
        <v>252</v>
      </c>
      <c r="U18" s="1483"/>
      <c r="V18" s="1483"/>
      <c r="W18" s="1483"/>
      <c r="X18" s="1483"/>
      <c r="Y18" s="1483"/>
      <c r="Z18" s="1483"/>
      <c r="AA18" s="1483"/>
      <c r="AB18" s="1483"/>
      <c r="AC18" s="1483"/>
      <c r="AD18" s="1483"/>
      <c r="AE18" s="1483"/>
      <c r="AF18" s="1483"/>
      <c r="AG18" s="1483"/>
      <c r="AH18" s="1483"/>
      <c r="AI18" s="1483"/>
      <c r="AJ18" s="1483"/>
      <c r="AK18" s="1483"/>
      <c r="AL18" s="1483"/>
      <c r="AM18" s="1483"/>
      <c r="AN18" s="1483"/>
      <c r="AO18" s="1483"/>
      <c r="AP18" s="1483"/>
      <c r="AQ18" s="1483"/>
      <c r="AR18" s="1483"/>
      <c r="AS18" s="1483"/>
      <c r="AT18" s="1483"/>
      <c r="AU18" s="1483"/>
      <c r="AV18" s="1483"/>
      <c r="AW18" s="1483"/>
      <c r="AX18" s="1483"/>
      <c r="AY18" s="1483"/>
      <c r="AZ18" s="1483"/>
      <c r="BA18" s="1483"/>
      <c r="BB18" s="1483"/>
      <c r="BC18" s="1483"/>
      <c r="BE18" s="654"/>
      <c r="BF18" s="654" t="str">
        <f>IF(T18="","",T18)</f>
        <v>Добавить территорию для дифференциации</v>
      </c>
      <c r="BG18" s="654"/>
      <c r="BH18" s="654"/>
    </row>
    <row customHeight="1" ht="14.25" hidden="1">
      <c r="AC19" s="481"/>
      <c r="BA19" s="481"/>
    </row>
    <row customHeight="1" ht="14.25" hidden="1">
      <c r="AD20" s="1483" t="s">
        <v>54</v>
      </c>
      <c r="AE20" s="1660"/>
      <c r="AF20" s="702">
        <v>1</v>
      </c>
      <c r="AG20" s="1661"/>
      <c r="AH20" s="1483" t="s">
        <v>54</v>
      </c>
      <c r="AI20" s="1660"/>
      <c r="AJ20" s="702">
        <v>1</v>
      </c>
      <c r="AK20" s="1661"/>
      <c r="AL20" s="1483" t="s">
        <v>54</v>
      </c>
      <c r="AM20" s="1662"/>
      <c r="AN20" s="702">
        <v>1</v>
      </c>
      <c r="AO20" s="1663"/>
      <c r="AP20" s="1483" t="s">
        <v>54</v>
      </c>
      <c r="AQ20" s="1662"/>
      <c r="AR20" s="702">
        <v>1</v>
      </c>
      <c r="AS20" s="1663"/>
      <c r="AT20" s="479"/>
      <c r="AU20" s="538"/>
      <c r="AV20" s="479"/>
      <c r="AW20" s="538"/>
      <c r="AX20" s="1895"/>
      <c r="AY20" s="1644" t="s">
        <v>64</v>
      </c>
      <c r="AZ20" s="1895"/>
      <c r="BA20" s="1644" t="s">
        <v>64</v>
      </c>
    </row>
    <row customHeight="1" ht="14.25" hidden="1">
      <c r="BD21" s="650"/>
      <c r="BE21" s="650"/>
      <c r="BF21" s="650"/>
      <c r="BG21" s="650"/>
      <c r="BH21" s="650"/>
    </row>
    <row customHeight="1" ht="14.25" hidden="1">
      <c r="O22" s="1526" t="s">
        <v>415</v>
      </c>
      <c r="Z22" s="1504"/>
      <c r="AB22" s="1504"/>
      <c r="AC22" s="481"/>
      <c r="AX22" s="1504"/>
      <c r="AZ22" s="1504"/>
      <c r="BA22" s="481"/>
      <c r="BD22" s="650"/>
      <c r="BE22" s="650"/>
      <c r="BF22" s="650"/>
      <c r="BG22" s="650"/>
      <c r="BH22" s="650"/>
    </row>
    <row customHeight="1" ht="14.25" hidden="1">
      <c r="AC23" s="481"/>
      <c r="BA23" s="481"/>
      <c r="BD23" s="650"/>
      <c r="BE23" s="650"/>
      <c r="BF23" s="650"/>
      <c r="BG23" s="650"/>
      <c r="BH23" s="650"/>
    </row>
    <row s="8950" customFormat="1" customHeight="1" ht="14.25" hidden="1">
      <c r="M24" s="1667"/>
      <c r="N24" s="1667"/>
      <c r="O24" s="1668" t="s">
        <v>416</v>
      </c>
      <c r="P24" s="1667"/>
      <c r="Q24" s="1669"/>
      <c r="R24" s="1669"/>
      <c r="AA24" s="1666" t="s">
        <v>418</v>
      </c>
      <c r="AC24" s="1666" t="s">
        <v>419</v>
      </c>
      <c r="AD24" s="1666" t="s">
        <v>466</v>
      </c>
      <c r="AH24" s="1666" t="s">
        <v>466</v>
      </c>
      <c r="AK24" s="1666" t="s">
        <v>504</v>
      </c>
      <c r="AL24" s="1666" t="s">
        <v>466</v>
      </c>
      <c r="AP24" s="1666" t="s">
        <v>466</v>
      </c>
      <c r="AY24" s="1666" t="s">
        <v>418</v>
      </c>
      <c r="BA24" s="1666" t="s">
        <v>419</v>
      </c>
      <c r="BD24" s="1670"/>
      <c r="BE24" s="1670"/>
      <c r="BF24" s="1670"/>
      <c r="BG24" s="1670"/>
      <c r="BH24" s="1670"/>
    </row>
    <row customHeight="1" ht="14.25" hidden="1">
      <c r="O25" s="1523"/>
      <c r="BD25" s="650"/>
      <c r="BE25" s="650"/>
      <c r="BF25" s="650"/>
      <c r="BG25" s="650"/>
      <c r="BH25" s="650"/>
    </row>
    <row customHeight="1" ht="14.25" hidden="1">
      <c r="O26" s="1523"/>
      <c r="BD26" s="650"/>
      <c r="BE26" s="650"/>
      <c r="BF26" s="650"/>
      <c r="BG26" s="650"/>
      <c r="BH26" s="650"/>
    </row>
    <row customHeight="1" ht="14.25">
      <c r="Q27" s="445"/>
      <c r="R27" s="530"/>
      <c r="S27" s="1434"/>
      <c r="T27" s="517"/>
      <c r="U27" s="517"/>
      <c r="V27" s="663"/>
      <c r="W27" s="663"/>
      <c r="X27" s="663"/>
      <c r="Y27" s="663"/>
      <c r="Z27" s="663"/>
      <c r="AA27" s="663"/>
      <c r="AB27" s="663"/>
      <c r="AC27" s="663"/>
      <c r="AD27" s="663"/>
      <c r="AE27" s="663"/>
      <c r="AF27" s="663"/>
      <c r="AG27" s="663"/>
      <c r="AH27" s="663"/>
      <c r="AI27" s="663"/>
      <c r="AJ27" s="663"/>
      <c r="AK27" s="663"/>
      <c r="AL27" s="663"/>
      <c r="AM27" s="663"/>
      <c r="AN27" s="663"/>
      <c r="AO27" s="663"/>
      <c r="AP27" s="663"/>
      <c r="AQ27" s="663"/>
      <c r="AR27" s="663"/>
      <c r="AS27" s="663"/>
      <c r="AT27" s="663"/>
      <c r="AU27" s="663"/>
      <c r="AV27" s="663"/>
      <c r="AW27" s="663"/>
      <c r="AX27" s="663"/>
      <c r="AY27" s="663"/>
      <c r="AZ27" s="663"/>
      <c r="BA27" s="663"/>
    </row>
    <row customHeight="1" ht="14.25">
      <c r="Q28" s="445"/>
      <c r="R28" s="530"/>
      <c r="S28" s="2353" t="str">
        <f>IF(TEMPLATE_GROUP="P",PT_P_FORM_VOTV_5_NAME_FORM,PT_R_FORM_VOTV_17_NAME_FORM)</f>
        <v>Форма 3.  Информация об установленных тарифах на подключение (технологическое присоединение) к централизованной системе водоотведения</v>
      </c>
      <c r="T28" s="2353"/>
      <c r="U28" s="2353"/>
      <c r="V28" s="2353"/>
      <c r="W28" s="2353"/>
      <c r="X28" s="2353"/>
      <c r="Y28" s="2353"/>
      <c r="Z28" s="2353"/>
      <c r="AA28" s="2353"/>
      <c r="AB28" s="2353"/>
      <c r="AC28" s="2353"/>
      <c r="AD28" s="2353"/>
      <c r="AE28" s="2353"/>
      <c r="AF28" s="2353"/>
      <c r="AG28" s="2353"/>
      <c r="AH28" s="2353"/>
      <c r="AI28" s="2353"/>
      <c r="AJ28" s="2353"/>
      <c r="AK28" s="2353"/>
      <c r="AL28" s="2353"/>
      <c r="AM28" s="2353"/>
      <c r="AN28" s="2353"/>
      <c r="AO28" s="2353"/>
      <c r="AP28" s="2353"/>
      <c r="AQ28" s="2353"/>
      <c r="AR28" s="2353"/>
      <c r="AS28" s="2353"/>
      <c r="AT28" s="2353"/>
      <c r="AU28" s="2353"/>
      <c r="AV28" s="2353"/>
      <c r="AW28" s="2353"/>
      <c r="AX28" s="2353"/>
      <c r="AY28" s="2353"/>
      <c r="AZ28" s="2353"/>
      <c r="BA28" s="1401"/>
    </row>
    <row customHeight="1" ht="14.25">
      <c r="Q29" s="445"/>
      <c r="R29" s="530"/>
      <c r="S29" s="2354" t="str">
        <f>IF(org=0,"Не определено",org)</f>
        <v>АО "Теплокоммунэнерго"</v>
      </c>
      <c r="T29" s="2354"/>
      <c r="U29" s="2354"/>
      <c r="V29" s="2354"/>
      <c r="W29" s="2354"/>
      <c r="X29" s="2354"/>
      <c r="Y29" s="2354"/>
      <c r="Z29" s="2354"/>
      <c r="AA29" s="2354"/>
      <c r="AB29" s="2354"/>
      <c r="AC29" s="2354"/>
      <c r="AD29" s="2354"/>
      <c r="AE29" s="2354"/>
      <c r="AF29" s="2354"/>
      <c r="AG29" s="2354"/>
      <c r="AH29" s="2354"/>
      <c r="AI29" s="2354"/>
      <c r="AJ29" s="2354"/>
      <c r="AK29" s="2354"/>
      <c r="AL29" s="2354"/>
      <c r="AM29" s="2354"/>
      <c r="AN29" s="2354"/>
      <c r="AO29" s="2354"/>
      <c r="AP29" s="2354"/>
      <c r="AQ29" s="2354"/>
      <c r="AR29" s="2354"/>
      <c r="AS29" s="2354"/>
      <c r="AT29" s="2354"/>
      <c r="AU29" s="2354"/>
      <c r="AV29" s="2354"/>
      <c r="AW29" s="2354"/>
      <c r="AX29" s="2354"/>
      <c r="AY29" s="2354"/>
      <c r="AZ29" s="2354"/>
      <c r="BA29" s="1401"/>
    </row>
    <row customHeight="1" ht="14.25">
      <c r="Q30" s="445"/>
      <c r="R30" s="530"/>
      <c r="S30" s="1434"/>
      <c r="T30" s="517"/>
      <c r="U30" s="517"/>
      <c r="V30" s="476"/>
      <c r="W30" s="476"/>
      <c r="X30" s="476"/>
      <c r="Y30" s="476"/>
      <c r="Z30" s="476"/>
      <c r="AA30" s="476"/>
      <c r="AB30" s="476"/>
      <c r="AC30" s="476"/>
      <c r="AD30" s="476"/>
      <c r="AE30" s="476"/>
      <c r="AF30" s="476"/>
      <c r="AG30" s="476"/>
      <c r="AH30" s="476"/>
      <c r="AI30" s="476"/>
      <c r="AJ30" s="476"/>
      <c r="AK30" s="476"/>
      <c r="AL30" s="476"/>
      <c r="AM30" s="476"/>
      <c r="AN30" s="476"/>
      <c r="AO30" s="476"/>
      <c r="AP30" s="476"/>
      <c r="AQ30" s="476"/>
      <c r="AR30" s="476"/>
      <c r="AS30" s="476"/>
      <c r="AT30" s="476"/>
      <c r="AU30" s="476"/>
      <c r="AV30" s="476"/>
      <c r="AW30" s="476"/>
      <c r="AX30" s="476"/>
      <c r="AY30" s="476"/>
      <c r="AZ30" s="476"/>
      <c r="BA30" s="476"/>
      <c r="BB30" s="663"/>
    </row>
    <row s="8735" customFormat="1" customHeight="1" ht="25.5">
      <c r="A31" s="1527"/>
      <c r="B31" s="1527"/>
      <c r="C31" s="1527"/>
      <c r="D31" s="1527"/>
      <c r="E31" s="1527"/>
      <c r="F31" s="1527"/>
      <c r="G31" s="1527"/>
      <c r="H31" s="1527"/>
      <c r="I31" s="1527"/>
      <c r="J31" s="1527"/>
      <c r="K31" s="1527"/>
      <c r="L31" s="1528"/>
      <c r="M31" s="1527"/>
      <c r="N31" s="1527"/>
      <c r="O31" s="1527"/>
      <c r="P31" s="1527"/>
      <c r="Q31" s="1527"/>
      <c r="S31" s="2311" t="s">
        <v>38</v>
      </c>
      <c r="T31" s="2311"/>
      <c r="U31" s="1531"/>
      <c r="V31" s="2313" t="str">
        <f>IF(TITLE_NAME_OR_PR_CHANGE="",IF(TITLE_NAME_OR_PR="","",TITLE_NAME_OR_PR),TITLE_NAME_OR_PR_CHANGE)</f>
        <v>Региональная служба по тарифам Ростовской области</v>
      </c>
      <c r="W31" s="2313"/>
      <c r="X31" s="2313"/>
      <c r="Y31" s="2313"/>
      <c r="Z31" s="2313"/>
      <c r="AA31" s="2313"/>
      <c r="AB31" s="2313"/>
      <c r="AC31" s="480"/>
      <c r="AD31" s="2313" t="str">
        <f>IF(TITLE_NAME_OR_PR_CHANGE="",IF(TITLE_NAME_OR_PR="","",TITLE_NAME_OR_PR),TITLE_NAME_OR_PR_CHANGE)</f>
        <v>Региональная служба по тарифам Ростовской области</v>
      </c>
      <c r="AE31" s="2313"/>
      <c r="AF31" s="2313"/>
      <c r="AG31" s="2313"/>
      <c r="AH31" s="2313"/>
      <c r="AI31" s="2313"/>
      <c r="AJ31" s="2313"/>
      <c r="AK31" s="2313"/>
      <c r="AL31" s="2313"/>
      <c r="AM31" s="2313"/>
      <c r="AN31" s="2313"/>
      <c r="AO31" s="2313"/>
      <c r="AP31" s="2313"/>
      <c r="AQ31" s="2313"/>
      <c r="AR31" s="2313"/>
      <c r="AS31" s="2313"/>
      <c r="AT31" s="2313"/>
      <c r="AU31" s="2313"/>
      <c r="AV31" s="2313"/>
      <c r="AW31" s="2313"/>
      <c r="AX31" s="2313"/>
      <c r="AY31" s="2313"/>
      <c r="AZ31" s="2313"/>
      <c r="BA31" s="480"/>
      <c r="BB31" s="480"/>
      <c r="BC31" s="434"/>
      <c r="BD31" s="522"/>
      <c r="BE31" s="522"/>
      <c r="BF31" s="522"/>
      <c r="BG31" s="522"/>
      <c r="BH31" s="522"/>
    </row>
    <row s="8735" customFormat="1" customHeight="1" ht="18.75">
      <c r="A32" s="1527"/>
      <c r="B32" s="1527"/>
      <c r="C32" s="1527"/>
      <c r="D32" s="1527"/>
      <c r="E32" s="1527"/>
      <c r="F32" s="1527"/>
      <c r="G32" s="1527"/>
      <c r="H32" s="1527"/>
      <c r="I32" s="1527"/>
      <c r="J32" s="1527"/>
      <c r="K32" s="1527"/>
      <c r="L32" s="1528"/>
      <c r="M32" s="1527"/>
      <c r="N32" s="1527"/>
      <c r="O32" s="1527"/>
      <c r="P32" s="1527"/>
      <c r="Q32" s="1527"/>
      <c r="S32" s="2311" t="s">
        <v>421</v>
      </c>
      <c r="T32" s="2311"/>
      <c r="U32" s="1531"/>
      <c r="V32" s="2312" t="str">
        <f>IF(TITLE_DATE_PR_CHANGE="",IF(TITLE_DATE_PR="","",TITLE_DATE_PR),TITLE_DATE_PR_CHANGE)</f>
        <v>45279</v>
      </c>
      <c r="W32" s="2312"/>
      <c r="X32" s="2312"/>
      <c r="Y32" s="2312"/>
      <c r="Z32" s="2312"/>
      <c r="AA32" s="2312"/>
      <c r="AB32" s="2312"/>
      <c r="AC32" s="480"/>
      <c r="AD32" s="2312" t="str">
        <f>IF(TITLE_DATE_PR_CHANGE="",IF(TITLE_DATE_PR="","",TITLE_DATE_PR),TITLE_DATE_PR_CHANGE)</f>
        <v>45279</v>
      </c>
      <c r="AE32" s="2312"/>
      <c r="AF32" s="2312"/>
      <c r="AG32" s="2312"/>
      <c r="AH32" s="2312"/>
      <c r="AI32" s="2312"/>
      <c r="AJ32" s="2312"/>
      <c r="AK32" s="2312"/>
      <c r="AL32" s="2312"/>
      <c r="AM32" s="2312"/>
      <c r="AN32" s="2312"/>
      <c r="AO32" s="2312"/>
      <c r="AP32" s="2312"/>
      <c r="AQ32" s="2312"/>
      <c r="AR32" s="2312"/>
      <c r="AS32" s="2312"/>
      <c r="AT32" s="2312"/>
      <c r="AU32" s="2312"/>
      <c r="AV32" s="2312"/>
      <c r="AW32" s="2312"/>
      <c r="AX32" s="2312"/>
      <c r="AY32" s="2312"/>
      <c r="AZ32" s="2312"/>
      <c r="BA32" s="480"/>
      <c r="BB32" s="480"/>
      <c r="BC32" s="434"/>
      <c r="BD32" s="522"/>
      <c r="BE32" s="522"/>
      <c r="BF32" s="522"/>
      <c r="BG32" s="522"/>
      <c r="BH32" s="522"/>
    </row>
    <row s="8735" customFormat="1" customHeight="1" ht="18.75">
      <c r="A33" s="1527"/>
      <c r="B33" s="1527"/>
      <c r="C33" s="1527"/>
      <c r="D33" s="1527"/>
      <c r="E33" s="1527"/>
      <c r="F33" s="1527"/>
      <c r="G33" s="1527"/>
      <c r="H33" s="1527"/>
      <c r="I33" s="1527"/>
      <c r="J33" s="1527"/>
      <c r="K33" s="1527"/>
      <c r="L33" s="1528"/>
      <c r="M33" s="1527"/>
      <c r="N33" s="1527"/>
      <c r="O33" s="1527"/>
      <c r="P33" s="1527"/>
      <c r="Q33" s="1527"/>
      <c r="S33" s="2311" t="s">
        <v>422</v>
      </c>
      <c r="T33" s="2311"/>
      <c r="U33" s="1531"/>
      <c r="V33" s="2313" t="str">
        <f>IF(TITLE_NUMBER_PR_CHANGE="",IF(TITLE_NUMBER_PR="","",TITLE_NUMBER_PR),TITLE_NUMBER_PR_CHANGE)</f>
        <v>877</v>
      </c>
      <c r="W33" s="2313"/>
      <c r="X33" s="2313"/>
      <c r="Y33" s="2313"/>
      <c r="Z33" s="2313"/>
      <c r="AA33" s="2313"/>
      <c r="AB33" s="2313"/>
      <c r="AC33" s="480"/>
      <c r="AD33" s="2313" t="str">
        <f>IF(TITLE_NUMBER_PR_CHANGE="",IF(TITLE_NUMBER_PR="","",TITLE_NUMBER_PR),TITLE_NUMBER_PR_CHANGE)</f>
        <v>877</v>
      </c>
      <c r="AE33" s="2313"/>
      <c r="AF33" s="2313"/>
      <c r="AG33" s="2313"/>
      <c r="AH33" s="2313"/>
      <c r="AI33" s="2313"/>
      <c r="AJ33" s="2313"/>
      <c r="AK33" s="2313"/>
      <c r="AL33" s="2313"/>
      <c r="AM33" s="2313"/>
      <c r="AN33" s="2313"/>
      <c r="AO33" s="2313"/>
      <c r="AP33" s="2313"/>
      <c r="AQ33" s="2313"/>
      <c r="AR33" s="2313"/>
      <c r="AS33" s="2313"/>
      <c r="AT33" s="2313"/>
      <c r="AU33" s="2313"/>
      <c r="AV33" s="2313"/>
      <c r="AW33" s="2313"/>
      <c r="AX33" s="2313"/>
      <c r="AY33" s="2313"/>
      <c r="AZ33" s="2313"/>
      <c r="BA33" s="480"/>
      <c r="BB33" s="480"/>
      <c r="BC33" s="434"/>
      <c r="BD33" s="522"/>
      <c r="BE33" s="522"/>
      <c r="BF33" s="522"/>
      <c r="BG33" s="522"/>
      <c r="BH33" s="522"/>
    </row>
    <row s="8735" customFormat="1" customHeight="1" ht="18.75">
      <c r="A34" s="1527"/>
      <c r="B34" s="1527"/>
      <c r="C34" s="1527"/>
      <c r="D34" s="1527"/>
      <c r="E34" s="1527"/>
      <c r="F34" s="1527"/>
      <c r="G34" s="1527"/>
      <c r="H34" s="1527"/>
      <c r="I34" s="1527"/>
      <c r="J34" s="1527"/>
      <c r="K34" s="1527"/>
      <c r="L34" s="1528"/>
      <c r="M34" s="1527"/>
      <c r="N34" s="1527"/>
      <c r="O34" s="1527"/>
      <c r="P34" s="1527"/>
      <c r="Q34" s="1527"/>
      <c r="S34" s="2311" t="s">
        <v>40</v>
      </c>
      <c r="T34" s="2311"/>
      <c r="U34" s="1531"/>
      <c r="V34" s="2313" t="str">
        <f>IF(TITLE_IST_PUB_CHANGE="",IF(TITLE_IST_PUB="","",TITLE_IST_PUB),TITLE_IST_PUB_CHANGE)</f>
        <v>Официальный портал правовой информации Ростовской области</v>
      </c>
      <c r="W34" s="2313"/>
      <c r="X34" s="2313"/>
      <c r="Y34" s="2313"/>
      <c r="Z34" s="2313"/>
      <c r="AA34" s="2313"/>
      <c r="AB34" s="2313"/>
      <c r="AC34" s="480"/>
      <c r="AD34" s="2313" t="str">
        <f>IF(TITLE_IST_PUB_CHANGE="",IF(TITLE_IST_PUB="","",TITLE_IST_PUB),TITLE_IST_PUB_CHANGE)</f>
        <v>Официальный портал правовой информации Ростовской области</v>
      </c>
      <c r="AE34" s="2313"/>
      <c r="AF34" s="2313"/>
      <c r="AG34" s="2313"/>
      <c r="AH34" s="2313"/>
      <c r="AI34" s="2313"/>
      <c r="AJ34" s="2313"/>
      <c r="AK34" s="2313"/>
      <c r="AL34" s="2313"/>
      <c r="AM34" s="2313"/>
      <c r="AN34" s="2313"/>
      <c r="AO34" s="2313"/>
      <c r="AP34" s="2313"/>
      <c r="AQ34" s="2313"/>
      <c r="AR34" s="2313"/>
      <c r="AS34" s="2313"/>
      <c r="AT34" s="2313"/>
      <c r="AU34" s="2313"/>
      <c r="AV34" s="2313"/>
      <c r="AW34" s="2313"/>
      <c r="AX34" s="2313"/>
      <c r="AY34" s="2313"/>
      <c r="AZ34" s="2313"/>
      <c r="BA34" s="480"/>
      <c r="BB34" s="480"/>
      <c r="BC34" s="434"/>
      <c r="BD34" s="522"/>
      <c r="BE34" s="522"/>
      <c r="BF34" s="522"/>
      <c r="BG34" s="522"/>
      <c r="BH34" s="522"/>
    </row>
    <row customHeight="1" ht="14.25" hidden="1">
      <c r="Q35" s="445"/>
      <c r="R35" s="530"/>
      <c r="S35" s="1434"/>
      <c r="T35" s="517"/>
      <c r="U35" s="517"/>
      <c r="V35" s="476"/>
      <c r="W35" s="476"/>
      <c r="X35" s="476"/>
      <c r="Y35" s="476"/>
      <c r="Z35" s="476"/>
      <c r="AA35" s="476"/>
      <c r="AB35" s="476"/>
      <c r="AC35" s="476"/>
      <c r="AD35" s="476"/>
      <c r="AE35" s="476"/>
      <c r="AF35" s="476"/>
      <c r="AG35" s="476"/>
      <c r="AH35" s="476"/>
      <c r="AI35" s="476"/>
      <c r="AJ35" s="476"/>
      <c r="AK35" s="476"/>
      <c r="AL35" s="476"/>
      <c r="AM35" s="476"/>
      <c r="AN35" s="476"/>
      <c r="AO35" s="476"/>
      <c r="AP35" s="476"/>
      <c r="AQ35" s="476"/>
      <c r="AR35" s="476"/>
      <c r="AS35" s="476"/>
      <c r="AT35" s="476"/>
      <c r="AU35" s="476"/>
      <c r="AV35" s="476"/>
      <c r="AW35" s="476"/>
      <c r="AX35" s="476"/>
      <c r="AY35" s="476"/>
      <c r="AZ35" s="476"/>
      <c r="BA35" s="476"/>
      <c r="BB35" s="663"/>
    </row>
    <row s="8735" customFormat="1" customHeight="1" ht="18.75" hidden="1">
      <c r="A36" s="1527"/>
      <c r="B36" s="1527"/>
      <c r="C36" s="1527"/>
      <c r="D36" s="1527"/>
      <c r="E36" s="1527"/>
      <c r="F36" s="1527"/>
      <c r="G36" s="1527"/>
      <c r="H36" s="1527"/>
      <c r="I36" s="1527"/>
      <c r="J36" s="1527"/>
      <c r="K36" s="1527"/>
      <c r="L36" s="1528"/>
      <c r="M36" s="1527"/>
      <c r="N36" s="1527"/>
      <c r="O36" s="1527"/>
      <c r="P36" s="1527"/>
      <c r="Q36" s="1527"/>
      <c r="S36" s="2311" t="s">
        <v>421</v>
      </c>
      <c r="T36" s="2311"/>
      <c r="U36" s="1531"/>
      <c r="V36" s="2312" t="str">
        <f>IF(TITLE_DATE_PR_CHANGE="",IF(TITLE_DATE_PR="","",TITLE_DATE_PR),TITLE_DATE_PR_CHANGE)</f>
        <v>45279</v>
      </c>
      <c r="W36" s="2312"/>
      <c r="X36" s="2312"/>
      <c r="Y36" s="2312"/>
      <c r="Z36" s="2312"/>
      <c r="AA36" s="2312"/>
      <c r="AB36" s="2312"/>
      <c r="AC36" s="480"/>
      <c r="AD36" s="2312" t="str">
        <f>IF(TITLE_DATE_PR_CHANGE="",IF(TITLE_DATE_PR="","",TITLE_DATE_PR),TITLE_DATE_PR_CHANGE)</f>
        <v>45279</v>
      </c>
      <c r="AE36" s="2312"/>
      <c r="AF36" s="2312"/>
      <c r="AG36" s="2312"/>
      <c r="AH36" s="2312"/>
      <c r="AI36" s="2312"/>
      <c r="AJ36" s="2312"/>
      <c r="AK36" s="2312"/>
      <c r="AL36" s="2312"/>
      <c r="AM36" s="2312"/>
      <c r="AN36" s="2312"/>
      <c r="AO36" s="2312"/>
      <c r="AP36" s="2312"/>
      <c r="AQ36" s="2312"/>
      <c r="AR36" s="2312"/>
      <c r="AS36" s="2312"/>
      <c r="AT36" s="2312"/>
      <c r="AU36" s="2312"/>
      <c r="AV36" s="2312"/>
      <c r="AW36" s="2312"/>
      <c r="AX36" s="2312"/>
      <c r="AY36" s="2312"/>
      <c r="AZ36" s="2312"/>
      <c r="BA36" s="480"/>
      <c r="BB36" s="480"/>
      <c r="BC36" s="434"/>
      <c r="BD36" s="522"/>
      <c r="BE36" s="522"/>
      <c r="BF36" s="522"/>
      <c r="BG36" s="522"/>
      <c r="BH36" s="522"/>
    </row>
    <row s="8735" customFormat="1" customHeight="1" ht="18.75" hidden="1">
      <c r="A37" s="1527"/>
      <c r="B37" s="1527"/>
      <c r="C37" s="1527"/>
      <c r="D37" s="1527"/>
      <c r="E37" s="1527"/>
      <c r="F37" s="1527"/>
      <c r="G37" s="1527"/>
      <c r="H37" s="1527"/>
      <c r="I37" s="1527"/>
      <c r="J37" s="1527"/>
      <c r="K37" s="1527"/>
      <c r="L37" s="1528"/>
      <c r="M37" s="1527"/>
      <c r="N37" s="1527"/>
      <c r="O37" s="1527"/>
      <c r="P37" s="1527"/>
      <c r="Q37" s="1527"/>
      <c r="S37" s="2311" t="s">
        <v>422</v>
      </c>
      <c r="T37" s="2311"/>
      <c r="U37" s="1531"/>
      <c r="V37" s="2313" t="str">
        <f>IF(TITLE_NUMBER_PR_CHANGE="",IF(TITLE_NUMBER_PR="","",TITLE_NUMBER_PR),TITLE_NUMBER_PR_CHANGE)</f>
        <v>877</v>
      </c>
      <c r="W37" s="2313"/>
      <c r="X37" s="2313"/>
      <c r="Y37" s="2313"/>
      <c r="Z37" s="2313"/>
      <c r="AA37" s="2313"/>
      <c r="AB37" s="2313"/>
      <c r="AC37" s="480"/>
      <c r="AD37" s="2313" t="str">
        <f>IF(TITLE_NUMBER_PR_CHANGE="",IF(TITLE_NUMBER_PR="","",TITLE_NUMBER_PR),TITLE_NUMBER_PR_CHANGE)</f>
        <v>877</v>
      </c>
      <c r="AE37" s="2313"/>
      <c r="AF37" s="2313"/>
      <c r="AG37" s="2313"/>
      <c r="AH37" s="2313"/>
      <c r="AI37" s="2313"/>
      <c r="AJ37" s="2313"/>
      <c r="AK37" s="2313"/>
      <c r="AL37" s="2313"/>
      <c r="AM37" s="2313"/>
      <c r="AN37" s="2313"/>
      <c r="AO37" s="2313"/>
      <c r="AP37" s="2313"/>
      <c r="AQ37" s="2313"/>
      <c r="AR37" s="2313"/>
      <c r="AS37" s="2313"/>
      <c r="AT37" s="2313"/>
      <c r="AU37" s="2313"/>
      <c r="AV37" s="2313"/>
      <c r="AW37" s="2313"/>
      <c r="AX37" s="2313"/>
      <c r="AY37" s="2313"/>
      <c r="AZ37" s="2313"/>
      <c r="BA37" s="480"/>
      <c r="BB37" s="480"/>
      <c r="BC37" s="434"/>
      <c r="BD37" s="522"/>
      <c r="BE37" s="522"/>
      <c r="BF37" s="522"/>
      <c r="BG37" s="522"/>
      <c r="BH37" s="522"/>
    </row>
    <row s="8735" customFormat="1" customHeight="1" ht="0">
      <c r="A38" s="1527"/>
      <c r="B38" s="1527"/>
      <c r="C38" s="1527"/>
      <c r="D38" s="1527"/>
      <c r="E38" s="1527"/>
      <c r="F38" s="1527"/>
      <c r="G38" s="1527"/>
      <c r="H38" s="1527"/>
      <c r="I38" s="1527"/>
      <c r="J38" s="1527"/>
      <c r="K38" s="1527"/>
      <c r="L38" s="1528"/>
      <c r="M38" s="1527"/>
      <c r="N38" s="1527"/>
      <c r="O38" s="1527"/>
      <c r="P38" s="1527"/>
      <c r="Q38" s="1527"/>
      <c r="S38" s="477"/>
      <c r="T38" s="477"/>
      <c r="U38" s="1647"/>
      <c r="V38" s="480"/>
      <c r="W38" s="480"/>
      <c r="X38" s="480"/>
      <c r="Y38" s="480"/>
      <c r="Z38" s="480"/>
      <c r="AA38" s="480"/>
      <c r="AB38" s="480"/>
      <c r="AC38" s="432" t="s">
        <v>425</v>
      </c>
      <c r="AD38" s="480"/>
      <c r="AE38" s="480"/>
      <c r="AF38" s="480"/>
      <c r="AG38" s="480"/>
      <c r="AH38" s="480"/>
      <c r="AI38" s="480"/>
      <c r="AJ38" s="480"/>
      <c r="AK38" s="480"/>
      <c r="AL38" s="480"/>
      <c r="AM38" s="480"/>
      <c r="AN38" s="480"/>
      <c r="AO38" s="480"/>
      <c r="AP38" s="480"/>
      <c r="AQ38" s="480"/>
      <c r="AR38" s="480"/>
      <c r="AS38" s="480"/>
      <c r="AT38" s="480"/>
      <c r="AU38" s="480"/>
      <c r="AV38" s="480"/>
      <c r="AW38" s="480"/>
      <c r="AX38" s="480"/>
      <c r="AY38" s="480"/>
      <c r="AZ38" s="480"/>
      <c r="BA38" s="432" t="s">
        <v>425</v>
      </c>
      <c r="BD38" s="522"/>
      <c r="BE38" s="522"/>
      <c r="BF38" s="522"/>
      <c r="BG38" s="522"/>
      <c r="BH38" s="522"/>
    </row>
    <row customHeight="1" ht="14.25">
      <c r="Q39" s="445"/>
      <c r="R39" s="530"/>
      <c r="S39" s="1434"/>
      <c r="T39" s="517"/>
      <c r="U39" s="1402"/>
      <c r="V39" s="2337"/>
      <c r="W39" s="2337"/>
      <c r="X39" s="2337"/>
      <c r="Y39" s="2337"/>
      <c r="Z39" s="2337"/>
      <c r="AA39" s="2337"/>
      <c r="AB39" s="2337"/>
      <c r="AC39" s="2337"/>
      <c r="AD39" s="2337"/>
      <c r="AE39" s="2337"/>
      <c r="AF39" s="2337"/>
      <c r="AG39" s="2337"/>
      <c r="AH39" s="2337"/>
      <c r="AI39" s="2337"/>
      <c r="AJ39" s="2337"/>
      <c r="AK39" s="2337"/>
      <c r="AL39" s="2337"/>
      <c r="AM39" s="2337"/>
      <c r="AN39" s="2337"/>
      <c r="AO39" s="2337"/>
      <c r="AP39" s="2337"/>
      <c r="AQ39" s="2337"/>
      <c r="AR39" s="2337"/>
      <c r="AS39" s="2337"/>
      <c r="AT39" s="2337"/>
      <c r="AU39" s="2337"/>
      <c r="AV39" s="2337"/>
      <c r="AW39" s="2337"/>
      <c r="AX39" s="2337"/>
      <c r="AY39" s="2337"/>
      <c r="AZ39" s="2337"/>
      <c r="BA39" s="2337"/>
    </row>
    <row customHeight="1" ht="14.25">
      <c r="Q40" s="445"/>
      <c r="R40" s="530"/>
      <c r="S40" s="2185" t="s">
        <v>300</v>
      </c>
      <c r="T40" s="2185"/>
      <c r="U40" s="2185"/>
      <c r="V40" s="2185"/>
      <c r="W40" s="2185"/>
      <c r="X40" s="2185"/>
      <c r="Y40" s="2185"/>
      <c r="Z40" s="2185"/>
      <c r="AA40" s="2185"/>
      <c r="AB40" s="2185"/>
      <c r="AC40" s="2185"/>
      <c r="AD40" s="2185"/>
      <c r="AE40" s="2185"/>
      <c r="AF40" s="2185"/>
      <c r="AG40" s="2185"/>
      <c r="AH40" s="2185"/>
      <c r="AI40" s="2185"/>
      <c r="AJ40" s="2185"/>
      <c r="AK40" s="2185"/>
      <c r="AL40" s="2185"/>
      <c r="AM40" s="2185"/>
      <c r="AN40" s="2185"/>
      <c r="AO40" s="2185"/>
      <c r="AP40" s="2185"/>
      <c r="AQ40" s="2185"/>
      <c r="AR40" s="2185"/>
      <c r="AS40" s="2185"/>
      <c r="AT40" s="2185"/>
      <c r="AU40" s="2185"/>
      <c r="AV40" s="2185"/>
      <c r="AW40" s="2185"/>
      <c r="AX40" s="2185"/>
      <c r="AY40" s="2185"/>
      <c r="AZ40" s="2185"/>
      <c r="BA40" s="2185"/>
      <c r="BB40" s="2185"/>
      <c r="BC40" s="2185" t="s">
        <v>301</v>
      </c>
    </row>
    <row customHeight="1" ht="14.25">
      <c r="Q41" s="445"/>
      <c r="R41" s="530"/>
      <c r="S41" s="2338" t="s">
        <v>85</v>
      </c>
      <c r="T41" s="2275" t="s">
        <v>505</v>
      </c>
      <c r="U41" s="455"/>
      <c r="V41" s="2339" t="s">
        <v>427</v>
      </c>
      <c r="W41" s="2340"/>
      <c r="X41" s="2340"/>
      <c r="Y41" s="2340"/>
      <c r="Z41" s="2340"/>
      <c r="AA41" s="2340"/>
      <c r="AB41" s="2341"/>
      <c r="AC41" s="2342" t="s">
        <v>428</v>
      </c>
      <c r="AD41" s="2386" t="s">
        <v>522</v>
      </c>
      <c r="AE41" s="2361"/>
      <c r="AF41" s="2361"/>
      <c r="AG41" s="2387"/>
      <c r="AH41" s="2386" t="s">
        <v>523</v>
      </c>
      <c r="AI41" s="2361"/>
      <c r="AJ41" s="2361"/>
      <c r="AK41" s="2387"/>
      <c r="AL41" s="2386" t="s">
        <v>524</v>
      </c>
      <c r="AM41" s="2361"/>
      <c r="AN41" s="2361"/>
      <c r="AO41" s="2387"/>
      <c r="AP41" s="2386" t="s">
        <v>509</v>
      </c>
      <c r="AQ41" s="2361"/>
      <c r="AR41" s="2361"/>
      <c r="AS41" s="2387"/>
      <c r="AT41" s="2339" t="s">
        <v>427</v>
      </c>
      <c r="AU41" s="2340"/>
      <c r="AV41" s="2340"/>
      <c r="AW41" s="2340"/>
      <c r="AX41" s="2340"/>
      <c r="AY41" s="2340"/>
      <c r="AZ41" s="2341"/>
      <c r="BA41" s="2342" t="s">
        <v>428</v>
      </c>
      <c r="BB41" s="2345" t="s">
        <v>430</v>
      </c>
      <c r="BC41" s="2185"/>
    </row>
    <row customHeight="1" ht="33.75">
      <c r="Q42" s="445"/>
      <c r="R42" s="530"/>
      <c r="S42" s="2338"/>
      <c r="T42" s="2275"/>
      <c r="U42" s="1186"/>
      <c r="V42" s="2243" t="s">
        <v>510</v>
      </c>
      <c r="W42" s="2244"/>
      <c r="X42" s="2243" t="s">
        <v>511</v>
      </c>
      <c r="Y42" s="2244"/>
      <c r="Z42" s="2359" t="s">
        <v>512</v>
      </c>
      <c r="AA42" s="2377"/>
      <c r="AB42" s="2378"/>
      <c r="AC42" s="2343"/>
      <c r="AD42" s="2388"/>
      <c r="AE42" s="2389"/>
      <c r="AF42" s="2389"/>
      <c r="AG42" s="2401"/>
      <c r="AH42" s="2388"/>
      <c r="AI42" s="2389"/>
      <c r="AJ42" s="2389"/>
      <c r="AK42" s="2401"/>
      <c r="AL42" s="2388"/>
      <c r="AM42" s="2389"/>
      <c r="AN42" s="2389"/>
      <c r="AO42" s="2401"/>
      <c r="AP42" s="2388"/>
      <c r="AQ42" s="2389"/>
      <c r="AR42" s="2389"/>
      <c r="AS42" s="2401"/>
      <c r="AT42" s="2243" t="s">
        <v>525</v>
      </c>
      <c r="AU42" s="2244"/>
      <c r="AV42" s="2243" t="s">
        <v>526</v>
      </c>
      <c r="AW42" s="2244"/>
      <c r="AX42" s="2359" t="s">
        <v>512</v>
      </c>
      <c r="AY42" s="2377"/>
      <c r="AZ42" s="2378"/>
      <c r="BA42" s="2343"/>
      <c r="BB42" s="2346"/>
      <c r="BC42" s="2185"/>
    </row>
    <row customHeight="1" ht="14.25">
      <c r="Q43" s="445"/>
      <c r="R43" s="530"/>
      <c r="S43" s="2338"/>
      <c r="T43" s="2275"/>
      <c r="U43" s="1186"/>
      <c r="V43" s="2251"/>
      <c r="W43" s="2252"/>
      <c r="X43" s="2251"/>
      <c r="Y43" s="2252"/>
      <c r="Z43" s="2360"/>
      <c r="AA43" s="2379"/>
      <c r="AB43" s="2380"/>
      <c r="AC43" s="2343"/>
      <c r="AD43" s="2388"/>
      <c r="AE43" s="2389"/>
      <c r="AF43" s="2389"/>
      <c r="AG43" s="2401"/>
      <c r="AH43" s="2388"/>
      <c r="AI43" s="2389"/>
      <c r="AJ43" s="2389"/>
      <c r="AK43" s="2401"/>
      <c r="AL43" s="2388"/>
      <c r="AM43" s="2389"/>
      <c r="AN43" s="2389"/>
      <c r="AO43" s="2401"/>
      <c r="AP43" s="2388"/>
      <c r="AQ43" s="2389"/>
      <c r="AR43" s="2389"/>
      <c r="AS43" s="2401"/>
      <c r="AT43" s="2251"/>
      <c r="AU43" s="2252"/>
      <c r="AV43" s="2251"/>
      <c r="AW43" s="2252"/>
      <c r="AX43" s="2360"/>
      <c r="AY43" s="2379"/>
      <c r="AZ43" s="2380"/>
      <c r="BA43" s="2343"/>
      <c r="BB43" s="2346"/>
      <c r="BC43" s="2185"/>
    </row>
    <row customHeight="1" ht="14.25">
      <c r="A44" s="1529"/>
      <c r="B44" s="1529" t="s">
        <v>132</v>
      </c>
      <c r="C44" s="1529" t="s">
        <v>133</v>
      </c>
      <c r="D44" s="1529" t="s">
        <v>134</v>
      </c>
      <c r="E44" s="1523" t="s">
        <v>435</v>
      </c>
      <c r="F44" s="1523" t="s">
        <v>436</v>
      </c>
      <c r="G44" s="1523" t="s">
        <v>437</v>
      </c>
      <c r="H44" s="1523" t="s">
        <v>438</v>
      </c>
      <c r="I44" s="1523" t="s">
        <v>439</v>
      </c>
      <c r="J44" s="1523" t="s">
        <v>440</v>
      </c>
      <c r="K44" s="1523" t="s">
        <v>441</v>
      </c>
      <c r="L44" s="1523" t="s">
        <v>416</v>
      </c>
      <c r="Q44" s="445"/>
      <c r="R44" s="530"/>
      <c r="S44" s="2338"/>
      <c r="T44" s="2275"/>
      <c r="U44" s="456"/>
      <c r="V44" s="1638" t="s">
        <v>476</v>
      </c>
      <c r="W44" s="1638" t="s">
        <v>477</v>
      </c>
      <c r="X44" s="1638" t="s">
        <v>476</v>
      </c>
      <c r="Y44" s="1638" t="s">
        <v>477</v>
      </c>
      <c r="Z44" s="1648" t="s">
        <v>444</v>
      </c>
      <c r="AA44" s="2334" t="s">
        <v>445</v>
      </c>
      <c r="AB44" s="2335"/>
      <c r="AC44" s="2344"/>
      <c r="AD44" s="2390"/>
      <c r="AE44" s="2391"/>
      <c r="AF44" s="2391"/>
      <c r="AG44" s="2392"/>
      <c r="AH44" s="2390"/>
      <c r="AI44" s="2391"/>
      <c r="AJ44" s="2391"/>
      <c r="AK44" s="2392"/>
      <c r="AL44" s="2390"/>
      <c r="AM44" s="2391"/>
      <c r="AN44" s="2391"/>
      <c r="AO44" s="2392"/>
      <c r="AP44" s="2390"/>
      <c r="AQ44" s="2391"/>
      <c r="AR44" s="2391"/>
      <c r="AS44" s="2392"/>
      <c r="AT44" s="1638" t="s">
        <v>476</v>
      </c>
      <c r="AU44" s="1638" t="s">
        <v>477</v>
      </c>
      <c r="AV44" s="1638" t="s">
        <v>476</v>
      </c>
      <c r="AW44" s="1638" t="s">
        <v>477</v>
      </c>
      <c r="AX44" s="1648" t="s">
        <v>444</v>
      </c>
      <c r="AY44" s="2334" t="s">
        <v>445</v>
      </c>
      <c r="AZ44" s="2335"/>
      <c r="BA44" s="2344"/>
      <c r="BB44" s="2347"/>
      <c r="BC44" s="2185"/>
    </row>
    <row s="8552" customFormat="1" customHeight="1" ht="11.25" hidden="1">
      <c r="A45" s="1529"/>
      <c r="B45" s="1529"/>
      <c r="C45" s="1529"/>
      <c r="D45" s="1529"/>
      <c r="E45" s="1529"/>
      <c r="F45" s="1529"/>
      <c r="G45" s="1529"/>
      <c r="H45" s="1529"/>
      <c r="I45" s="1529"/>
      <c r="J45" s="1529"/>
      <c r="K45" s="1529"/>
      <c r="L45" s="1523"/>
      <c r="M45" s="1521"/>
      <c r="N45" s="1521"/>
      <c r="O45" s="1521"/>
      <c r="P45" s="664"/>
      <c r="Q45" s="1412"/>
      <c r="R45" s="1412">
        <v>1</v>
      </c>
      <c r="S45" s="1436" t="s">
        <v>106</v>
      </c>
      <c r="T45" s="1413" t="s">
        <v>107</v>
      </c>
      <c r="U45" s="1403" t="str">
        <f>OFFSET(U45,0,-1)</f>
        <v>2</v>
      </c>
      <c r="V45" s="1641">
        <f>OFFSET(V45,0,-1)+1</f>
        <v>3</v>
      </c>
      <c r="W45" s="1641">
        <f>OFFSET(W45,0,-1)+1</f>
        <v>4</v>
      </c>
      <c r="X45" s="1641">
        <f>OFFSET(X45,0,-1)+1</f>
        <v>5</v>
      </c>
      <c r="Y45" s="1641">
        <f>OFFSET(Y45,0,-1)+1</f>
        <v>6</v>
      </c>
      <c r="Z45" s="1641">
        <f>OFFSET(Z45,0,-1)+1</f>
        <v>7</v>
      </c>
      <c r="AA45" s="2336">
        <f>OFFSET(AA45,0,-1)+1</f>
        <v>8</v>
      </c>
      <c r="AB45" s="2336"/>
      <c r="AC45" s="1641">
        <f>OFFSET(AC45,0,-2)+1</f>
        <v>9</v>
      </c>
      <c r="AD45" s="1641">
        <f>OFFSET(AD45,0,-1)+1</f>
        <v>10</v>
      </c>
      <c r="AE45" s="1641"/>
      <c r="AF45" s="1641"/>
      <c r="AG45" s="1641"/>
      <c r="AH45" s="1641"/>
      <c r="AI45" s="1641"/>
      <c r="AJ45" s="1641"/>
      <c r="AK45" s="1641"/>
      <c r="AL45" s="1641"/>
      <c r="AM45" s="1641"/>
      <c r="AN45" s="1641"/>
      <c r="AO45" s="1641"/>
      <c r="AP45" s="1641"/>
      <c r="AQ45" s="1641"/>
      <c r="AR45" s="1641"/>
      <c r="AS45" s="1641"/>
      <c r="AT45" s="1641"/>
      <c r="AU45" s="1641"/>
      <c r="AV45" s="1641"/>
      <c r="AW45" s="1641">
        <f>OFFSET(AW45,0,-1)+1</f>
        <v>1</v>
      </c>
      <c r="AX45" s="1641">
        <f>OFFSET(AX45,0,-1)+1</f>
        <v>2</v>
      </c>
      <c r="AY45" s="2336">
        <f>OFFSET(AY45,0,-1)+1</f>
        <v>3</v>
      </c>
      <c r="AZ45" s="2336"/>
      <c r="BA45" s="1641">
        <f>OFFSET(BA45,0,-2)+1</f>
        <v>4</v>
      </c>
      <c r="BB45" s="1403">
        <f>OFFSET(BB45,0,-1)</f>
        <v>4</v>
      </c>
      <c r="BC45" s="1641">
        <f>OFFSET(BC45,0,-1)+1</f>
        <v>5</v>
      </c>
      <c r="BD45" s="665"/>
      <c r="BE45" s="665"/>
      <c r="BF45" s="665"/>
      <c r="BG45" s="665"/>
      <c r="BH45" s="665"/>
    </row>
    <row customHeight="1" ht="21">
      <c r="A46" s="1522" t="s">
        <v>276</v>
      </c>
      <c r="B46" s="1522"/>
      <c r="C46" s="1522"/>
      <c r="D46" s="1522"/>
      <c r="E46" s="2320">
        <v>1</v>
      </c>
      <c r="F46" s="1522"/>
      <c r="G46" s="1522"/>
      <c r="H46" s="1522"/>
      <c r="I46" s="1522"/>
      <c r="J46" s="1522"/>
      <c r="K46" s="1522"/>
      <c r="L46" s="1523"/>
      <c r="M46" s="1524"/>
      <c r="N46" s="1524"/>
      <c r="O46" s="1524"/>
      <c r="P46" s="1568"/>
      <c r="Q46" s="1027"/>
      <c r="R46" s="509"/>
      <c r="S46" s="1652">
        <f>INDEX(PT_DIFFERENTIATION_NUM_NTAR,MATCH(A46,PT_DIFFERENTIATION_NTAR_ID,0))</f>
        <v>0</v>
      </c>
      <c r="T46" s="452" t="s">
        <v>120</v>
      </c>
      <c r="U46" s="454"/>
      <c r="V46" s="2315"/>
      <c r="W46" s="2315"/>
      <c r="X46" s="2315"/>
      <c r="Y46" s="2315"/>
      <c r="Z46" s="2315"/>
      <c r="AA46" s="2315"/>
      <c r="AB46" s="2315"/>
      <c r="AC46" s="2316"/>
      <c r="AD46" s="2314" t="str">
        <f>INDEX(PT_DIFFERENTIATION_NTAR,MATCH(A46,PT_DIFFERENTIATION_NTAR_ID,0))</f>
        <v/>
      </c>
      <c r="AE46" s="2315"/>
      <c r="AF46" s="2315"/>
      <c r="AG46" s="2315"/>
      <c r="AH46" s="2315"/>
      <c r="AI46" s="2315"/>
      <c r="AJ46" s="2315"/>
      <c r="AK46" s="2315"/>
      <c r="AL46" s="2315"/>
      <c r="AM46" s="2315"/>
      <c r="AN46" s="2315"/>
      <c r="AO46" s="2315"/>
      <c r="AP46" s="2315"/>
      <c r="AQ46" s="2315"/>
      <c r="AR46" s="2315"/>
      <c r="AS46" s="2315"/>
      <c r="AT46" s="2315"/>
      <c r="AU46" s="2315"/>
      <c r="AV46" s="2315"/>
      <c r="AW46" s="2315"/>
      <c r="AX46" s="2315"/>
      <c r="AY46" s="2315"/>
      <c r="AZ46" s="2315"/>
      <c r="BA46" s="2315"/>
      <c r="BB46" s="2316"/>
      <c r="BC46" s="1416"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BE46" s="654"/>
      <c r="BF46" s="654" t="str">
        <f>IF(T46="","",T46)</f>
        <v>Наименование тарифа</v>
      </c>
      <c r="BG46" s="654"/>
      <c r="BH46" s="654"/>
    </row>
    <row customHeight="1" ht="21">
      <c r="A47" s="1522" t="s">
        <v>276</v>
      </c>
      <c r="B47" s="1522" t="s">
        <v>277</v>
      </c>
      <c r="C47" s="1522"/>
      <c r="D47" s="1522"/>
      <c r="E47" s="2321"/>
      <c r="F47" s="2320">
        <v>1</v>
      </c>
      <c r="G47" s="1522"/>
      <c r="H47" s="1522"/>
      <c r="I47" s="1522"/>
      <c r="J47" s="1522"/>
      <c r="K47" s="1522"/>
      <c r="L47" s="1523"/>
      <c r="M47" s="1524"/>
      <c r="N47" s="1524"/>
      <c r="O47" s="1524"/>
      <c r="P47" s="1569"/>
      <c r="Q47" s="1570"/>
      <c r="R47" s="507"/>
      <c r="S47" s="1652" t="str">
        <f>INDEX(PT_DIFFERENTIATION_NUM_TER,MATCH(B47,PT_DIFFERENTIATION_TER_ID,0))</f>
        <v>.</v>
      </c>
      <c r="T47" s="462" t="s">
        <v>397</v>
      </c>
      <c r="U47" s="454"/>
      <c r="V47" s="2315"/>
      <c r="W47" s="2315"/>
      <c r="X47" s="2315"/>
      <c r="Y47" s="2315"/>
      <c r="Z47" s="2315"/>
      <c r="AA47" s="2315"/>
      <c r="AB47" s="2315"/>
      <c r="AC47" s="2316"/>
      <c r="AD47" s="2314" t="str">
        <f>INDEX(PT_DIFFERENTIATION_TER,MATCH(B47,PT_DIFFERENTIATION_TER_ID,0))</f>
        <v/>
      </c>
      <c r="AE47" s="2315"/>
      <c r="AF47" s="2315"/>
      <c r="AG47" s="2315"/>
      <c r="AH47" s="2315"/>
      <c r="AI47" s="2315"/>
      <c r="AJ47" s="2315"/>
      <c r="AK47" s="2315"/>
      <c r="AL47" s="2315"/>
      <c r="AM47" s="2315"/>
      <c r="AN47" s="2315"/>
      <c r="AO47" s="2315"/>
      <c r="AP47" s="2315"/>
      <c r="AQ47" s="2315"/>
      <c r="AR47" s="2315"/>
      <c r="AS47" s="2315"/>
      <c r="AT47" s="2315"/>
      <c r="AU47" s="2315"/>
      <c r="AV47" s="2315"/>
      <c r="AW47" s="2315"/>
      <c r="AX47" s="2315"/>
      <c r="AY47" s="2315"/>
      <c r="AZ47" s="2315"/>
      <c r="BA47" s="2315"/>
      <c r="BB47" s="2316"/>
      <c r="BC47" s="1416" t="s">
        <v>398</v>
      </c>
      <c r="BE47" s="654"/>
      <c r="BF47" s="654" t="str">
        <f>IF(T47="","",T47)</f>
        <v>Территория действия тарифа</v>
      </c>
      <c r="BG47" s="654"/>
      <c r="BH47" s="654"/>
    </row>
    <row customHeight="1" ht="33.75">
      <c r="A48" s="1522" t="s">
        <v>276</v>
      </c>
      <c r="B48" s="1522" t="s">
        <v>277</v>
      </c>
      <c r="C48" s="1522" t="s">
        <v>278</v>
      </c>
      <c r="D48" s="1522"/>
      <c r="E48" s="2321"/>
      <c r="F48" s="2321"/>
      <c r="G48" s="2320">
        <v>1</v>
      </c>
      <c r="H48" s="1522"/>
      <c r="I48" s="1522"/>
      <c r="J48" s="1522"/>
      <c r="K48" s="1522"/>
      <c r="L48" s="1523"/>
      <c r="M48" s="1524"/>
      <c r="N48" s="1524"/>
      <c r="O48" s="1524"/>
      <c r="P48" s="1571"/>
      <c r="Q48" s="1570"/>
      <c r="R48" s="507"/>
      <c r="S48" s="1652" t="str">
        <f>INDEX(PT_DIFFERENTIATION_NUM_CS,MATCH(C48,PT_DIFFERENTIATION_CS_ID,0))</f>
        <v>..</v>
      </c>
      <c r="T48" s="463" t="s">
        <v>514</v>
      </c>
      <c r="U48" s="454"/>
      <c r="V48" s="2315"/>
      <c r="W48" s="2315"/>
      <c r="X48" s="2315"/>
      <c r="Y48" s="2315"/>
      <c r="Z48" s="2315"/>
      <c r="AA48" s="2315"/>
      <c r="AB48" s="2315"/>
      <c r="AC48" s="2316"/>
      <c r="AD48" s="2314" t="str">
        <f>INDEX(PT_DIFFERENTIATION_CS,MATCH(C48,PT_DIFFERENTIATION_CS_ID,0))</f>
        <v/>
      </c>
      <c r="AE48" s="2315"/>
      <c r="AF48" s="2315"/>
      <c r="AG48" s="2315"/>
      <c r="AH48" s="2315"/>
      <c r="AI48" s="2315"/>
      <c r="AJ48" s="2315"/>
      <c r="AK48" s="2315"/>
      <c r="AL48" s="2315"/>
      <c r="AM48" s="2315"/>
      <c r="AN48" s="2315"/>
      <c r="AO48" s="2315"/>
      <c r="AP48" s="2315"/>
      <c r="AQ48" s="2315"/>
      <c r="AR48" s="2315"/>
      <c r="AS48" s="2315"/>
      <c r="AT48" s="2315"/>
      <c r="AU48" s="2315"/>
      <c r="AV48" s="2315"/>
      <c r="AW48" s="2315"/>
      <c r="AX48" s="2315"/>
      <c r="AY48" s="2315"/>
      <c r="AZ48" s="2315"/>
      <c r="BA48" s="2315"/>
      <c r="BB48" s="2316"/>
      <c r="BC48" s="1416" t="s">
        <v>515</v>
      </c>
      <c r="BE48" s="654"/>
      <c r="BF48" s="654" t="str">
        <f>IF(T48="","",T48)</f>
        <v>Наименование централизованной системы водоотведения</v>
      </c>
      <c r="BG48" s="654"/>
      <c r="BH48" s="654"/>
    </row>
    <row s="8794" customFormat="1" customHeight="1" ht="0">
      <c r="A49" s="1502" t="s">
        <v>276</v>
      </c>
      <c r="B49" s="1502" t="s">
        <v>277</v>
      </c>
      <c r="C49" s="1502" t="s">
        <v>278</v>
      </c>
      <c r="D49" s="1502" t="s">
        <v>527</v>
      </c>
      <c r="E49" s="2321"/>
      <c r="F49" s="2321"/>
      <c r="G49" s="2321"/>
      <c r="H49" s="2320">
        <v>1</v>
      </c>
      <c r="I49" s="1502"/>
      <c r="J49" s="1502"/>
      <c r="K49" s="1502"/>
      <c r="L49" s="1505"/>
      <c r="M49" s="1474"/>
      <c r="N49" s="1474"/>
      <c r="O49" s="1474"/>
      <c r="P49" s="1656"/>
      <c r="Q49" s="1657"/>
      <c r="R49" s="511"/>
      <c r="S49" s="1197"/>
      <c r="T49" s="1658"/>
      <c r="U49" s="1543"/>
      <c r="V49" s="2363"/>
      <c r="W49" s="2363"/>
      <c r="X49" s="2363"/>
      <c r="Y49" s="2363"/>
      <c r="Z49" s="2363"/>
      <c r="AA49" s="2363"/>
      <c r="AB49" s="2363"/>
      <c r="AC49" s="2364"/>
      <c r="AD49" s="2362"/>
      <c r="AE49" s="2363"/>
      <c r="AF49" s="2363"/>
      <c r="AG49" s="2363"/>
      <c r="AH49" s="2363"/>
      <c r="AI49" s="2363"/>
      <c r="AJ49" s="2363"/>
      <c r="AK49" s="2363"/>
      <c r="AL49" s="2363"/>
      <c r="AM49" s="2363"/>
      <c r="AN49" s="2363"/>
      <c r="AO49" s="2363"/>
      <c r="AP49" s="2363"/>
      <c r="AQ49" s="2363"/>
      <c r="AR49" s="2363"/>
      <c r="AS49" s="2363"/>
      <c r="AT49" s="2363"/>
      <c r="AU49" s="2363"/>
      <c r="AV49" s="2363"/>
      <c r="AW49" s="2363"/>
      <c r="AX49" s="2363"/>
      <c r="AY49" s="2363"/>
      <c r="AZ49" s="2363"/>
      <c r="BA49" s="2363"/>
      <c r="BB49" s="2364"/>
      <c r="BC49" s="1544" t="s">
        <v>402</v>
      </c>
      <c r="BE49" s="654"/>
      <c r="BF49" s="654" t="str">
        <f>IF(T49="","",T49)</f>
        <v/>
      </c>
      <c r="BG49" s="654"/>
      <c r="BH49" s="654"/>
    </row>
    <row s="8794" customFormat="1" customHeight="1" ht="0">
      <c r="A50" s="1502" t="s">
        <v>276</v>
      </c>
      <c r="B50" s="1502" t="s">
        <v>277</v>
      </c>
      <c r="C50" s="1502" t="s">
        <v>278</v>
      </c>
      <c r="D50" s="1502" t="s">
        <v>527</v>
      </c>
      <c r="E50" s="2321"/>
      <c r="F50" s="2321"/>
      <c r="G50" s="2321"/>
      <c r="H50" s="2321"/>
      <c r="I50" s="2322" t="str">
        <f>S49&amp;".1"</f>
        <v>.1</v>
      </c>
      <c r="J50" s="1502"/>
      <c r="K50" s="1502"/>
      <c r="L50" s="1505" t="s">
        <v>403</v>
      </c>
      <c r="M50" s="664"/>
      <c r="N50" s="664"/>
      <c r="O50" s="664"/>
      <c r="P50" s="2324">
        <v>1</v>
      </c>
      <c r="Q50" s="1640"/>
      <c r="R50" s="510"/>
      <c r="S50" s="1197"/>
      <c r="T50" s="1542"/>
      <c r="U50" s="1543"/>
      <c r="V50" s="2363"/>
      <c r="W50" s="2363"/>
      <c r="X50" s="2363"/>
      <c r="Y50" s="2363"/>
      <c r="Z50" s="2363"/>
      <c r="AA50" s="2363"/>
      <c r="AB50" s="2363"/>
      <c r="AC50" s="2364"/>
      <c r="AD50" s="2362"/>
      <c r="AE50" s="2363"/>
      <c r="AF50" s="2363"/>
      <c r="AG50" s="2363"/>
      <c r="AH50" s="2363"/>
      <c r="AI50" s="2363"/>
      <c r="AJ50" s="2363"/>
      <c r="AK50" s="2363"/>
      <c r="AL50" s="2363"/>
      <c r="AM50" s="2363"/>
      <c r="AN50" s="2363"/>
      <c r="AO50" s="2363"/>
      <c r="AP50" s="2363"/>
      <c r="AQ50" s="2363"/>
      <c r="AR50" s="2363"/>
      <c r="AS50" s="2363"/>
      <c r="AT50" s="2363"/>
      <c r="AU50" s="2363"/>
      <c r="AV50" s="2363"/>
      <c r="AW50" s="2363"/>
      <c r="AX50" s="2363"/>
      <c r="AY50" s="2363"/>
      <c r="AZ50" s="2363"/>
      <c r="BA50" s="2363"/>
      <c r="BB50" s="2364"/>
      <c r="BC50" s="1544"/>
      <c r="BE50" s="654"/>
      <c r="BF50" s="654" t="str">
        <f>IF(T50="","",T50)</f>
        <v/>
      </c>
      <c r="BG50" s="654"/>
      <c r="BH50" s="654"/>
    </row>
    <row s="8794" customFormat="1" customHeight="1" ht="0">
      <c r="A51" s="1502" t="s">
        <v>276</v>
      </c>
      <c r="B51" s="1502" t="s">
        <v>277</v>
      </c>
      <c r="C51" s="1502" t="s">
        <v>278</v>
      </c>
      <c r="D51" s="1502" t="s">
        <v>527</v>
      </c>
      <c r="E51" s="2321"/>
      <c r="F51" s="2321"/>
      <c r="G51" s="2321"/>
      <c r="H51" s="2321"/>
      <c r="I51" s="2323"/>
      <c r="J51" s="2322" t="str">
        <f>S49&amp;".1"</f>
        <v>.1</v>
      </c>
      <c r="K51" s="1502"/>
      <c r="L51" s="1505"/>
      <c r="M51" s="664"/>
      <c r="N51" s="664"/>
      <c r="O51" s="664"/>
      <c r="P51" s="2324"/>
      <c r="Q51" s="2324">
        <v>1</v>
      </c>
      <c r="R51" s="511"/>
      <c r="S51" s="1197"/>
      <c r="T51" s="1558"/>
      <c r="U51" s="1543"/>
      <c r="V51" s="2363"/>
      <c r="W51" s="2363"/>
      <c r="X51" s="2363"/>
      <c r="Y51" s="2363"/>
      <c r="Z51" s="2363"/>
      <c r="AA51" s="2363"/>
      <c r="AB51" s="2363"/>
      <c r="AC51" s="2364"/>
      <c r="AD51" s="2362"/>
      <c r="AE51" s="2363"/>
      <c r="AF51" s="2363"/>
      <c r="AG51" s="2363"/>
      <c r="AH51" s="2363"/>
      <c r="AI51" s="2363"/>
      <c r="AJ51" s="2363"/>
      <c r="AK51" s="2363"/>
      <c r="AL51" s="2363"/>
      <c r="AM51" s="2363"/>
      <c r="AN51" s="2423"/>
      <c r="AO51" s="2423"/>
      <c r="AP51" s="2363"/>
      <c r="AQ51" s="2363"/>
      <c r="AR51" s="2363"/>
      <c r="AS51" s="2363"/>
      <c r="AT51" s="2363"/>
      <c r="AU51" s="2363"/>
      <c r="AV51" s="2363"/>
      <c r="AW51" s="2363"/>
      <c r="AX51" s="2363"/>
      <c r="AY51" s="2363"/>
      <c r="AZ51" s="2363"/>
      <c r="BA51" s="2363"/>
      <c r="BB51" s="2364"/>
      <c r="BC51" s="1544"/>
      <c r="BE51" s="654"/>
      <c r="BF51" s="654" t="str">
        <f>IF(T51="","",T51)</f>
        <v/>
      </c>
      <c r="BG51" s="654"/>
      <c r="BH51" s="654"/>
    </row>
    <row customHeight="1" ht="11.25">
      <c r="A52" s="1522" t="s">
        <v>276</v>
      </c>
      <c r="B52" s="1522" t="s">
        <v>277</v>
      </c>
      <c r="C52" s="1522" t="s">
        <v>278</v>
      </c>
      <c r="D52" s="1522" t="s">
        <v>527</v>
      </c>
      <c r="E52" s="2321"/>
      <c r="F52" s="2321"/>
      <c r="G52" s="2321"/>
      <c r="H52" s="2321"/>
      <c r="I52" s="2323"/>
      <c r="J52" s="2323"/>
      <c r="K52" s="2322" t="str">
        <f>S48&amp;".1"</f>
        <v>...1</v>
      </c>
      <c r="L52" s="1523"/>
      <c r="P52" s="2324"/>
      <c r="Q52" s="2324"/>
      <c r="R52" s="511">
        <v>1</v>
      </c>
      <c r="S52" s="2397" t="str">
        <f>$K52</f>
        <v>...1</v>
      </c>
      <c r="T52" s="2417"/>
      <c r="U52" s="454"/>
      <c r="V52" s="905"/>
      <c r="W52" s="1415"/>
      <c r="X52" s="905"/>
      <c r="Y52" s="1415"/>
      <c r="Z52" s="1893"/>
      <c r="AA52" s="1628" t="s">
        <v>64</v>
      </c>
      <c r="AB52" s="1893"/>
      <c r="AC52" s="1628" t="s">
        <v>64</v>
      </c>
      <c r="AD52" s="2258" t="s">
        <v>64</v>
      </c>
      <c r="AE52" s="2393"/>
      <c r="AF52" s="2271">
        <v>1</v>
      </c>
      <c r="AG52" s="2416"/>
      <c r="AH52" s="2195" t="s">
        <v>64</v>
      </c>
      <c r="AI52" s="2393"/>
      <c r="AJ52" s="2271">
        <v>1</v>
      </c>
      <c r="AK52" s="2415" t="s">
        <v>24</v>
      </c>
      <c r="AL52" s="2195" t="s">
        <v>64</v>
      </c>
      <c r="AM52" s="2243"/>
      <c r="AN52" s="2271">
        <v>1</v>
      </c>
      <c r="AO52" s="2420"/>
      <c r="AP52" s="2421" t="s">
        <v>64</v>
      </c>
      <c r="AQ52" s="465"/>
      <c r="AR52" s="1645">
        <v>1</v>
      </c>
      <c r="AS52" s="1651" t="s">
        <v>24</v>
      </c>
      <c r="AT52" s="905"/>
      <c r="AU52" s="1415"/>
      <c r="AV52" s="905"/>
      <c r="AW52" s="1415"/>
      <c r="AX52" s="1893"/>
      <c r="AY52" s="1628" t="s">
        <v>64</v>
      </c>
      <c r="AZ52" s="1893"/>
      <c r="BA52" s="1628" t="s">
        <v>64</v>
      </c>
      <c r="BB52" s="1507"/>
      <c r="BC52" s="2350" t="s">
        <v>499</v>
      </c>
      <c r="BE52" s="654"/>
      <c r="BF52" s="654" t="str">
        <f>IF(T52="","",T52)</f>
        <v/>
      </c>
      <c r="BG52" s="654"/>
      <c r="BH52" s="654"/>
    </row>
    <row customHeight="1" ht="11.25">
      <c r="A53" s="1522"/>
      <c r="B53" s="1522"/>
      <c r="C53" s="1522"/>
      <c r="D53" s="1522"/>
      <c r="E53" s="2321"/>
      <c r="F53" s="2321"/>
      <c r="G53" s="2321"/>
      <c r="H53" s="2321"/>
      <c r="I53" s="2323"/>
      <c r="J53" s="2323"/>
      <c r="K53" s="2322"/>
      <c r="L53" s="1523"/>
      <c r="P53" s="2324"/>
      <c r="Q53" s="2324"/>
      <c r="R53" s="511"/>
      <c r="S53" s="2398"/>
      <c r="T53" s="2418"/>
      <c r="U53" s="454"/>
      <c r="V53" s="1552"/>
      <c r="W53" s="1655"/>
      <c r="X53" s="1552"/>
      <c r="Y53" s="1655"/>
      <c r="Z53" s="1552"/>
      <c r="AA53" s="1552"/>
      <c r="AB53" s="1552"/>
      <c r="AC53" s="1552"/>
      <c r="AD53" s="2259"/>
      <c r="AE53" s="2393"/>
      <c r="AF53" s="2271"/>
      <c r="AG53" s="2416"/>
      <c r="AH53" s="2195"/>
      <c r="AI53" s="2393"/>
      <c r="AJ53" s="2271"/>
      <c r="AK53" s="2415"/>
      <c r="AL53" s="2195"/>
      <c r="AM53" s="2251"/>
      <c r="AN53" s="2271"/>
      <c r="AO53" s="2420"/>
      <c r="AP53" s="2422"/>
      <c r="AQ53" s="470"/>
      <c r="AR53" s="570"/>
      <c r="AS53" s="570" t="s">
        <v>500</v>
      </c>
      <c r="AT53" s="1552"/>
      <c r="AU53" s="1655"/>
      <c r="AV53" s="1552"/>
      <c r="AW53" s="1655"/>
      <c r="AX53" s="1552"/>
      <c r="AY53" s="1552"/>
      <c r="AZ53" s="1552"/>
      <c r="BA53" s="1552"/>
      <c r="BB53" s="1556"/>
      <c r="BC53" s="2351"/>
      <c r="BE53" s="654"/>
      <c r="BF53" s="654"/>
      <c r="BG53" s="654"/>
      <c r="BH53" s="654"/>
    </row>
    <row customHeight="1" ht="11.25">
      <c r="A54" s="1522" t="s">
        <v>276</v>
      </c>
      <c r="B54" s="1522"/>
      <c r="C54" s="1522"/>
      <c r="D54" s="1522"/>
      <c r="E54" s="2321"/>
      <c r="F54" s="2321"/>
      <c r="G54" s="2321"/>
      <c r="H54" s="2321"/>
      <c r="I54" s="2323"/>
      <c r="J54" s="2323"/>
      <c r="K54" s="2322"/>
      <c r="L54" s="1523"/>
      <c r="P54" s="2324"/>
      <c r="Q54" s="2324"/>
      <c r="R54" s="511"/>
      <c r="S54" s="2398"/>
      <c r="T54" s="2418"/>
      <c r="U54" s="454"/>
      <c r="V54" s="1552"/>
      <c r="W54" s="1655"/>
      <c r="X54" s="1552"/>
      <c r="Y54" s="1655"/>
      <c r="Z54" s="1552"/>
      <c r="AA54" s="1552"/>
      <c r="AB54" s="1552"/>
      <c r="AC54" s="1552"/>
      <c r="AD54" s="2259"/>
      <c r="AE54" s="2393"/>
      <c r="AF54" s="2271"/>
      <c r="AG54" s="2416"/>
      <c r="AH54" s="2195"/>
      <c r="AI54" s="2393"/>
      <c r="AJ54" s="2271"/>
      <c r="AK54" s="2415"/>
      <c r="AL54" s="2195"/>
      <c r="AM54" s="470"/>
      <c r="AN54" s="1659"/>
      <c r="AO54" s="1659" t="s">
        <v>520</v>
      </c>
      <c r="AP54" s="570"/>
      <c r="AQ54" s="570"/>
      <c r="AR54" s="570"/>
      <c r="AS54" s="1552"/>
      <c r="AT54" s="1552"/>
      <c r="AU54" s="1655"/>
      <c r="AV54" s="1552"/>
      <c r="AW54" s="1655"/>
      <c r="AX54" s="1552"/>
      <c r="AY54" s="1552"/>
      <c r="AZ54" s="1552"/>
      <c r="BA54" s="1552"/>
      <c r="BB54" s="1556"/>
      <c r="BC54" s="2351"/>
      <c r="BE54" s="654"/>
      <c r="BF54" s="654"/>
      <c r="BG54" s="654"/>
      <c r="BH54" s="654"/>
    </row>
    <row customHeight="1" ht="11.25">
      <c r="A55" s="1522" t="s">
        <v>276</v>
      </c>
      <c r="B55" s="1522"/>
      <c r="C55" s="1522"/>
      <c r="D55" s="1522"/>
      <c r="E55" s="2321"/>
      <c r="F55" s="2321"/>
      <c r="G55" s="2321"/>
      <c r="H55" s="2321"/>
      <c r="I55" s="2323"/>
      <c r="J55" s="2323"/>
      <c r="K55" s="2322"/>
      <c r="L55" s="1523"/>
      <c r="P55" s="2324"/>
      <c r="Q55" s="2324"/>
      <c r="R55" s="511"/>
      <c r="S55" s="2398"/>
      <c r="T55" s="2418"/>
      <c r="U55" s="454"/>
      <c r="V55" s="1552"/>
      <c r="W55" s="1655"/>
      <c r="X55" s="1552"/>
      <c r="Y55" s="1655"/>
      <c r="Z55" s="1552"/>
      <c r="AA55" s="1552"/>
      <c r="AB55" s="1552"/>
      <c r="AC55" s="1552"/>
      <c r="AD55" s="2259"/>
      <c r="AE55" s="2393"/>
      <c r="AF55" s="2271"/>
      <c r="AG55" s="2416"/>
      <c r="AH55" s="2195"/>
      <c r="AI55" s="448"/>
      <c r="AJ55" s="569"/>
      <c r="AK55" s="467" t="s">
        <v>521</v>
      </c>
      <c r="AL55" s="1552"/>
      <c r="AM55" s="1552"/>
      <c r="AN55" s="1552"/>
      <c r="AO55" s="1552"/>
      <c r="AP55" s="1552"/>
      <c r="AQ55" s="1552"/>
      <c r="AR55" s="1552"/>
      <c r="AS55" s="1552"/>
      <c r="AT55" s="1552"/>
      <c r="AU55" s="1655"/>
      <c r="AV55" s="1552"/>
      <c r="AW55" s="1655"/>
      <c r="AX55" s="1552"/>
      <c r="AY55" s="1552"/>
      <c r="AZ55" s="1552"/>
      <c r="BA55" s="1552"/>
      <c r="BB55" s="1556"/>
      <c r="BC55" s="2351"/>
      <c r="BE55" s="654"/>
      <c r="BF55" s="654"/>
      <c r="BG55" s="654"/>
      <c r="BH55" s="654"/>
    </row>
    <row customHeight="1" ht="11.25">
      <c r="A56" s="1522" t="s">
        <v>276</v>
      </c>
      <c r="B56" s="1522" t="s">
        <v>277</v>
      </c>
      <c r="C56" s="1522" t="s">
        <v>278</v>
      </c>
      <c r="D56" s="1522" t="s">
        <v>527</v>
      </c>
      <c r="E56" s="2321"/>
      <c r="F56" s="2321"/>
      <c r="G56" s="2321"/>
      <c r="H56" s="2321"/>
      <c r="I56" s="2323"/>
      <c r="J56" s="2323"/>
      <c r="K56" s="2322"/>
      <c r="L56" s="1523"/>
      <c r="P56" s="2324"/>
      <c r="Q56" s="2324"/>
      <c r="R56" s="511"/>
      <c r="S56" s="2399"/>
      <c r="T56" s="2419"/>
      <c r="U56" s="454"/>
      <c r="V56" s="1552"/>
      <c r="W56" s="1553" t="str">
        <f>Z52&amp;"-"&amp;AB52</f>
        <v>-</v>
      </c>
      <c r="X56" s="1552"/>
      <c r="Y56" s="1553" t="str">
        <f>AB52&amp;"-"&amp;AD52</f>
        <v>-да</v>
      </c>
      <c r="Z56" s="1552"/>
      <c r="AA56" s="1552"/>
      <c r="AB56" s="1552"/>
      <c r="AC56" s="1552"/>
      <c r="AD56" s="2200"/>
      <c r="AE56" s="466"/>
      <c r="AF56" s="468"/>
      <c r="AG56" s="570" t="s">
        <v>503</v>
      </c>
      <c r="AH56" s="1552"/>
      <c r="AI56" s="1552"/>
      <c r="AJ56" s="1552"/>
      <c r="AK56" s="1552"/>
      <c r="AL56" s="1552"/>
      <c r="AM56" s="1552"/>
      <c r="AN56" s="1552"/>
      <c r="AO56" s="1552"/>
      <c r="AP56" s="1552"/>
      <c r="AQ56" s="1552"/>
      <c r="AR56" s="1552"/>
      <c r="AS56" s="1552"/>
      <c r="AT56" s="1552"/>
      <c r="AU56" s="1553" t="str">
        <f>AX52&amp;"-"&amp;AZ52</f>
        <v>-</v>
      </c>
      <c r="AV56" s="1552"/>
      <c r="AW56" s="1553" t="str">
        <f>AZ52&amp;"-"&amp;BB52</f>
        <v>-</v>
      </c>
      <c r="AX56" s="1552"/>
      <c r="AY56" s="1552"/>
      <c r="AZ56" s="1552"/>
      <c r="BA56" s="1552"/>
      <c r="BB56" s="1555" t="str">
        <f>BE52&amp;"-"&amp;BG52</f>
        <v>-</v>
      </c>
      <c r="BC56" s="2351"/>
      <c r="BE56" s="654"/>
      <c r="BF56" s="654" t="str">
        <f>IF(T56="","",T56)</f>
        <v/>
      </c>
      <c r="BG56" s="654"/>
      <c r="BH56" s="654"/>
    </row>
    <row customHeight="1" ht="11.25">
      <c r="A57" s="1522" t="s">
        <v>276</v>
      </c>
      <c r="B57" s="1522" t="s">
        <v>277</v>
      </c>
      <c r="C57" s="1522" t="s">
        <v>278</v>
      </c>
      <c r="D57" s="1522" t="s">
        <v>527</v>
      </c>
      <c r="E57" s="2321"/>
      <c r="F57" s="2321"/>
      <c r="G57" s="2321"/>
      <c r="H57" s="2321"/>
      <c r="I57" s="2323"/>
      <c r="J57" s="2322"/>
      <c r="K57" s="1522"/>
      <c r="L57" s="1523"/>
      <c r="P57" s="2324"/>
      <c r="Q57" s="2324"/>
      <c r="R57" s="510"/>
      <c r="S57" s="1437"/>
      <c r="T57" s="441" t="s">
        <v>465</v>
      </c>
      <c r="U57" s="521"/>
      <c r="V57" s="521"/>
      <c r="W57" s="521"/>
      <c r="X57" s="521"/>
      <c r="Y57" s="521"/>
      <c r="Z57" s="521"/>
      <c r="AA57" s="521"/>
      <c r="AB57" s="521"/>
      <c r="AC57" s="478"/>
      <c r="AD57" s="1664"/>
      <c r="AE57" s="521"/>
      <c r="AF57" s="521"/>
      <c r="AG57" s="521"/>
      <c r="AH57" s="521"/>
      <c r="AI57" s="521"/>
      <c r="AJ57" s="521"/>
      <c r="AK57" s="521"/>
      <c r="AL57" s="521"/>
      <c r="AM57" s="521"/>
      <c r="AN57" s="521"/>
      <c r="AO57" s="521"/>
      <c r="AP57" s="521"/>
      <c r="AQ57" s="521"/>
      <c r="AR57" s="521"/>
      <c r="AS57" s="521"/>
      <c r="AT57" s="521"/>
      <c r="AU57" s="521"/>
      <c r="AV57" s="521"/>
      <c r="AW57" s="521"/>
      <c r="AX57" s="521"/>
      <c r="AY57" s="521"/>
      <c r="AZ57" s="521"/>
      <c r="BA57" s="521"/>
      <c r="BB57" s="478"/>
      <c r="BC57" s="2352"/>
      <c r="BE57" s="654"/>
      <c r="BF57" s="654" t="str">
        <f>IF(T57="","",T57)</f>
        <v>Добавить строку</v>
      </c>
      <c r="BG57" s="654"/>
      <c r="BH57" s="654"/>
    </row>
    <row s="8794" customFormat="1" customHeight="1" ht="0">
      <c r="A58" s="1502" t="s">
        <v>276</v>
      </c>
      <c r="B58" s="1502" t="s">
        <v>277</v>
      </c>
      <c r="C58" s="1502" t="s">
        <v>278</v>
      </c>
      <c r="D58" s="1502" t="s">
        <v>527</v>
      </c>
      <c r="E58" s="2321"/>
      <c r="F58" s="2321"/>
      <c r="G58" s="2321"/>
      <c r="H58" s="2321"/>
      <c r="I58" s="2322"/>
      <c r="J58" s="1502"/>
      <c r="K58" s="1502"/>
      <c r="L58" s="1505"/>
      <c r="M58" s="664"/>
      <c r="N58" s="664"/>
      <c r="O58" s="664"/>
      <c r="P58" s="2324"/>
      <c r="Q58" s="1640"/>
      <c r="R58" s="510"/>
      <c r="S58" s="1545"/>
      <c r="T58" s="1546"/>
      <c r="U58" s="1547"/>
      <c r="V58" s="1547"/>
      <c r="W58" s="1547"/>
      <c r="X58" s="1547"/>
      <c r="Y58" s="1547"/>
      <c r="Z58" s="1547"/>
      <c r="AA58" s="1547"/>
      <c r="AB58" s="1547"/>
      <c r="AC58" s="1547"/>
      <c r="AD58" s="1547"/>
      <c r="AE58" s="1547"/>
      <c r="AF58" s="1547"/>
      <c r="AG58" s="1547"/>
      <c r="AH58" s="1547"/>
      <c r="AI58" s="1547"/>
      <c r="AJ58" s="1547"/>
      <c r="AK58" s="1547"/>
      <c r="AL58" s="1547"/>
      <c r="AM58" s="1547"/>
      <c r="AN58" s="1547"/>
      <c r="AO58" s="1547"/>
      <c r="AP58" s="1547"/>
      <c r="AQ58" s="1547"/>
      <c r="AR58" s="1547"/>
      <c r="AS58" s="1547"/>
      <c r="AT58" s="1547"/>
      <c r="AU58" s="1547"/>
      <c r="AV58" s="1547"/>
      <c r="AW58" s="1547"/>
      <c r="AX58" s="1547"/>
      <c r="AY58" s="1547"/>
      <c r="AZ58" s="1547"/>
      <c r="BA58" s="1547"/>
      <c r="BB58" s="1547"/>
      <c r="BC58" s="1548"/>
      <c r="BE58" s="654"/>
      <c r="BF58" s="654" t="str">
        <f>IF(T58="","",T58)</f>
        <v/>
      </c>
      <c r="BG58" s="654"/>
      <c r="BH58" s="654"/>
    </row>
    <row s="8794" customFormat="1" customHeight="1" ht="0">
      <c r="A59" s="1502" t="s">
        <v>276</v>
      </c>
      <c r="B59" s="1502" t="s">
        <v>277</v>
      </c>
      <c r="C59" s="1502" t="s">
        <v>278</v>
      </c>
      <c r="D59" s="1502" t="s">
        <v>527</v>
      </c>
      <c r="E59" s="2321"/>
      <c r="F59" s="2321"/>
      <c r="G59" s="2321"/>
      <c r="H59" s="2320"/>
      <c r="I59" s="1502"/>
      <c r="J59" s="1502"/>
      <c r="K59" s="1502"/>
      <c r="L59" s="1505"/>
      <c r="M59" s="1474"/>
      <c r="N59" s="1474"/>
      <c r="O59" s="672"/>
      <c r="P59" s="534"/>
      <c r="Q59" s="1503"/>
      <c r="R59" s="1560"/>
      <c r="S59" s="1545"/>
      <c r="T59" s="1546"/>
      <c r="U59" s="1547"/>
      <c r="V59" s="1547"/>
      <c r="W59" s="1547"/>
      <c r="X59" s="1547"/>
      <c r="Y59" s="1547"/>
      <c r="Z59" s="1547"/>
      <c r="AA59" s="1547"/>
      <c r="AB59" s="1547"/>
      <c r="AC59" s="1547"/>
      <c r="AD59" s="1547"/>
      <c r="AE59" s="1547"/>
      <c r="AF59" s="1547"/>
      <c r="AG59" s="1547"/>
      <c r="AH59" s="1547"/>
      <c r="AI59" s="1547"/>
      <c r="AJ59" s="1547"/>
      <c r="AK59" s="1547"/>
      <c r="AL59" s="1547"/>
      <c r="AM59" s="1547"/>
      <c r="AN59" s="1547"/>
      <c r="AO59" s="1547"/>
      <c r="AP59" s="1547"/>
      <c r="AQ59" s="1547"/>
      <c r="AR59" s="1547"/>
      <c r="AS59" s="1547"/>
      <c r="AT59" s="1547"/>
      <c r="AU59" s="1547"/>
      <c r="AV59" s="1547"/>
      <c r="AW59" s="1547"/>
      <c r="AX59" s="1547"/>
      <c r="AY59" s="1547"/>
      <c r="AZ59" s="1547"/>
      <c r="BA59" s="1547"/>
      <c r="BB59" s="1547"/>
      <c r="BC59" s="1548"/>
      <c r="BE59" s="654"/>
      <c r="BF59" s="654" t="str">
        <f>IF(T59="","",T59)</f>
        <v/>
      </c>
      <c r="BG59" s="654"/>
      <c r="BH59" s="654"/>
    </row>
    <row s="8702" customFormat="1" customHeight="1" ht="0">
      <c r="A60" s="1502" t="s">
        <v>276</v>
      </c>
      <c r="B60" s="1502" t="s">
        <v>277</v>
      </c>
      <c r="C60" s="1502" t="s">
        <v>278</v>
      </c>
      <c r="D60" s="1473"/>
      <c r="E60" s="2321"/>
      <c r="F60" s="2321"/>
      <c r="G60" s="2320"/>
      <c r="H60" s="1473"/>
      <c r="I60" s="1473"/>
      <c r="J60" s="1473"/>
      <c r="K60" s="1473"/>
      <c r="L60" s="1653"/>
      <c r="M60" s="1474"/>
      <c r="N60" s="1474"/>
      <c r="P60" s="1475"/>
      <c r="Q60" s="1476"/>
      <c r="R60" s="1475"/>
      <c r="S60" s="1481"/>
      <c r="T60" s="1484"/>
      <c r="U60" s="1483"/>
      <c r="V60" s="1483"/>
      <c r="W60" s="1483"/>
      <c r="X60" s="1483"/>
      <c r="Y60" s="1483"/>
      <c r="Z60" s="1483"/>
      <c r="AA60" s="1483"/>
      <c r="AB60" s="1483"/>
      <c r="AC60" s="1483"/>
      <c r="AD60" s="1483"/>
      <c r="AE60" s="1483"/>
      <c r="AF60" s="1483"/>
      <c r="AG60" s="1483"/>
      <c r="AH60" s="1483"/>
      <c r="AI60" s="1483"/>
      <c r="AJ60" s="1483"/>
      <c r="AK60" s="1483"/>
      <c r="AL60" s="1483"/>
      <c r="AM60" s="1483"/>
      <c r="AN60" s="1483"/>
      <c r="AO60" s="1483"/>
      <c r="AP60" s="1483"/>
      <c r="AQ60" s="1483"/>
      <c r="AR60" s="1483"/>
      <c r="AS60" s="1483"/>
      <c r="AT60" s="1483"/>
      <c r="AU60" s="1483"/>
      <c r="AV60" s="1483"/>
      <c r="AW60" s="1483"/>
      <c r="AX60" s="1483"/>
      <c r="AY60" s="1483"/>
      <c r="AZ60" s="1483"/>
      <c r="BA60" s="1483"/>
      <c r="BB60" s="1483"/>
      <c r="BC60" s="1483"/>
      <c r="BE60" s="943"/>
      <c r="BF60" s="943" t="str">
        <f>IF(T60="","",T60)</f>
        <v/>
      </c>
      <c r="BG60" s="943"/>
      <c r="BH60" s="943"/>
    </row>
    <row s="8702" customFormat="1" customHeight="1" ht="0">
      <c r="A61" s="1502" t="s">
        <v>276</v>
      </c>
      <c r="B61" s="1502" t="s">
        <v>277</v>
      </c>
      <c r="C61" s="1473"/>
      <c r="D61" s="1473"/>
      <c r="E61" s="2321"/>
      <c r="F61" s="2320"/>
      <c r="G61" s="1473"/>
      <c r="H61" s="1473"/>
      <c r="I61" s="1473"/>
      <c r="J61" s="1473"/>
      <c r="K61" s="1473"/>
      <c r="L61" s="1653"/>
      <c r="M61" s="1480"/>
      <c r="N61" s="1480"/>
      <c r="P61" s="1475"/>
      <c r="Q61" s="1476"/>
      <c r="R61" s="1475"/>
      <c r="S61" s="1481"/>
      <c r="T61" s="1484" t="s">
        <v>251</v>
      </c>
      <c r="U61" s="1483"/>
      <c r="V61" s="1483"/>
      <c r="W61" s="1483"/>
      <c r="X61" s="1483"/>
      <c r="Y61" s="1483"/>
      <c r="Z61" s="1483"/>
      <c r="AA61" s="1483"/>
      <c r="AB61" s="1483"/>
      <c r="AC61" s="1483"/>
      <c r="AD61" s="1483"/>
      <c r="AE61" s="1483"/>
      <c r="AF61" s="1483"/>
      <c r="AG61" s="1483"/>
      <c r="AH61" s="1483"/>
      <c r="AI61" s="1483"/>
      <c r="AJ61" s="1483"/>
      <c r="AK61" s="1483"/>
      <c r="AL61" s="1483"/>
      <c r="AM61" s="1483"/>
      <c r="AN61" s="1483"/>
      <c r="AO61" s="1483"/>
      <c r="AP61" s="1483"/>
      <c r="AQ61" s="1483"/>
      <c r="AR61" s="1483"/>
      <c r="AS61" s="1483"/>
      <c r="AT61" s="1483"/>
      <c r="AU61" s="1483"/>
      <c r="AV61" s="1483"/>
      <c r="AW61" s="1483"/>
      <c r="AX61" s="1483"/>
      <c r="AY61" s="1483"/>
      <c r="AZ61" s="1483"/>
      <c r="BA61" s="1483"/>
      <c r="BB61" s="1483"/>
      <c r="BC61" s="1483"/>
      <c r="BE61" s="943"/>
      <c r="BF61" s="943" t="str">
        <f>IF(T61="","",T61)</f>
        <v>Добавить централизованную систему для дифференциации</v>
      </c>
      <c r="BG61" s="943"/>
      <c r="BH61" s="943"/>
    </row>
    <row s="8794" customFormat="1" customHeight="1" ht="0">
      <c r="A62" s="1502" t="s">
        <v>276</v>
      </c>
      <c r="B62" s="1502"/>
      <c r="C62" s="1502"/>
      <c r="D62" s="1502"/>
      <c r="E62" s="2320"/>
      <c r="F62" s="1502"/>
      <c r="G62" s="1502"/>
      <c r="H62" s="1502"/>
      <c r="I62" s="1502"/>
      <c r="J62" s="1502"/>
      <c r="K62" s="1502"/>
      <c r="L62" s="1505"/>
      <c r="M62" s="1480"/>
      <c r="N62" s="1480"/>
      <c r="O62" s="672"/>
      <c r="P62" s="534"/>
      <c r="Q62" s="1503"/>
      <c r="R62" s="534"/>
      <c r="S62" s="1481"/>
      <c r="T62" s="1484" t="s">
        <v>252</v>
      </c>
      <c r="U62" s="1483"/>
      <c r="V62" s="1483"/>
      <c r="W62" s="1483"/>
      <c r="X62" s="1483"/>
      <c r="Y62" s="1483"/>
      <c r="Z62" s="1483"/>
      <c r="AA62" s="1483"/>
      <c r="AB62" s="1483"/>
      <c r="AC62" s="1483"/>
      <c r="AD62" s="1483"/>
      <c r="AE62" s="1483"/>
      <c r="AF62" s="1483"/>
      <c r="AG62" s="1483"/>
      <c r="AH62" s="1483"/>
      <c r="AI62" s="1483"/>
      <c r="AJ62" s="1483"/>
      <c r="AK62" s="1483"/>
      <c r="AL62" s="1483"/>
      <c r="AM62" s="1483"/>
      <c r="AN62" s="1483"/>
      <c r="AO62" s="1483"/>
      <c r="AP62" s="1483"/>
      <c r="AQ62" s="1483"/>
      <c r="AR62" s="1483"/>
      <c r="AS62" s="1483"/>
      <c r="AT62" s="1483"/>
      <c r="AU62" s="1483"/>
      <c r="AV62" s="1483"/>
      <c r="AW62" s="1483"/>
      <c r="AX62" s="1483"/>
      <c r="AY62" s="1483"/>
      <c r="AZ62" s="1483"/>
      <c r="BA62" s="1483"/>
      <c r="BB62" s="1483"/>
      <c r="BC62" s="1483"/>
      <c r="BE62" s="654"/>
      <c r="BF62" s="654" t="str">
        <f>IF(T62="","",T62)</f>
        <v>Добавить территорию для дифференциации</v>
      </c>
      <c r="BG62" s="654"/>
      <c r="BH62" s="654"/>
    </row>
    <row s="8702" customFormat="1" customHeight="1" ht="0">
      <c r="A63" s="1473"/>
      <c r="B63" s="1473"/>
      <c r="C63" s="1473"/>
      <c r="D63" s="1473"/>
      <c r="E63" s="1502"/>
      <c r="F63" s="1473"/>
      <c r="G63" s="1473"/>
      <c r="H63" s="1473"/>
      <c r="I63" s="1473"/>
      <c r="J63" s="1473"/>
      <c r="K63" s="1473"/>
      <c r="L63" s="1653"/>
      <c r="M63" s="1480"/>
      <c r="N63" s="1480"/>
      <c r="P63" s="1475"/>
      <c r="Q63" s="1476"/>
      <c r="R63" s="1475"/>
      <c r="S63" s="1481"/>
      <c r="T63" s="1484" t="s">
        <v>253</v>
      </c>
      <c r="U63" s="1483"/>
      <c r="V63" s="1483"/>
      <c r="W63" s="1483"/>
      <c r="X63" s="1483"/>
      <c r="Y63" s="1483"/>
      <c r="Z63" s="1483"/>
      <c r="AA63" s="1483"/>
      <c r="AB63" s="1483"/>
      <c r="AC63" s="1483"/>
      <c r="AD63" s="1483"/>
      <c r="AE63" s="1483"/>
      <c r="AF63" s="1483"/>
      <c r="AG63" s="1483"/>
      <c r="AH63" s="1483"/>
      <c r="AI63" s="1483"/>
      <c r="AJ63" s="1483"/>
      <c r="AK63" s="1483"/>
      <c r="AL63" s="1483"/>
      <c r="AM63" s="1483"/>
      <c r="AN63" s="1483"/>
      <c r="AO63" s="1483"/>
      <c r="AP63" s="1483"/>
      <c r="AQ63" s="1483"/>
      <c r="AR63" s="1483"/>
      <c r="AS63" s="1483"/>
      <c r="AT63" s="1483"/>
      <c r="AU63" s="1483"/>
      <c r="AV63" s="1483"/>
      <c r="AW63" s="1483"/>
      <c r="AX63" s="1483"/>
      <c r="AY63" s="1483"/>
      <c r="AZ63" s="1483"/>
      <c r="BA63" s="1483"/>
      <c r="BB63" s="1483"/>
      <c r="BC63" s="1483"/>
      <c r="BE63" s="943"/>
      <c r="BF63" s="943" t="str">
        <f>IF(T63="","",T63)</f>
        <v>Добавить наименование тарифа</v>
      </c>
      <c r="BG63" s="943"/>
      <c r="BH63" s="943"/>
    </row>
    <row customHeight="1" ht="11.25">
      <c r="M64" s="1316"/>
      <c r="N64" s="1316"/>
      <c r="O64" s="691"/>
      <c r="P64" s="1316"/>
      <c r="Q64" s="1316"/>
      <c r="R64" s="1311"/>
      <c r="S64" s="1311"/>
      <c r="BD64" s="1311"/>
      <c r="BE64" s="1311"/>
      <c r="BF64" s="1311"/>
      <c r="BG64" s="1311"/>
      <c r="BH64" s="1311"/>
    </row>
    <row customHeight="1" ht="14.25">
      <c r="O65" s="691"/>
      <c r="S65" s="1411"/>
      <c r="T65" s="2319"/>
      <c r="U65" s="2319"/>
      <c r="V65" s="2319"/>
      <c r="W65" s="2319"/>
      <c r="X65" s="2319"/>
      <c r="Y65" s="2319"/>
      <c r="Z65" s="2319"/>
      <c r="AA65" s="2319"/>
      <c r="AB65" s="2319"/>
      <c r="AC65" s="2319"/>
      <c r="AD65" s="2319"/>
      <c r="AE65" s="2319"/>
      <c r="AF65" s="2319"/>
      <c r="AG65" s="2319"/>
      <c r="AH65" s="2319"/>
      <c r="AI65" s="2319"/>
      <c r="AJ65" s="2319"/>
      <c r="AK65" s="2319"/>
      <c r="AL65" s="2319"/>
      <c r="AM65" s="2319"/>
      <c r="AN65" s="2319"/>
      <c r="AO65" s="2319"/>
      <c r="AP65" s="2319"/>
      <c r="AQ65" s="2319"/>
      <c r="AR65" s="2319"/>
      <c r="AS65" s="2319"/>
      <c r="AT65" s="2319"/>
      <c r="AU65" s="2319"/>
      <c r="AV65" s="2319"/>
      <c r="AW65" s="2319"/>
      <c r="AX65" s="2319"/>
      <c r="AY65" s="2319"/>
      <c r="AZ65" s="2319"/>
      <c r="BA65" s="2319"/>
      <c r="BB65" s="2319"/>
      <c r="BC65" s="2319"/>
    </row>
    <row customHeight="1" ht="14.25">
      <c r="O66" s="691"/>
      <c r="T66" s="1639"/>
      <c r="U66" s="1639"/>
      <c r="V66" s="1639"/>
      <c r="W66" s="1639"/>
      <c r="X66" s="1639"/>
      <c r="Y66" s="1639"/>
      <c r="Z66" s="1639"/>
      <c r="AA66" s="1639"/>
      <c r="AB66" s="1639"/>
      <c r="AC66" s="1639"/>
      <c r="AD66" s="1639"/>
      <c r="AE66" s="1639"/>
      <c r="AF66" s="1639"/>
      <c r="AG66" s="1639"/>
      <c r="AH66" s="1639"/>
      <c r="AI66" s="1639"/>
      <c r="AJ66" s="1639"/>
      <c r="AK66" s="1639"/>
      <c r="AL66" s="1639"/>
      <c r="AM66" s="1639"/>
      <c r="AN66" s="1639"/>
      <c r="AO66" s="1639"/>
      <c r="AP66" s="1639"/>
      <c r="AQ66" s="1639"/>
      <c r="AR66" s="1639"/>
      <c r="AS66" s="1639"/>
      <c r="AT66" s="1639"/>
      <c r="AU66" s="1639"/>
      <c r="AV66" s="1639"/>
      <c r="AW66" s="1639"/>
      <c r="AX66" s="1639"/>
      <c r="AY66" s="1639"/>
      <c r="AZ66" s="1639"/>
      <c r="BA66" s="1639"/>
      <c r="BB66" s="1639"/>
      <c r="BC66" s="1639"/>
    </row>
    <row customHeight="1" ht="14.25">
      <c r="O67" s="691"/>
      <c r="S67" s="1411"/>
      <c r="T67" s="2319"/>
      <c r="U67" s="2319"/>
      <c r="V67" s="2319"/>
      <c r="W67" s="2319"/>
      <c r="X67" s="2319"/>
      <c r="Y67" s="2319"/>
      <c r="Z67" s="2319"/>
      <c r="AA67" s="2319"/>
      <c r="AB67" s="2319"/>
      <c r="AC67" s="2319"/>
      <c r="AD67" s="2319"/>
      <c r="AE67" s="2319"/>
      <c r="AF67" s="2319"/>
      <c r="AG67" s="2319"/>
      <c r="AH67" s="2319"/>
      <c r="AI67" s="2319"/>
      <c r="AJ67" s="2319"/>
      <c r="AK67" s="2319"/>
      <c r="AL67" s="2319"/>
      <c r="AM67" s="2319"/>
      <c r="AN67" s="2319"/>
      <c r="AO67" s="2319"/>
      <c r="AP67" s="2319"/>
      <c r="AQ67" s="2319"/>
      <c r="AR67" s="2319"/>
      <c r="AS67" s="2319"/>
      <c r="AT67" s="2319"/>
      <c r="AU67" s="2319"/>
      <c r="AV67" s="2319"/>
      <c r="AW67" s="2319"/>
      <c r="AX67" s="2319"/>
      <c r="AY67" s="2319"/>
      <c r="AZ67" s="2319"/>
      <c r="BA67" s="2319"/>
      <c r="BB67" s="2319"/>
      <c r="BC67" s="2319"/>
    </row>
    <row customHeight="1" ht="14.25">
      <c r="O68" s="691"/>
    </row>
  </sheetData>
  <sheetProtection formatColumns="0" formatRows="0" autoFilter="0" sort="0" insertRows="0" insertColumns="1" deleteRows="0" deleteColumns="0"/>
  <mergeCells count="122">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 ref="BC8:BC13"/>
    <mergeCell ref="AF8:AF11"/>
    <mergeCell ref="AG8:AG11"/>
    <mergeCell ref="AH8:AH11"/>
    <mergeCell ref="AI8:AI10"/>
    <mergeCell ref="AJ8:AJ10"/>
    <mergeCell ref="AK8:AK10"/>
    <mergeCell ref="K8:K12"/>
    <mergeCell ref="R8:R12"/>
    <mergeCell ref="S8:S12"/>
    <mergeCell ref="T8:T12"/>
    <mergeCell ref="AD8:AD12"/>
    <mergeCell ref="AE8:AE11"/>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8E3EB76-DBEA-6F49-BF44-A27C18707B16}" mc:Ignorable="x14ac xr xr2 xr3">
  <sheetPr>
    <tabColor theme="6" tint="0.4"/>
  </sheetPr>
  <dimension ref="A1:AX70"/>
  <sheetViews>
    <sheetView topLeftCell="A1" showGridLines="0" zoomScale="90" workbookViewId="0">
      <selection activeCell="AJ51" sqref="AJ51"/>
    </sheetView>
  </sheetViews>
  <sheetFormatPr defaultColWidth="10.57421875" customHeight="1" defaultRowHeight="14.25"/>
  <cols>
    <col min="1" max="1" style="8721" width="10.57421875" hidden="1"/>
    <col min="2" max="2" style="8721" width="11.00390625" hidden="1" customWidth="1"/>
    <col min="3" max="3" style="8721" width="10.57421875" hidden="1"/>
    <col min="4" max="4" style="8721" width="11.8515625" hidden="1" customWidth="1"/>
    <col min="5" max="5" style="8721" width="10.00390625" hidden="1" customWidth="1"/>
    <col min="6" max="6" style="8721" width="8.7109375" hidden="1" customWidth="1"/>
    <col min="7" max="7" style="8721" width="7.57421875" hidden="1" customWidth="1"/>
    <col min="8" max="8" style="8721" width="11.421875" hidden="1" customWidth="1"/>
    <col min="9" max="9" style="8721" width="14.140625" hidden="1" customWidth="1"/>
    <col min="10" max="10" style="8721" width="9.8515625" hidden="1" customWidth="1"/>
    <col min="11" max="11" style="8721" width="14.7109375" hidden="1" customWidth="1"/>
    <col min="12" max="12" style="9072" width="19.140625" hidden="1" customWidth="1"/>
    <col min="13" max="14" style="8803" width="12.28125" hidden="1" customWidth="1"/>
    <col min="15" max="15" style="8803" width="23.421875" hidden="1" customWidth="1"/>
    <col min="16" max="16" style="9073" width="3.7109375" customWidth="1"/>
    <col min="17" max="18" style="8805" width="3.7109375" customWidth="1"/>
    <col min="19" max="19" style="8806" width="12.7109375" customWidth="1"/>
    <col min="20" max="20" style="8807" width="35.7109375" customWidth="1"/>
    <col min="21" max="21" style="8807" width="0.140625" customWidth="1"/>
    <col min="22" max="22" style="8807" width="19.7109375" hidden="1" customWidth="1"/>
    <col min="23" max="28" style="8849" width="19.7109375" hidden="1" customWidth="1"/>
    <col min="29" max="29" style="8807" width="11.7109375" hidden="1" customWidth="1"/>
    <col min="30" max="30" style="8807" width="3.7109375" hidden="1" customWidth="1"/>
    <col min="31" max="31" style="8807" width="11.7109375" hidden="1" customWidth="1"/>
    <col min="32" max="32" style="8807" width="8.57421875" hidden="1" customWidth="1"/>
    <col min="33" max="33" style="8807" width="19.7109375" customWidth="1"/>
    <col min="34" max="38" style="8849" width="19.7109375" customWidth="1"/>
    <col min="39" max="39" style="8807" width="19.7109375" customWidth="1"/>
    <col min="40" max="40" style="8807" width="12.7109375" customWidth="1"/>
    <col min="41" max="41" style="8807" width="3.7109375" customWidth="1"/>
    <col min="42" max="42" style="8807" width="13.8515625" customWidth="1"/>
    <col min="43" max="43" style="8807" width="8.57421875" hidden="1" customWidth="1"/>
    <col min="44" max="44" style="8807" width="4.7109375" customWidth="1"/>
    <col min="45" max="45" style="8807" width="115.7109375" customWidth="1"/>
    <col min="46" max="47" style="8794" width="10.57421875"/>
    <col min="48" max="48" style="8794" width="11.140625" customWidth="1"/>
    <col min="49" max="50" style="8794" width="10.57421875"/>
  </cols>
  <sheetData>
    <row customHeight="1" ht="14.25" hidden="1">
      <c r="AC1" s="481"/>
      <c r="AN1" s="481"/>
    </row>
    <row customHeight="1" ht="23.25" hidden="1">
      <c r="A2" s="1522"/>
      <c r="B2" s="1522"/>
      <c r="C2" s="1522"/>
      <c r="D2" s="1522"/>
      <c r="E2" s="2320">
        <v>1</v>
      </c>
      <c r="F2" s="1522"/>
      <c r="G2" s="1522"/>
      <c r="H2" s="1522"/>
      <c r="I2" s="1522"/>
      <c r="J2" s="1522"/>
      <c r="K2" s="1522"/>
      <c r="L2" s="1523"/>
      <c r="M2" s="1524"/>
      <c r="N2" s="1524"/>
      <c r="O2" s="1524"/>
      <c r="P2" s="515"/>
      <c r="Q2" s="514"/>
      <c r="R2" s="509"/>
      <c r="S2" s="1652">
        <f>INDEX(PT_DIFFERENTIATION_NUM_NTAR,MATCH(A2,PT_DIFFERENTIATION_NTAR_ID,0))</f>
      </c>
      <c r="T2" s="452" t="s">
        <v>120</v>
      </c>
      <c r="U2" s="454"/>
      <c r="V2" s="2314"/>
      <c r="W2" s="2315"/>
      <c r="X2" s="2315"/>
      <c r="Y2" s="2315"/>
      <c r="Z2" s="2315"/>
      <c r="AA2" s="2315"/>
      <c r="AB2" s="2315"/>
      <c r="AC2" s="2315"/>
      <c r="AD2" s="2315"/>
      <c r="AE2" s="2315"/>
      <c r="AF2" s="2316"/>
      <c r="AG2" s="2314">
        <f>INDEX(PT_DIFFERENTIATION_NTAR,MATCH(A2,PT_DIFFERENTIATION_NTAR_ID,0))</f>
      </c>
      <c r="AH2" s="2315"/>
      <c r="AI2" s="2315"/>
      <c r="AJ2" s="2315"/>
      <c r="AK2" s="2315"/>
      <c r="AL2" s="2315"/>
      <c r="AM2" s="2315"/>
      <c r="AN2" s="2315"/>
      <c r="AO2" s="2315"/>
      <c r="AP2" s="2315"/>
      <c r="AQ2" s="2315"/>
      <c r="AR2" s="2316"/>
      <c r="AS2" s="1416"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U2" s="654"/>
      <c r="AV2" s="654" t="str">
        <f>IF(T2="","",T2)</f>
        <v>Наименование тарифа</v>
      </c>
      <c r="AW2" s="654"/>
      <c r="AX2" s="654"/>
    </row>
    <row customHeight="1" ht="23.25" hidden="1">
      <c r="A3" s="1522"/>
      <c r="B3" s="1522"/>
      <c r="C3" s="1522"/>
      <c r="D3" s="1522"/>
      <c r="E3" s="2321"/>
      <c r="F3" s="2320">
        <v>1</v>
      </c>
      <c r="G3" s="1522"/>
      <c r="H3" s="1522"/>
      <c r="I3" s="1522"/>
      <c r="J3" s="1522"/>
      <c r="K3" s="1522"/>
      <c r="L3" s="1523"/>
      <c r="M3" s="1524"/>
      <c r="N3" s="1524"/>
      <c r="O3" s="1524"/>
      <c r="P3" s="1646"/>
      <c r="Q3" s="506"/>
      <c r="R3" s="507"/>
      <c r="S3" s="1652">
        <f>INDEX(PT_DIFFERENTIATION_NUM_TER,MATCH(B3,PT_DIFFERENTIATION_TER_ID,0))</f>
      </c>
      <c r="T3" s="462" t="s">
        <v>397</v>
      </c>
      <c r="U3" s="454"/>
      <c r="V3" s="2314"/>
      <c r="W3" s="2315"/>
      <c r="X3" s="2315"/>
      <c r="Y3" s="2315"/>
      <c r="Z3" s="2315"/>
      <c r="AA3" s="2315"/>
      <c r="AB3" s="2315"/>
      <c r="AC3" s="2315"/>
      <c r="AD3" s="2315"/>
      <c r="AE3" s="2315"/>
      <c r="AF3" s="2316"/>
      <c r="AG3" s="2314">
        <f>INDEX(PT_DIFFERENTIATION_TER,MATCH(B3,PT_DIFFERENTIATION_TER_ID,0))</f>
      </c>
      <c r="AH3" s="2315"/>
      <c r="AI3" s="2315"/>
      <c r="AJ3" s="2315"/>
      <c r="AK3" s="2315"/>
      <c r="AL3" s="2315"/>
      <c r="AM3" s="2315"/>
      <c r="AN3" s="2315"/>
      <c r="AO3" s="2315"/>
      <c r="AP3" s="2315"/>
      <c r="AQ3" s="2315"/>
      <c r="AR3" s="2316"/>
      <c r="AS3" s="1416" t="s">
        <v>398</v>
      </c>
      <c r="AU3" s="654"/>
      <c r="AV3" s="654" t="str">
        <f>IF(T3="","",T3)</f>
        <v>Территория действия тарифа</v>
      </c>
      <c r="AW3" s="654"/>
      <c r="AX3" s="654"/>
    </row>
    <row customHeight="1" ht="23.25" hidden="1">
      <c r="A4" s="1522"/>
      <c r="B4" s="1522"/>
      <c r="C4" s="1522"/>
      <c r="D4" s="1522"/>
      <c r="E4" s="2321"/>
      <c r="F4" s="2321"/>
      <c r="G4" s="2320">
        <v>1</v>
      </c>
      <c r="H4" s="1522"/>
      <c r="I4" s="1522"/>
      <c r="J4" s="1522"/>
      <c r="K4" s="1522"/>
      <c r="L4" s="1523"/>
      <c r="M4" s="1524"/>
      <c r="N4" s="1524"/>
      <c r="O4" s="1524"/>
      <c r="P4" s="508"/>
      <c r="Q4" s="506"/>
      <c r="R4" s="507"/>
      <c r="S4" s="1652">
        <f>INDEX(PT_DIFFERENTIATION_NUM_CS,MATCH(C4,PT_DIFFERENTIATION_CS_ID,0))</f>
      </c>
      <c r="T4" s="463" t="s">
        <v>528</v>
      </c>
      <c r="U4" s="454"/>
      <c r="V4" s="2314"/>
      <c r="W4" s="2315"/>
      <c r="X4" s="2315"/>
      <c r="Y4" s="2315"/>
      <c r="Z4" s="2315"/>
      <c r="AA4" s="2315"/>
      <c r="AB4" s="2315"/>
      <c r="AC4" s="2315"/>
      <c r="AD4" s="2315"/>
      <c r="AE4" s="2315"/>
      <c r="AF4" s="2316"/>
      <c r="AG4" s="2314">
        <f>INDEX(PT_DIFFERENTIATION_CS,MATCH(C4,PT_DIFFERENTIATION_CS_ID,0))</f>
      </c>
      <c r="AH4" s="2315"/>
      <c r="AI4" s="2315"/>
      <c r="AJ4" s="2315"/>
      <c r="AK4" s="2315"/>
      <c r="AL4" s="2315"/>
      <c r="AM4" s="2315"/>
      <c r="AN4" s="2315"/>
      <c r="AO4" s="2315"/>
      <c r="AP4" s="2315"/>
      <c r="AQ4" s="2315"/>
      <c r="AR4" s="2316"/>
      <c r="AS4" s="1416" t="s">
        <v>529</v>
      </c>
      <c r="AU4" s="654"/>
      <c r="AV4" s="654" t="str">
        <f>IF(T4="","",T4)</f>
        <v>Наименование централизованной системы горячего водоснабжения</v>
      </c>
      <c r="AW4" s="654"/>
      <c r="AX4" s="654"/>
    </row>
    <row customHeight="1" ht="23.25" hidden="1">
      <c r="A5" s="1522"/>
      <c r="B5" s="1522"/>
      <c r="C5" s="1522"/>
      <c r="D5" s="1522"/>
      <c r="E5" s="2321"/>
      <c r="F5" s="2321"/>
      <c r="G5" s="2321"/>
      <c r="H5" s="2321"/>
      <c r="I5" s="2322">
        <f>S4&amp;".1"</f>
      </c>
      <c r="J5" s="1522"/>
      <c r="K5" s="1522"/>
      <c r="L5" s="1523"/>
      <c r="P5" s="2324">
        <v>1</v>
      </c>
      <c r="Q5" s="1640"/>
      <c r="R5" s="510"/>
      <c r="S5" s="1652">
        <f>$I5</f>
      </c>
      <c r="T5" s="439" t="s">
        <v>481</v>
      </c>
      <c r="U5" s="454"/>
      <c r="V5" s="2407"/>
      <c r="W5" s="2408"/>
      <c r="X5" s="2408"/>
      <c r="Y5" s="2408"/>
      <c r="Z5" s="2408"/>
      <c r="AA5" s="2408"/>
      <c r="AB5" s="2408"/>
      <c r="AC5" s="2408"/>
      <c r="AD5" s="2408"/>
      <c r="AE5" s="2408"/>
      <c r="AF5" s="2409"/>
      <c r="AG5" s="2410"/>
      <c r="AH5" s="2411"/>
      <c r="AI5" s="2411"/>
      <c r="AJ5" s="2411"/>
      <c r="AK5" s="2411"/>
      <c r="AL5" s="2411"/>
      <c r="AM5" s="2411"/>
      <c r="AN5" s="2411"/>
      <c r="AO5" s="2411"/>
      <c r="AP5" s="2411"/>
      <c r="AQ5" s="2411"/>
      <c r="AR5" s="2412"/>
      <c r="AS5" s="1416" t="s">
        <v>482</v>
      </c>
      <c r="AU5" s="654"/>
      <c r="AV5" s="654" t="str">
        <f>IF(T5="","",T5)</f>
        <v>Наименование признака дифференциации</v>
      </c>
      <c r="AW5" s="654"/>
      <c r="AX5" s="654"/>
    </row>
    <row customHeight="1" ht="23.25" hidden="1">
      <c r="A6" s="1522"/>
      <c r="B6" s="1522"/>
      <c r="C6" s="1522"/>
      <c r="D6" s="1522"/>
      <c r="E6" s="2321"/>
      <c r="F6" s="2321"/>
      <c r="G6" s="2321"/>
      <c r="H6" s="2321"/>
      <c r="I6" s="2323"/>
      <c r="J6" s="2322">
        <f>I5&amp;".1"</f>
      </c>
      <c r="K6" s="1522"/>
      <c r="L6" s="1523" t="s">
        <v>406</v>
      </c>
      <c r="P6" s="2324"/>
      <c r="Q6" s="2324">
        <v>1</v>
      </c>
      <c r="R6" s="511"/>
      <c r="S6" s="1652">
        <f>$J6</f>
      </c>
      <c r="T6" s="440" t="s">
        <v>407</v>
      </c>
      <c r="U6" s="454"/>
      <c r="V6" s="2308"/>
      <c r="W6" s="2309"/>
      <c r="X6" s="2309"/>
      <c r="Y6" s="2309"/>
      <c r="Z6" s="2309"/>
      <c r="AA6" s="2309"/>
      <c r="AB6" s="2309"/>
      <c r="AC6" s="2309"/>
      <c r="AD6" s="2309"/>
      <c r="AE6" s="2309"/>
      <c r="AF6" s="2310"/>
      <c r="AG6" s="2308"/>
      <c r="AH6" s="2309"/>
      <c r="AI6" s="2309"/>
      <c r="AJ6" s="2309"/>
      <c r="AK6" s="2309"/>
      <c r="AL6" s="2309"/>
      <c r="AM6" s="2309"/>
      <c r="AN6" s="2309"/>
      <c r="AO6" s="2309"/>
      <c r="AP6" s="2309"/>
      <c r="AQ6" s="2309"/>
      <c r="AR6" s="2310"/>
      <c r="AS6" s="1466" t="s">
        <v>483</v>
      </c>
      <c r="AU6" s="654"/>
      <c r="AV6" s="654" t="str">
        <f>IF(T6="","",T6)</f>
        <v>Группа потребителей</v>
      </c>
      <c r="AW6" s="654"/>
      <c r="AX6" s="654"/>
    </row>
    <row customHeight="1" ht="23.25" hidden="1">
      <c r="A7" s="1522"/>
      <c r="B7" s="1522"/>
      <c r="C7" s="1522"/>
      <c r="D7" s="1522"/>
      <c r="E7" s="2321"/>
      <c r="F7" s="2321"/>
      <c r="G7" s="2321"/>
      <c r="H7" s="2321"/>
      <c r="I7" s="2323"/>
      <c r="J7" s="2323"/>
      <c r="K7" s="2322">
        <f>J6&amp;".1"</f>
      </c>
      <c r="L7" s="1523"/>
      <c r="P7" s="2324"/>
      <c r="Q7" s="2324"/>
      <c r="R7" s="511">
        <v>1</v>
      </c>
      <c r="S7" s="1652">
        <f>$K7</f>
      </c>
      <c r="T7" s="1596"/>
      <c r="U7" s="454"/>
      <c r="V7" s="905"/>
      <c r="W7" s="905"/>
      <c r="X7" s="905"/>
      <c r="Y7" s="905"/>
      <c r="Z7" s="905"/>
      <c r="AA7" s="905"/>
      <c r="AB7" s="905"/>
      <c r="AC7" s="2325"/>
      <c r="AD7" s="2195" t="s">
        <v>64</v>
      </c>
      <c r="AE7" s="2325"/>
      <c r="AF7" s="2195" t="s">
        <v>64</v>
      </c>
      <c r="AG7" s="905"/>
      <c r="AH7" s="905"/>
      <c r="AI7" s="905"/>
      <c r="AJ7" s="905"/>
      <c r="AK7" s="905"/>
      <c r="AL7" s="905"/>
      <c r="AM7" s="905"/>
      <c r="AN7" s="2325"/>
      <c r="AO7" s="2195" t="s">
        <v>64</v>
      </c>
      <c r="AP7" s="2327"/>
      <c r="AQ7" s="2195" t="s">
        <v>64</v>
      </c>
      <c r="AR7" s="1597"/>
      <c r="AS7" s="241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665">
        <f>STRCHECKDATE(V8:AR8)</f>
      </c>
      <c r="AU7" s="654"/>
      <c r="AV7" s="654" t="str">
        <f>IF(T7="","",T7)</f>
        <v/>
      </c>
      <c r="AW7" s="654"/>
      <c r="AX7" s="654"/>
    </row>
    <row customHeight="1" ht="14.25" hidden="1">
      <c r="A8" s="1522"/>
      <c r="B8" s="1522"/>
      <c r="C8" s="1522"/>
      <c r="D8" s="1522"/>
      <c r="E8" s="2321"/>
      <c r="F8" s="2321"/>
      <c r="G8" s="2321"/>
      <c r="H8" s="2321"/>
      <c r="I8" s="2323"/>
      <c r="J8" s="2323"/>
      <c r="K8" s="2322"/>
      <c r="L8" s="1523"/>
      <c r="P8" s="2324"/>
      <c r="Q8" s="2324"/>
      <c r="R8" s="511"/>
      <c r="S8" s="1649"/>
      <c r="T8" s="454"/>
      <c r="U8" s="454"/>
      <c r="V8" s="479"/>
      <c r="W8" s="479"/>
      <c r="X8" s="479"/>
      <c r="Y8" s="479"/>
      <c r="Z8" s="479"/>
      <c r="AA8" s="479"/>
      <c r="AB8" s="479"/>
      <c r="AC8" s="2326"/>
      <c r="AD8" s="2195"/>
      <c r="AE8" s="2326"/>
      <c r="AF8" s="2195"/>
      <c r="AG8" s="479"/>
      <c r="AH8" s="479"/>
      <c r="AI8" s="479"/>
      <c r="AJ8" s="479"/>
      <c r="AK8" s="479"/>
      <c r="AL8" s="479"/>
      <c r="AM8" s="479"/>
      <c r="AN8" s="2326"/>
      <c r="AO8" s="2195"/>
      <c r="AP8" s="2328"/>
      <c r="AQ8" s="2195"/>
      <c r="AR8" s="1598"/>
      <c r="AS8" s="2413"/>
      <c r="AU8" s="654"/>
      <c r="AV8" s="654" t="str">
        <f>IF(T8="","",T8)</f>
        <v/>
      </c>
      <c r="AW8" s="654"/>
      <c r="AX8" s="654"/>
    </row>
    <row customHeight="1" ht="21" hidden="1">
      <c r="A9" s="1522"/>
      <c r="B9" s="1522"/>
      <c r="C9" s="1522"/>
      <c r="D9" s="1522"/>
      <c r="E9" s="2321"/>
      <c r="F9" s="2321"/>
      <c r="G9" s="2321"/>
      <c r="H9" s="2321"/>
      <c r="I9" s="2323"/>
      <c r="J9" s="2322"/>
      <c r="K9" s="1522"/>
      <c r="L9" s="1523"/>
      <c r="P9" s="2324"/>
      <c r="Q9" s="2324"/>
      <c r="R9" s="510"/>
      <c r="S9" s="1437"/>
      <c r="T9" s="441" t="s">
        <v>484</v>
      </c>
      <c r="U9" s="521"/>
      <c r="V9" s="521"/>
      <c r="W9" s="754"/>
      <c r="X9" s="754"/>
      <c r="Y9" s="754"/>
      <c r="Z9" s="754"/>
      <c r="AA9" s="754"/>
      <c r="AB9" s="754"/>
      <c r="AC9" s="521"/>
      <c r="AD9" s="521"/>
      <c r="AE9" s="521"/>
      <c r="AF9" s="521"/>
      <c r="AG9" s="521"/>
      <c r="AH9" s="754"/>
      <c r="AI9" s="754"/>
      <c r="AJ9" s="754"/>
      <c r="AK9" s="754"/>
      <c r="AL9" s="754"/>
      <c r="AM9" s="521"/>
      <c r="AN9" s="521"/>
      <c r="AO9" s="521"/>
      <c r="AP9" s="521"/>
      <c r="AQ9" s="521"/>
      <c r="AR9" s="521"/>
      <c r="AS9" s="1416" t="s">
        <v>485</v>
      </c>
      <c r="AU9" s="654"/>
      <c r="AV9" s="654" t="str">
        <f>IF(T9="","",T9)</f>
        <v>Добавить значение признака дифференциации</v>
      </c>
      <c r="AW9" s="654"/>
      <c r="AX9" s="654"/>
    </row>
    <row customHeight="1" ht="21" hidden="1">
      <c r="A10" s="1522"/>
      <c r="B10" s="1522"/>
      <c r="C10" s="1522"/>
      <c r="D10" s="1522"/>
      <c r="E10" s="2321"/>
      <c r="F10" s="2321"/>
      <c r="G10" s="2321"/>
      <c r="H10" s="2321"/>
      <c r="I10" s="2322"/>
      <c r="J10" s="1522"/>
      <c r="K10" s="1522"/>
      <c r="L10" s="1523"/>
      <c r="P10" s="2324"/>
      <c r="Q10" s="1640"/>
      <c r="R10" s="510"/>
      <c r="S10" s="1437"/>
      <c r="T10" s="519" t="s">
        <v>412</v>
      </c>
      <c r="U10" s="521"/>
      <c r="V10" s="521"/>
      <c r="W10" s="754"/>
      <c r="X10" s="754"/>
      <c r="Y10" s="754"/>
      <c r="Z10" s="754"/>
      <c r="AA10" s="754"/>
      <c r="AB10" s="754"/>
      <c r="AC10" s="521"/>
      <c r="AD10" s="521"/>
      <c r="AE10" s="521"/>
      <c r="AF10" s="520"/>
      <c r="AG10" s="521"/>
      <c r="AH10" s="754"/>
      <c r="AI10" s="754"/>
      <c r="AJ10" s="754"/>
      <c r="AK10" s="754"/>
      <c r="AL10" s="754"/>
      <c r="AM10" s="521"/>
      <c r="AN10" s="521"/>
      <c r="AO10" s="521"/>
      <c r="AP10" s="521"/>
      <c r="AQ10" s="520"/>
      <c r="AR10" s="521"/>
      <c r="AS10" s="1599"/>
      <c r="AU10" s="654"/>
      <c r="AV10" s="654" t="str">
        <f>IF(T10="","",T10)</f>
        <v>Добавить группу потребителей</v>
      </c>
      <c r="AW10" s="654"/>
      <c r="AX10" s="654"/>
    </row>
    <row customHeight="1" ht="21" hidden="1">
      <c r="A11" s="1522"/>
      <c r="B11" s="1522"/>
      <c r="C11" s="1522"/>
      <c r="D11" s="1522"/>
      <c r="E11" s="2321"/>
      <c r="F11" s="2321"/>
      <c r="G11" s="2321"/>
      <c r="H11" s="2320"/>
      <c r="I11" s="1522"/>
      <c r="J11" s="1522"/>
      <c r="K11" s="1522"/>
      <c r="L11" s="1523"/>
      <c r="M11" s="1524"/>
      <c r="N11" s="1524"/>
      <c r="O11" s="691"/>
      <c r="P11" s="514"/>
      <c r="Q11" s="529"/>
      <c r="R11" s="509"/>
      <c r="S11" s="1437"/>
      <c r="T11" s="526" t="s">
        <v>486</v>
      </c>
      <c r="U11" s="521"/>
      <c r="V11" s="521"/>
      <c r="W11" s="754"/>
      <c r="X11" s="754"/>
      <c r="Y11" s="754"/>
      <c r="Z11" s="754"/>
      <c r="AA11" s="754"/>
      <c r="AB11" s="754"/>
      <c r="AC11" s="521"/>
      <c r="AD11" s="521"/>
      <c r="AE11" s="521"/>
      <c r="AF11" s="520"/>
      <c r="AG11" s="521"/>
      <c r="AH11" s="754"/>
      <c r="AI11" s="754"/>
      <c r="AJ11" s="754"/>
      <c r="AK11" s="754"/>
      <c r="AL11" s="754"/>
      <c r="AM11" s="521"/>
      <c r="AN11" s="521"/>
      <c r="AO11" s="521"/>
      <c r="AP11" s="521"/>
      <c r="AQ11" s="520"/>
      <c r="AR11" s="521"/>
      <c r="AS11" s="457"/>
      <c r="AU11" s="654"/>
      <c r="AV11" s="654" t="str">
        <f>IF(T11="","",T11)</f>
        <v>Добавить наименование признака дифференциации</v>
      </c>
      <c r="AW11" s="654"/>
      <c r="AX11" s="654"/>
    </row>
    <row s="8702" customFormat="1" customHeight="1" ht="14.25" hidden="1">
      <c r="A12" s="1502"/>
      <c r="B12" s="1502"/>
      <c r="C12" s="1473"/>
      <c r="D12" s="1473"/>
      <c r="E12" s="2321"/>
      <c r="F12" s="2320"/>
      <c r="G12" s="1473"/>
      <c r="H12" s="1473"/>
      <c r="I12" s="1473"/>
      <c r="J12" s="1473"/>
      <c r="K12" s="1473"/>
      <c r="L12" s="1653"/>
      <c r="M12" s="1480"/>
      <c r="N12" s="1480"/>
      <c r="P12" s="1475"/>
      <c r="Q12" s="1476"/>
      <c r="R12" s="1475"/>
      <c r="S12" s="1481"/>
      <c r="T12" s="1484" t="s">
        <v>251</v>
      </c>
      <c r="U12" s="1483"/>
      <c r="V12" s="1483"/>
      <c r="W12" s="1483"/>
      <c r="X12" s="1483"/>
      <c r="Y12" s="1483"/>
      <c r="Z12" s="1483"/>
      <c r="AA12" s="1483"/>
      <c r="AB12" s="1483"/>
      <c r="AC12" s="1483"/>
      <c r="AD12" s="1483"/>
      <c r="AE12" s="1483"/>
      <c r="AF12" s="1483"/>
      <c r="AG12" s="1483"/>
      <c r="AH12" s="1483"/>
      <c r="AI12" s="1483"/>
      <c r="AJ12" s="1483"/>
      <c r="AK12" s="1483"/>
      <c r="AL12" s="1483"/>
      <c r="AM12" s="1483"/>
      <c r="AN12" s="1483"/>
      <c r="AO12" s="1483"/>
      <c r="AP12" s="1483"/>
      <c r="AQ12" s="1483"/>
      <c r="AR12" s="1483"/>
      <c r="AS12" s="1483"/>
      <c r="AU12" s="943"/>
      <c r="AV12" s="943" t="str">
        <f>IF(T12="","",T12)</f>
        <v>Добавить централизованную систему для дифференциации</v>
      </c>
      <c r="AW12" s="943"/>
      <c r="AX12" s="943"/>
    </row>
    <row s="8794" customFormat="1" customHeight="1" ht="14.25" hidden="1">
      <c r="A13" s="1502"/>
      <c r="B13" s="1502"/>
      <c r="C13" s="1502"/>
      <c r="D13" s="1502"/>
      <c r="E13" s="2320"/>
      <c r="F13" s="1502"/>
      <c r="G13" s="1502"/>
      <c r="H13" s="1502"/>
      <c r="I13" s="1502"/>
      <c r="J13" s="1502"/>
      <c r="K13" s="1502"/>
      <c r="L13" s="1505"/>
      <c r="M13" s="1480"/>
      <c r="N13" s="1480"/>
      <c r="O13" s="672"/>
      <c r="P13" s="534"/>
      <c r="Q13" s="1503"/>
      <c r="R13" s="534"/>
      <c r="S13" s="1481"/>
      <c r="T13" s="1484" t="s">
        <v>252</v>
      </c>
      <c r="U13" s="1483"/>
      <c r="V13" s="1483"/>
      <c r="W13" s="1483"/>
      <c r="X13" s="1483"/>
      <c r="Y13" s="1483"/>
      <c r="Z13" s="1483"/>
      <c r="AA13" s="1483"/>
      <c r="AB13" s="1483"/>
      <c r="AC13" s="1483"/>
      <c r="AD13" s="1483"/>
      <c r="AE13" s="1483"/>
      <c r="AF13" s="1483"/>
      <c r="AG13" s="1483"/>
      <c r="AH13" s="1483"/>
      <c r="AI13" s="1483"/>
      <c r="AJ13" s="1483"/>
      <c r="AK13" s="1483"/>
      <c r="AL13" s="1483"/>
      <c r="AM13" s="1483"/>
      <c r="AN13" s="1483"/>
      <c r="AO13" s="1483"/>
      <c r="AP13" s="1483"/>
      <c r="AQ13" s="1483"/>
      <c r="AR13" s="1483"/>
      <c r="AS13" s="1483"/>
      <c r="AU13" s="654"/>
      <c r="AV13" s="654" t="str">
        <f>IF(T13="","",T13)</f>
        <v>Добавить территорию для дифференциации</v>
      </c>
      <c r="AW13" s="654"/>
      <c r="AX13" s="654"/>
    </row>
    <row customHeight="1" ht="14.25" hidden="1">
      <c r="AF14" s="481"/>
      <c r="AQ14" s="481"/>
    </row>
    <row customHeight="1" ht="14.25" hidden="1">
      <c r="AG15" s="1519"/>
      <c r="AH15" s="1519"/>
      <c r="AI15" s="1519"/>
      <c r="AJ15" s="1519"/>
      <c r="AK15" s="1519"/>
      <c r="AL15" s="1519"/>
      <c r="AM15" s="1519"/>
      <c r="AN15" s="2318"/>
      <c r="AO15" s="2317" t="s">
        <v>64</v>
      </c>
      <c r="AP15" s="2318"/>
      <c r="AQ15" s="2317" t="s">
        <v>64</v>
      </c>
    </row>
    <row customHeight="1" ht="14.25" hidden="1">
      <c r="AG16" s="1519"/>
      <c r="AH16" s="1519"/>
      <c r="AI16" s="1519"/>
      <c r="AJ16" s="1519"/>
      <c r="AK16" s="1519"/>
      <c r="AL16" s="1519"/>
      <c r="AM16" s="1519"/>
      <c r="AN16" s="2317"/>
      <c r="AO16" s="2317"/>
      <c r="AP16" s="2317"/>
      <c r="AQ16" s="2317"/>
    </row>
    <row customHeight="1" ht="14.25" hidden="1">
      <c r="AQ17" s="481"/>
    </row>
    <row s="8721" customFormat="1" customHeight="1" ht="22.5" hidden="1">
      <c r="L18" s="1637"/>
      <c r="M18" s="1521"/>
      <c r="N18" s="1521"/>
      <c r="O18" s="1526" t="s">
        <v>415</v>
      </c>
      <c r="P18" s="1521"/>
      <c r="Q18" s="1530"/>
      <c r="R18" s="1530"/>
      <c r="S18" s="883"/>
      <c r="W18" s="1525"/>
      <c r="X18" s="1525"/>
      <c r="Y18" s="1525"/>
      <c r="Z18" s="1525"/>
      <c r="AA18" s="1525"/>
      <c r="AB18" s="1525"/>
      <c r="AC18" s="1526"/>
      <c r="AE18" s="1526"/>
      <c r="AF18" s="1525"/>
      <c r="AH18" s="1525"/>
      <c r="AI18" s="1525"/>
      <c r="AJ18" s="1525"/>
      <c r="AK18" s="1525"/>
      <c r="AL18" s="1525"/>
      <c r="AN18" s="1526"/>
      <c r="AP18" s="1526"/>
      <c r="AQ18" s="1525"/>
      <c r="AT18" s="665"/>
      <c r="AU18" s="665"/>
      <c r="AV18" s="665"/>
      <c r="AW18" s="665"/>
      <c r="AX18" s="665"/>
    </row>
    <row s="8721" customFormat="1" customHeight="1" ht="14.25" hidden="1">
      <c r="L19" s="1637"/>
      <c r="M19" s="1521"/>
      <c r="N19" s="1521"/>
      <c r="O19" s="1521"/>
      <c r="P19" s="1521"/>
      <c r="Q19" s="1530"/>
      <c r="R19" s="1530"/>
      <c r="S19" s="883"/>
      <c r="W19" s="1525"/>
      <c r="X19" s="1525"/>
      <c r="Y19" s="1525"/>
      <c r="Z19" s="1525"/>
      <c r="AA19" s="1525"/>
      <c r="AB19" s="1525"/>
      <c r="AF19" s="1525"/>
      <c r="AH19" s="1525"/>
      <c r="AI19" s="1525"/>
      <c r="AJ19" s="1525"/>
      <c r="AK19" s="1525"/>
      <c r="AL19" s="1525"/>
      <c r="AQ19" s="1525"/>
      <c r="AT19" s="665"/>
      <c r="AU19" s="665"/>
      <c r="AV19" s="665"/>
      <c r="AW19" s="665"/>
      <c r="AX19" s="665"/>
    </row>
    <row s="8721" customFormat="1" customHeight="1" ht="12" hidden="1">
      <c r="L20" s="1637"/>
      <c r="M20" s="1521"/>
      <c r="N20" s="1521"/>
      <c r="O20" s="1523" t="s">
        <v>416</v>
      </c>
      <c r="P20" s="1521"/>
      <c r="Q20" s="1601"/>
      <c r="R20" s="1601"/>
      <c r="S20" s="883"/>
      <c r="T20" s="1316" t="s">
        <v>417</v>
      </c>
      <c r="W20" s="1525"/>
      <c r="X20" s="1525"/>
      <c r="Y20" s="1525"/>
      <c r="Z20" s="1525"/>
      <c r="AA20" s="1525"/>
      <c r="AB20" s="1525"/>
      <c r="AD20" s="340" t="s">
        <v>418</v>
      </c>
      <c r="AF20" s="340" t="s">
        <v>419</v>
      </c>
      <c r="AG20" s="1316" t="s">
        <v>417</v>
      </c>
      <c r="AH20" s="1525"/>
      <c r="AI20" s="1525"/>
      <c r="AJ20" s="1525"/>
      <c r="AK20" s="1525"/>
      <c r="AL20" s="1525"/>
      <c r="AO20" s="340" t="s">
        <v>420</v>
      </c>
      <c r="AQ20" s="340" t="s">
        <v>419</v>
      </c>
    </row>
    <row customHeight="1" ht="14.25" hidden="1">
      <c r="O21" s="1523"/>
    </row>
    <row customHeight="1" ht="14.25" hidden="1">
      <c r="O22" s="1523"/>
    </row>
    <row customHeight="1" ht="14.25">
      <c r="Q23" s="530"/>
      <c r="R23" s="530"/>
      <c r="S23" s="1434"/>
      <c r="T23" s="517"/>
      <c r="U23" s="517"/>
      <c r="V23" s="663"/>
      <c r="W23" s="1794"/>
      <c r="X23" s="1794"/>
      <c r="Y23" s="1794"/>
      <c r="Z23" s="1794"/>
      <c r="AA23" s="1794"/>
      <c r="AB23" s="1794"/>
      <c r="AC23" s="663"/>
      <c r="AD23" s="663"/>
      <c r="AE23" s="663"/>
      <c r="AF23" s="663"/>
      <c r="AG23" s="663"/>
      <c r="AH23" s="1794"/>
      <c r="AI23" s="1794"/>
      <c r="AJ23" s="1794"/>
      <c r="AK23" s="1794"/>
      <c r="AL23" s="1794"/>
      <c r="AM23" s="663"/>
      <c r="AN23" s="663"/>
      <c r="AO23" s="663"/>
      <c r="AP23" s="663"/>
      <c r="AQ23" s="663"/>
    </row>
    <row customHeight="1" ht="24.75">
      <c r="Q24" s="530"/>
      <c r="R24" s="530"/>
      <c r="S24" s="2353" t="str">
        <f>IF(TEMPLATE_GROUP="P",PT_P_FORM_HOTVSNA_4_NAME_FORM,PT_R_FORM_HOTVSNA_16_NAME_FORM)</f>
        <v>Форма 2. Информация о тарифах в сфере горячего водоснабжения на товары (услуги) организации горячего водоснабжения, подлежащих регулированию</v>
      </c>
      <c r="T24" s="2353"/>
      <c r="U24" s="2353"/>
      <c r="V24" s="2353"/>
      <c r="W24" s="2353"/>
      <c r="X24" s="2353"/>
      <c r="Y24" s="2353"/>
      <c r="Z24" s="2353"/>
      <c r="AA24" s="2353"/>
      <c r="AB24" s="2353"/>
      <c r="AC24" s="2353"/>
      <c r="AD24" s="2353"/>
      <c r="AE24" s="2353"/>
      <c r="AF24" s="2353"/>
      <c r="AG24" s="2353"/>
      <c r="AH24" s="2353"/>
      <c r="AI24" s="2353"/>
      <c r="AJ24" s="2353"/>
      <c r="AK24" s="2353"/>
      <c r="AL24" s="2353"/>
      <c r="AM24" s="2353"/>
      <c r="AN24" s="2353"/>
      <c r="AO24" s="2353"/>
      <c r="AP24" s="2353"/>
      <c r="AQ24" s="1401"/>
    </row>
    <row customHeight="1" ht="14.25">
      <c r="Q25" s="530"/>
      <c r="R25" s="530"/>
      <c r="S25" s="2354" t="str">
        <f>IF(org=0,"Не определено",org)</f>
        <v>АО "Теплокоммунэнерго"</v>
      </c>
      <c r="T25" s="2354"/>
      <c r="U25" s="2354"/>
      <c r="V25" s="2354"/>
      <c r="W25" s="2354"/>
      <c r="X25" s="2354"/>
      <c r="Y25" s="2354"/>
      <c r="Z25" s="2354"/>
      <c r="AA25" s="2354"/>
      <c r="AB25" s="2354"/>
      <c r="AC25" s="2354"/>
      <c r="AD25" s="2354"/>
      <c r="AE25" s="2354"/>
      <c r="AF25" s="2354"/>
      <c r="AG25" s="2354"/>
      <c r="AH25" s="2354"/>
      <c r="AI25" s="2354"/>
      <c r="AJ25" s="2354"/>
      <c r="AK25" s="2354"/>
      <c r="AL25" s="2354"/>
      <c r="AM25" s="2354"/>
      <c r="AN25" s="2354"/>
      <c r="AO25" s="2354"/>
      <c r="AP25" s="2354"/>
      <c r="AQ25" s="1401"/>
    </row>
    <row customHeight="1" ht="14.25">
      <c r="Q26" s="530"/>
      <c r="R26" s="530"/>
      <c r="S26" s="1434"/>
      <c r="T26" s="517"/>
      <c r="U26" s="517"/>
      <c r="V26" s="476"/>
      <c r="W26" s="476"/>
      <c r="X26" s="476"/>
      <c r="Y26" s="476"/>
      <c r="Z26" s="476"/>
      <c r="AA26" s="476"/>
      <c r="AB26" s="476"/>
      <c r="AC26" s="476"/>
      <c r="AD26" s="476"/>
      <c r="AE26" s="476"/>
      <c r="AF26" s="476"/>
      <c r="AG26" s="476"/>
      <c r="AH26" s="476"/>
      <c r="AI26" s="476"/>
      <c r="AJ26" s="476"/>
      <c r="AK26" s="476"/>
      <c r="AL26" s="476"/>
      <c r="AM26" s="476"/>
      <c r="AN26" s="476"/>
      <c r="AO26" s="476"/>
      <c r="AP26" s="476"/>
      <c r="AQ26" s="476"/>
      <c r="AR26" s="663"/>
    </row>
    <row s="8735" customFormat="1" customHeight="1" ht="25.5">
      <c r="A27" s="1527"/>
      <c r="B27" s="1527"/>
      <c r="C27" s="1527"/>
      <c r="D27" s="1527"/>
      <c r="E27" s="1527"/>
      <c r="F27" s="1527"/>
      <c r="G27" s="1527"/>
      <c r="H27" s="1527"/>
      <c r="I27" s="1527"/>
      <c r="J27" s="1527"/>
      <c r="K27" s="1527"/>
      <c r="L27" s="1528"/>
      <c r="M27" s="1527"/>
      <c r="N27" s="1527"/>
      <c r="O27" s="1527"/>
      <c r="S27" s="2311" t="s">
        <v>38</v>
      </c>
      <c r="T27" s="2311"/>
      <c r="U27" s="1531"/>
      <c r="V27" s="2313" t="str">
        <f>IF(TITLE_NAME_OR_PR_CHANGE="",IF(TITLE_NAME_OR_PR="","",TITLE_NAME_OR_PR),TITLE_NAME_OR_PR_CHANGE)</f>
        <v>Региональная служба по тарифам Ростовской области</v>
      </c>
      <c r="W27" s="2313"/>
      <c r="X27" s="2313"/>
      <c r="Y27" s="2313"/>
      <c r="Z27" s="2313"/>
      <c r="AA27" s="2313"/>
      <c r="AB27" s="2313"/>
      <c r="AC27" s="2313"/>
      <c r="AD27" s="2313"/>
      <c r="AE27" s="2313"/>
      <c r="AF27" s="480"/>
      <c r="AG27" s="2313" t="str">
        <f>IF(TITLE_NAME_OR_PR_CHANGE="",IF(TITLE_NAME_OR_PR="","",TITLE_NAME_OR_PR),TITLE_NAME_OR_PR_CHANGE)</f>
        <v>Региональная служба по тарифам Ростовской области</v>
      </c>
      <c r="AH27" s="2313"/>
      <c r="AI27" s="2313"/>
      <c r="AJ27" s="2313"/>
      <c r="AK27" s="2313"/>
      <c r="AL27" s="2313"/>
      <c r="AM27" s="2313"/>
      <c r="AN27" s="2313"/>
      <c r="AO27" s="2313"/>
      <c r="AP27" s="2313"/>
      <c r="AQ27" s="480"/>
      <c r="AR27" s="480"/>
      <c r="AS27" s="434"/>
      <c r="AT27" s="522"/>
      <c r="AU27" s="522"/>
      <c r="AV27" s="522"/>
      <c r="AW27" s="522"/>
      <c r="AX27" s="522"/>
    </row>
    <row s="8735" customFormat="1" customHeight="1" ht="18.75">
      <c r="A28" s="1527"/>
      <c r="B28" s="1527"/>
      <c r="C28" s="1527"/>
      <c r="D28" s="1527"/>
      <c r="E28" s="1527"/>
      <c r="F28" s="1527"/>
      <c r="G28" s="1527"/>
      <c r="H28" s="1527"/>
      <c r="I28" s="1527"/>
      <c r="J28" s="1527"/>
      <c r="K28" s="1527"/>
      <c r="L28" s="1528"/>
      <c r="M28" s="1527"/>
      <c r="N28" s="1527"/>
      <c r="O28" s="1527"/>
      <c r="S28" s="2311" t="s">
        <v>421</v>
      </c>
      <c r="T28" s="2311"/>
      <c r="U28" s="1531"/>
      <c r="V28" s="2312" t="str">
        <f>IF(TITLE_DATE_PR_CHANGE="",IF(TITLE_DATE_PR="","",TITLE_DATE_PR),TITLE_DATE_PR_CHANGE)</f>
        <v>45279</v>
      </c>
      <c r="W28" s="2312"/>
      <c r="X28" s="2312"/>
      <c r="Y28" s="2312"/>
      <c r="Z28" s="2312"/>
      <c r="AA28" s="2312"/>
      <c r="AB28" s="2312"/>
      <c r="AC28" s="2312"/>
      <c r="AD28" s="2312"/>
      <c r="AE28" s="2312"/>
      <c r="AF28" s="480"/>
      <c r="AG28" s="2312" t="str">
        <f>IF(TITLE_DATE_PR_CHANGE="",IF(TITLE_DATE_PR="","",TITLE_DATE_PR),TITLE_DATE_PR_CHANGE)</f>
        <v>45279</v>
      </c>
      <c r="AH28" s="2312"/>
      <c r="AI28" s="2312"/>
      <c r="AJ28" s="2312"/>
      <c r="AK28" s="2312"/>
      <c r="AL28" s="2312"/>
      <c r="AM28" s="2312"/>
      <c r="AN28" s="2312"/>
      <c r="AO28" s="2312"/>
      <c r="AP28" s="2312"/>
      <c r="AQ28" s="480"/>
      <c r="AR28" s="480"/>
      <c r="AS28" s="434"/>
      <c r="AT28" s="522"/>
      <c r="AU28" s="522"/>
      <c r="AV28" s="522"/>
      <c r="AW28" s="522"/>
      <c r="AX28" s="522"/>
    </row>
    <row s="8735" customFormat="1" customHeight="1" ht="18.75">
      <c r="A29" s="1527"/>
      <c r="B29" s="1527"/>
      <c r="C29" s="1527"/>
      <c r="D29" s="1527"/>
      <c r="E29" s="1527"/>
      <c r="F29" s="1527"/>
      <c r="G29" s="1527"/>
      <c r="H29" s="1527"/>
      <c r="I29" s="1527"/>
      <c r="J29" s="1527"/>
      <c r="K29" s="1527"/>
      <c r="L29" s="1528"/>
      <c r="M29" s="1527"/>
      <c r="N29" s="1527"/>
      <c r="O29" s="1527"/>
      <c r="S29" s="2311" t="s">
        <v>422</v>
      </c>
      <c r="T29" s="2311"/>
      <c r="U29" s="1531"/>
      <c r="V29" s="2313" t="str">
        <f>IF(TITLE_NUMBER_PR_CHANGE="",IF(TITLE_NUMBER_PR="","",TITLE_NUMBER_PR),TITLE_NUMBER_PR_CHANGE)</f>
        <v>877</v>
      </c>
      <c r="W29" s="2313"/>
      <c r="X29" s="2313"/>
      <c r="Y29" s="2313"/>
      <c r="Z29" s="2313"/>
      <c r="AA29" s="2313"/>
      <c r="AB29" s="2313"/>
      <c r="AC29" s="2313"/>
      <c r="AD29" s="2313"/>
      <c r="AE29" s="2313"/>
      <c r="AF29" s="480"/>
      <c r="AG29" s="2313" t="str">
        <f>IF(TITLE_NUMBER_PR_CHANGE="",IF(TITLE_NUMBER_PR="","",TITLE_NUMBER_PR),TITLE_NUMBER_PR_CHANGE)</f>
        <v>877</v>
      </c>
      <c r="AH29" s="2313"/>
      <c r="AI29" s="2313"/>
      <c r="AJ29" s="2313"/>
      <c r="AK29" s="2313"/>
      <c r="AL29" s="2313"/>
      <c r="AM29" s="2313"/>
      <c r="AN29" s="2313"/>
      <c r="AO29" s="2313"/>
      <c r="AP29" s="2313"/>
      <c r="AQ29" s="480"/>
      <c r="AR29" s="480"/>
      <c r="AS29" s="434"/>
      <c r="AT29" s="522"/>
      <c r="AU29" s="522"/>
      <c r="AV29" s="522"/>
      <c r="AW29" s="522"/>
      <c r="AX29" s="522"/>
    </row>
    <row s="8735" customFormat="1" customHeight="1" ht="18.75">
      <c r="A30" s="1527"/>
      <c r="B30" s="1527"/>
      <c r="C30" s="1527"/>
      <c r="D30" s="1527"/>
      <c r="E30" s="1527"/>
      <c r="F30" s="1527"/>
      <c r="G30" s="1527"/>
      <c r="H30" s="1527"/>
      <c r="I30" s="1527"/>
      <c r="J30" s="1527"/>
      <c r="K30" s="1527"/>
      <c r="L30" s="1528"/>
      <c r="M30" s="1527"/>
      <c r="N30" s="1527"/>
      <c r="O30" s="1527"/>
      <c r="S30" s="2311" t="s">
        <v>40</v>
      </c>
      <c r="T30" s="2311"/>
      <c r="U30" s="1531"/>
      <c r="V30" s="2313" t="str">
        <f>IF(TITLE_IST_PUB_CHANGE="",IF(TITLE_IST_PUB="","",TITLE_IST_PUB),TITLE_IST_PUB_CHANGE)</f>
        <v>Официальный портал правовой информации Ростовской области</v>
      </c>
      <c r="W30" s="2313"/>
      <c r="X30" s="2313"/>
      <c r="Y30" s="2313"/>
      <c r="Z30" s="2313"/>
      <c r="AA30" s="2313"/>
      <c r="AB30" s="2313"/>
      <c r="AC30" s="2313"/>
      <c r="AD30" s="2313"/>
      <c r="AE30" s="2313"/>
      <c r="AF30" s="480"/>
      <c r="AG30" s="2313" t="str">
        <f>IF(TITLE_IST_PUB_CHANGE="",IF(TITLE_IST_PUB="","",TITLE_IST_PUB),TITLE_IST_PUB_CHANGE)</f>
        <v>Официальный портал правовой информации Ростовской области</v>
      </c>
      <c r="AH30" s="2313"/>
      <c r="AI30" s="2313"/>
      <c r="AJ30" s="2313"/>
      <c r="AK30" s="2313"/>
      <c r="AL30" s="2313"/>
      <c r="AM30" s="2313"/>
      <c r="AN30" s="2313"/>
      <c r="AO30" s="2313"/>
      <c r="AP30" s="2313"/>
      <c r="AQ30" s="480"/>
      <c r="AR30" s="480"/>
      <c r="AS30" s="434"/>
      <c r="AT30" s="522"/>
      <c r="AU30" s="522"/>
      <c r="AV30" s="522"/>
      <c r="AW30" s="522"/>
      <c r="AX30" s="522"/>
    </row>
    <row customHeight="1" ht="14.25" hidden="1">
      <c r="Q31" s="530"/>
      <c r="R31" s="530"/>
      <c r="S31" s="1434"/>
      <c r="T31" s="517"/>
      <c r="U31" s="517"/>
      <c r="V31" s="476"/>
      <c r="W31" s="476"/>
      <c r="X31" s="476"/>
      <c r="Y31" s="476"/>
      <c r="Z31" s="476"/>
      <c r="AA31" s="476"/>
      <c r="AB31" s="476"/>
      <c r="AC31" s="476"/>
      <c r="AD31" s="476"/>
      <c r="AE31" s="476"/>
      <c r="AF31" s="476"/>
      <c r="AG31" s="476"/>
      <c r="AH31" s="476"/>
      <c r="AI31" s="476"/>
      <c r="AJ31" s="476"/>
      <c r="AK31" s="476"/>
      <c r="AL31" s="476"/>
      <c r="AM31" s="476"/>
      <c r="AN31" s="476"/>
      <c r="AO31" s="476"/>
      <c r="AP31" s="476"/>
      <c r="AQ31" s="476"/>
      <c r="AR31" s="663"/>
    </row>
    <row s="8735" customFormat="1" customHeight="1" ht="18.75" hidden="1">
      <c r="A32" s="1527"/>
      <c r="B32" s="1527"/>
      <c r="C32" s="1527"/>
      <c r="D32" s="1527"/>
      <c r="E32" s="1527"/>
      <c r="F32" s="1527"/>
      <c r="G32" s="1527"/>
      <c r="H32" s="1527"/>
      <c r="I32" s="1527"/>
      <c r="J32" s="1527"/>
      <c r="K32" s="1527"/>
      <c r="L32" s="1528"/>
      <c r="M32" s="1527"/>
      <c r="N32" s="1527"/>
      <c r="O32" s="1527"/>
      <c r="S32" s="2311" t="s">
        <v>423</v>
      </c>
      <c r="T32" s="2311"/>
      <c r="U32" s="1531"/>
      <c r="V32" s="2312" t="str">
        <f>IF(TITLE_DATE_PR_CHANGE="",IF(TITLE_DATE_PR="","",TITLE_DATE_PR),TITLE_DATE_PR_CHANGE)</f>
        <v>45279</v>
      </c>
      <c r="W32" s="2312"/>
      <c r="X32" s="2312"/>
      <c r="Y32" s="2312"/>
      <c r="Z32" s="2312"/>
      <c r="AA32" s="2312"/>
      <c r="AB32" s="2312"/>
      <c r="AC32" s="2312"/>
      <c r="AD32" s="2312"/>
      <c r="AE32" s="2312"/>
      <c r="AF32" s="480"/>
      <c r="AG32" s="2312" t="str">
        <f>IF(TITLE_DATE_PR_CHANGE="",IF(TITLE_DATE_PR="","",TITLE_DATE_PR),TITLE_DATE_PR_CHANGE)</f>
        <v>45279</v>
      </c>
      <c r="AH32" s="2312"/>
      <c r="AI32" s="2312"/>
      <c r="AJ32" s="2312"/>
      <c r="AK32" s="2312"/>
      <c r="AL32" s="2312"/>
      <c r="AM32" s="2312"/>
      <c r="AN32" s="2312"/>
      <c r="AO32" s="2312"/>
      <c r="AP32" s="2312"/>
      <c r="AQ32" s="480"/>
      <c r="AR32" s="480"/>
      <c r="AS32" s="434"/>
      <c r="AT32" s="522"/>
      <c r="AU32" s="522"/>
      <c r="AV32" s="522"/>
      <c r="AW32" s="522"/>
      <c r="AX32" s="522"/>
    </row>
    <row s="8735" customFormat="1" customHeight="1" ht="18.75" hidden="1">
      <c r="A33" s="1527"/>
      <c r="B33" s="1527"/>
      <c r="C33" s="1527"/>
      <c r="D33" s="1527"/>
      <c r="E33" s="1527"/>
      <c r="F33" s="1527"/>
      <c r="G33" s="1527"/>
      <c r="H33" s="1527"/>
      <c r="I33" s="1527"/>
      <c r="J33" s="1527"/>
      <c r="K33" s="1527"/>
      <c r="L33" s="1528"/>
      <c r="M33" s="1527"/>
      <c r="N33" s="1527"/>
      <c r="O33" s="1527"/>
      <c r="S33" s="2311" t="s">
        <v>424</v>
      </c>
      <c r="T33" s="2311"/>
      <c r="U33" s="1531"/>
      <c r="V33" s="2313" t="str">
        <f>IF(TITLE_NUMBER_PR_CHANGE="",IF(TITLE_NUMBER_PR="","",TITLE_NUMBER_PR),TITLE_NUMBER_PR_CHANGE)</f>
        <v>877</v>
      </c>
      <c r="W33" s="2313"/>
      <c r="X33" s="2313"/>
      <c r="Y33" s="2313"/>
      <c r="Z33" s="2313"/>
      <c r="AA33" s="2313"/>
      <c r="AB33" s="2313"/>
      <c r="AC33" s="2313"/>
      <c r="AD33" s="2313"/>
      <c r="AE33" s="2313"/>
      <c r="AF33" s="480"/>
      <c r="AG33" s="2313" t="str">
        <f>IF(TITLE_NUMBER_PR_CHANGE="",IF(TITLE_NUMBER_PR="","",TITLE_NUMBER_PR),TITLE_NUMBER_PR_CHANGE)</f>
        <v>877</v>
      </c>
      <c r="AH33" s="2313"/>
      <c r="AI33" s="2313"/>
      <c r="AJ33" s="2313"/>
      <c r="AK33" s="2313"/>
      <c r="AL33" s="2313"/>
      <c r="AM33" s="2313"/>
      <c r="AN33" s="2313"/>
      <c r="AO33" s="2313"/>
      <c r="AP33" s="2313"/>
      <c r="AQ33" s="480"/>
      <c r="AR33" s="480"/>
      <c r="AS33" s="434"/>
      <c r="AT33" s="522"/>
      <c r="AU33" s="522"/>
      <c r="AV33" s="522"/>
      <c r="AW33" s="522"/>
      <c r="AX33" s="522"/>
    </row>
    <row s="8735" customFormat="1" customHeight="1" ht="0.75">
      <c r="A34" s="1527"/>
      <c r="B34" s="1527"/>
      <c r="C34" s="1527"/>
      <c r="D34" s="1527"/>
      <c r="E34" s="1527"/>
      <c r="F34" s="1527"/>
      <c r="G34" s="1527"/>
      <c r="H34" s="1527"/>
      <c r="I34" s="1527"/>
      <c r="J34" s="1527"/>
      <c r="K34" s="1527"/>
      <c r="L34" s="1528"/>
      <c r="M34" s="1527"/>
      <c r="N34" s="1527"/>
      <c r="O34" s="1527"/>
      <c r="S34" s="477"/>
      <c r="T34" s="477"/>
      <c r="U34" s="1647"/>
      <c r="V34" s="480"/>
      <c r="W34" s="1794"/>
      <c r="X34" s="1794"/>
      <c r="Y34" s="1794"/>
      <c r="Z34" s="1794"/>
      <c r="AA34" s="1794"/>
      <c r="AB34" s="1794"/>
      <c r="AC34" s="480"/>
      <c r="AD34" s="480"/>
      <c r="AE34" s="480"/>
      <c r="AF34" s="432" t="s">
        <v>425</v>
      </c>
      <c r="AG34" s="480"/>
      <c r="AH34" s="1794"/>
      <c r="AI34" s="1794"/>
      <c r="AJ34" s="1794"/>
      <c r="AK34" s="1794"/>
      <c r="AL34" s="1794"/>
      <c r="AM34" s="480"/>
      <c r="AN34" s="480"/>
      <c r="AO34" s="480"/>
      <c r="AP34" s="480"/>
      <c r="AQ34" s="432" t="s">
        <v>425</v>
      </c>
      <c r="AT34" s="522"/>
      <c r="AU34" s="522"/>
      <c r="AV34" s="522"/>
      <c r="AW34" s="522"/>
      <c r="AX34" s="522"/>
    </row>
    <row customHeight="1" ht="14.25">
      <c r="Q35" s="530"/>
      <c r="R35" s="530"/>
      <c r="S35" s="1434"/>
      <c r="T35" s="517"/>
      <c r="U35" s="1402"/>
      <c r="V35" s="2337"/>
      <c r="W35" s="2337"/>
      <c r="X35" s="2337"/>
      <c r="Y35" s="2337"/>
      <c r="Z35" s="2337"/>
      <c r="AA35" s="2337"/>
      <c r="AB35" s="2337"/>
      <c r="AC35" s="2337"/>
      <c r="AD35" s="2337"/>
      <c r="AE35" s="2337"/>
      <c r="AF35" s="2337"/>
      <c r="AG35" s="2337"/>
      <c r="AH35" s="2337"/>
      <c r="AI35" s="2337"/>
      <c r="AJ35" s="2337"/>
      <c r="AK35" s="2337"/>
      <c r="AL35" s="2337"/>
      <c r="AM35" s="2337"/>
      <c r="AN35" s="2337"/>
      <c r="AO35" s="2337"/>
      <c r="AP35" s="2337"/>
      <c r="AQ35" s="2337"/>
    </row>
    <row customHeight="1" ht="14.25">
      <c r="Q36" s="530"/>
      <c r="R36" s="530"/>
      <c r="S36" s="2185" t="s">
        <v>300</v>
      </c>
      <c r="T36" s="2185"/>
      <c r="U36" s="2185"/>
      <c r="V36" s="2185"/>
      <c r="W36" s="2185"/>
      <c r="X36" s="2185"/>
      <c r="Y36" s="2185"/>
      <c r="Z36" s="2185"/>
      <c r="AA36" s="2185"/>
      <c r="AB36" s="2185"/>
      <c r="AC36" s="2185"/>
      <c r="AD36" s="2185"/>
      <c r="AE36" s="2185"/>
      <c r="AF36" s="2185"/>
      <c r="AG36" s="2185"/>
      <c r="AH36" s="2185"/>
      <c r="AI36" s="2185"/>
      <c r="AJ36" s="2185"/>
      <c r="AK36" s="2185"/>
      <c r="AL36" s="2185"/>
      <c r="AM36" s="2185"/>
      <c r="AN36" s="2185"/>
      <c r="AO36" s="2185"/>
      <c r="AP36" s="2185"/>
      <c r="AQ36" s="2185"/>
      <c r="AR36" s="2185"/>
      <c r="AS36" s="2185" t="s">
        <v>301</v>
      </c>
    </row>
    <row customHeight="1" ht="14.25">
      <c r="Q37" s="530"/>
      <c r="R37" s="530"/>
      <c r="S37" s="2338" t="s">
        <v>85</v>
      </c>
      <c r="T37" s="2275" t="s">
        <v>426</v>
      </c>
      <c r="U37" s="455"/>
      <c r="V37" s="2339" t="s">
        <v>427</v>
      </c>
      <c r="W37" s="2361"/>
      <c r="X37" s="2361"/>
      <c r="Y37" s="2361"/>
      <c r="Z37" s="2361"/>
      <c r="AA37" s="2361"/>
      <c r="AB37" s="2361"/>
      <c r="AC37" s="2340"/>
      <c r="AD37" s="2340"/>
      <c r="AE37" s="2341"/>
      <c r="AF37" s="2342" t="s">
        <v>428</v>
      </c>
      <c r="AG37" s="2339" t="s">
        <v>427</v>
      </c>
      <c r="AH37" s="2340"/>
      <c r="AI37" s="2340"/>
      <c r="AJ37" s="2340"/>
      <c r="AK37" s="2340"/>
      <c r="AL37" s="2340"/>
      <c r="AM37" s="2340"/>
      <c r="AN37" s="2340"/>
      <c r="AO37" s="2340"/>
      <c r="AP37" s="2341"/>
      <c r="AQ37" s="2342" t="s">
        <v>429</v>
      </c>
      <c r="AR37" s="2345" t="s">
        <v>430</v>
      </c>
      <c r="AS37" s="2185"/>
    </row>
    <row customHeight="1" ht="18.75">
      <c r="Q38" s="530"/>
      <c r="R38" s="530"/>
      <c r="S38" s="2338"/>
      <c r="T38" s="2275"/>
      <c r="U38" s="1186"/>
      <c r="V38" s="2425" t="s">
        <v>530</v>
      </c>
      <c r="W38" s="2424" t="s">
        <v>531</v>
      </c>
      <c r="X38" s="2424"/>
      <c r="Y38" s="2424"/>
      <c r="Z38" s="2424" t="s">
        <v>532</v>
      </c>
      <c r="AA38" s="2424"/>
      <c r="AB38" s="2424"/>
      <c r="AC38" s="2359" t="s">
        <v>434</v>
      </c>
      <c r="AD38" s="2377"/>
      <c r="AE38" s="2378"/>
      <c r="AF38" s="2343"/>
      <c r="AG38" s="2425" t="s">
        <v>530</v>
      </c>
      <c r="AH38" s="2424" t="s">
        <v>531</v>
      </c>
      <c r="AI38" s="2424"/>
      <c r="AJ38" s="2424"/>
      <c r="AK38" s="2424" t="s">
        <v>532</v>
      </c>
      <c r="AL38" s="2424"/>
      <c r="AM38" s="2424"/>
      <c r="AN38" s="2359" t="s">
        <v>434</v>
      </c>
      <c r="AO38" s="2377"/>
      <c r="AP38" s="2378"/>
      <c r="AQ38" s="2343"/>
      <c r="AR38" s="2346"/>
      <c r="AS38" s="2185"/>
    </row>
    <row s="8849" customFormat="1" customHeight="1" ht="18.75">
      <c r="A39" s="1525"/>
      <c r="B39" s="1525"/>
      <c r="C39" s="1525"/>
      <c r="D39" s="1525"/>
      <c r="E39" s="1525"/>
      <c r="F39" s="1525"/>
      <c r="G39" s="1525"/>
      <c r="H39" s="1525"/>
      <c r="I39" s="1525"/>
      <c r="J39" s="1525"/>
      <c r="K39" s="1525"/>
      <c r="L39" s="2111"/>
      <c r="M39" s="1521"/>
      <c r="N39" s="1521"/>
      <c r="O39" s="1521"/>
      <c r="P39" s="2125"/>
      <c r="Q39" s="530"/>
      <c r="R39" s="530"/>
      <c r="S39" s="2338"/>
      <c r="T39" s="2275"/>
      <c r="U39" s="1186"/>
      <c r="V39" s="2425"/>
      <c r="W39" s="2424" t="s">
        <v>533</v>
      </c>
      <c r="X39" s="2424" t="s">
        <v>534</v>
      </c>
      <c r="Y39" s="2424"/>
      <c r="Z39" s="2424" t="s">
        <v>535</v>
      </c>
      <c r="AA39" s="2424" t="s">
        <v>534</v>
      </c>
      <c r="AB39" s="2424"/>
      <c r="AC39" s="2360"/>
      <c r="AD39" s="2379"/>
      <c r="AE39" s="2380"/>
      <c r="AF39" s="2343"/>
      <c r="AG39" s="2425"/>
      <c r="AH39" s="2424" t="s">
        <v>533</v>
      </c>
      <c r="AI39" s="2424" t="s">
        <v>534</v>
      </c>
      <c r="AJ39" s="2424"/>
      <c r="AK39" s="2424" t="s">
        <v>535</v>
      </c>
      <c r="AL39" s="2424" t="s">
        <v>534</v>
      </c>
      <c r="AM39" s="2424"/>
      <c r="AN39" s="2360"/>
      <c r="AO39" s="2379"/>
      <c r="AP39" s="2380"/>
      <c r="AQ39" s="2343"/>
      <c r="AR39" s="2346"/>
      <c r="AS39" s="2185"/>
      <c r="AT39" s="1795"/>
      <c r="AU39" s="1795"/>
      <c r="AV39" s="1795"/>
      <c r="AW39" s="1795"/>
      <c r="AX39" s="1795"/>
    </row>
    <row customHeight="1" ht="59.25">
      <c r="A40" s="1529"/>
      <c r="B40" s="1529" t="s">
        <v>132</v>
      </c>
      <c r="C40" s="1529" t="s">
        <v>133</v>
      </c>
      <c r="D40" s="1529" t="s">
        <v>134</v>
      </c>
      <c r="E40" s="1523" t="s">
        <v>435</v>
      </c>
      <c r="F40" s="1523" t="s">
        <v>436</v>
      </c>
      <c r="G40" s="1523" t="s">
        <v>437</v>
      </c>
      <c r="H40" s="1523"/>
      <c r="I40" s="1523" t="s">
        <v>488</v>
      </c>
      <c r="J40" s="1523" t="s">
        <v>440</v>
      </c>
      <c r="K40" s="1523" t="s">
        <v>489</v>
      </c>
      <c r="L40" s="1523" t="s">
        <v>416</v>
      </c>
      <c r="Q40" s="530"/>
      <c r="R40" s="530"/>
      <c r="S40" s="2338"/>
      <c r="T40" s="2275"/>
      <c r="U40" s="456"/>
      <c r="V40" s="2425"/>
      <c r="W40" s="2424"/>
      <c r="X40" s="2144" t="s">
        <v>536</v>
      </c>
      <c r="Y40" s="2144" t="s">
        <v>537</v>
      </c>
      <c r="Z40" s="2424"/>
      <c r="AA40" s="2144" t="s">
        <v>538</v>
      </c>
      <c r="AB40" s="2144" t="s">
        <v>539</v>
      </c>
      <c r="AC40" s="1648" t="s">
        <v>444</v>
      </c>
      <c r="AD40" s="2334" t="s">
        <v>445</v>
      </c>
      <c r="AE40" s="2335"/>
      <c r="AF40" s="2344"/>
      <c r="AG40" s="2425"/>
      <c r="AH40" s="2424"/>
      <c r="AI40" s="2144" t="s">
        <v>536</v>
      </c>
      <c r="AJ40" s="2144" t="s">
        <v>537</v>
      </c>
      <c r="AK40" s="2424"/>
      <c r="AL40" s="2144" t="s">
        <v>538</v>
      </c>
      <c r="AM40" s="2144" t="s">
        <v>539</v>
      </c>
      <c r="AN40" s="1648" t="s">
        <v>444</v>
      </c>
      <c r="AO40" s="2334" t="s">
        <v>445</v>
      </c>
      <c r="AP40" s="2335"/>
      <c r="AQ40" s="2344"/>
      <c r="AR40" s="2347"/>
      <c r="AS40" s="2185"/>
    </row>
    <row s="8552" customFormat="1" customHeight="1" ht="11.25" hidden="1">
      <c r="A41" s="1529"/>
      <c r="B41" s="1529"/>
      <c r="C41" s="1529"/>
      <c r="D41" s="1529"/>
      <c r="E41" s="1529"/>
      <c r="F41" s="1529"/>
      <c r="G41" s="1529"/>
      <c r="H41" s="1529"/>
      <c r="I41" s="1529"/>
      <c r="J41" s="1529"/>
      <c r="K41" s="1529"/>
      <c r="L41" s="1523"/>
      <c r="M41" s="1521"/>
      <c r="N41" s="1521"/>
      <c r="O41" s="1521"/>
      <c r="P41" s="1404"/>
      <c r="Q41" s="1405"/>
      <c r="R41" s="1412">
        <v>1</v>
      </c>
      <c r="S41" s="1436" t="s">
        <v>106</v>
      </c>
      <c r="T41" s="1413" t="s">
        <v>107</v>
      </c>
      <c r="U41" s="1403" t="str">
        <f>OFFSET(U41,0,-1)</f>
        <v>2</v>
      </c>
      <c r="V41" s="1641">
        <f>OFFSET(V41,0,-1)+1</f>
        <v>3</v>
      </c>
      <c r="W41" s="1500"/>
      <c r="X41" s="1500"/>
      <c r="Y41" s="1500"/>
      <c r="Z41" s="1500"/>
      <c r="AA41" s="1500"/>
      <c r="AB41" s="1500"/>
      <c r="AC41" s="1641">
        <f>OFFSET(AC41,0,-1)+1</f>
        <v>1</v>
      </c>
      <c r="AD41" s="2336">
        <f>OFFSET(AD41,0,-1)+1</f>
        <v>2</v>
      </c>
      <c r="AE41" s="2336"/>
      <c r="AF41" s="1641">
        <f>OFFSET(AF41,0,-2)+1</f>
        <v>3</v>
      </c>
      <c r="AG41" s="1641">
        <f>OFFSET(AG41,0,-1)+1</f>
        <v>4</v>
      </c>
      <c r="AH41" s="2116"/>
      <c r="AI41" s="2116"/>
      <c r="AJ41" s="2116"/>
      <c r="AK41" s="2116"/>
      <c r="AL41" s="2116"/>
      <c r="AM41" s="1641">
        <f>OFFSET(AM41,0,-1)+1</f>
        <v>1</v>
      </c>
      <c r="AN41" s="1641">
        <f>OFFSET(AN41,0,-1)+1</f>
        <v>2</v>
      </c>
      <c r="AO41" s="2336">
        <f>OFFSET(AO41,0,-1)+1</f>
        <v>3</v>
      </c>
      <c r="AP41" s="2336"/>
      <c r="AQ41" s="1641">
        <f>OFFSET(AQ41,0,-2)+1</f>
        <v>4</v>
      </c>
      <c r="AR41" s="1403">
        <f>OFFSET(AR41,0,-1)</f>
        <v>4</v>
      </c>
      <c r="AS41" s="1641">
        <f>OFFSET(AS41,0,-1)+1</f>
        <v>5</v>
      </c>
      <c r="AT41" s="665"/>
      <c r="AU41" s="665"/>
      <c r="AV41" s="665"/>
      <c r="AW41" s="665"/>
      <c r="AX41" s="665"/>
    </row>
    <row customHeight="1" ht="23.25">
      <c r="A42" s="1522" t="s">
        <v>248</v>
      </c>
      <c r="B42" s="1522"/>
      <c r="C42" s="1522"/>
      <c r="D42" s="1522"/>
      <c r="E42" s="2320">
        <v>1</v>
      </c>
      <c r="F42" s="1522"/>
      <c r="G42" s="1522"/>
      <c r="H42" s="1522"/>
      <c r="I42" s="1522"/>
      <c r="J42" s="1522"/>
      <c r="K42" s="1522"/>
      <c r="L42" s="1523"/>
      <c r="M42" s="1524"/>
      <c r="N42" s="1524"/>
      <c r="O42" s="1524"/>
      <c r="P42" s="515"/>
      <c r="Q42" s="514"/>
      <c r="R42" s="509"/>
      <c r="S42" s="1652">
        <f>INDEX(PT_DIFFERENTIATION_NUM_NTAR,MATCH(A42,PT_DIFFERENTIATION_NTAR_ID,0))</f>
        <v>1</v>
      </c>
      <c r="T42" s="452" t="s">
        <v>120</v>
      </c>
      <c r="U42" s="454"/>
      <c r="V42" s="2314"/>
      <c r="W42" s="2315"/>
      <c r="X42" s="2315"/>
      <c r="Y42" s="2315"/>
      <c r="Z42" s="2315"/>
      <c r="AA42" s="2315"/>
      <c r="AB42" s="2315"/>
      <c r="AC42" s="2315"/>
      <c r="AD42" s="2315"/>
      <c r="AE42" s="2315"/>
      <c r="AF42" s="2316"/>
      <c r="AG42" s="2314" t="str">
        <f>INDEX(PT_DIFFERENTIATION_NTAR,MATCH(A42,PT_DIFFERENTIATION_NTAR_ID,0))</f>
        <v>Тариф на горячую воду, поставляемую с использованием закрытой системы горячего водоснабжения АО "Теплокоммунэнерго" (ИНН 6165199445)</v>
      </c>
      <c r="AH42" s="2315"/>
      <c r="AI42" s="2315"/>
      <c r="AJ42" s="2315"/>
      <c r="AK42" s="2315"/>
      <c r="AL42" s="2315"/>
      <c r="AM42" s="2315"/>
      <c r="AN42" s="2315"/>
      <c r="AO42" s="2315"/>
      <c r="AP42" s="2315"/>
      <c r="AQ42" s="2315"/>
      <c r="AR42" s="2316"/>
      <c r="AS42" s="1416"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U42" s="654"/>
      <c r="AV42" s="654" t="str">
        <f>IF(T42="","",T42)</f>
        <v>Наименование тарифа</v>
      </c>
      <c r="AW42" s="654"/>
      <c r="AX42" s="654"/>
    </row>
    <row customHeight="1" ht="23.25">
      <c r="A43" s="1522" t="s">
        <v>248</v>
      </c>
      <c r="B43" s="1522" t="s">
        <v>249</v>
      </c>
      <c r="C43" s="1522"/>
      <c r="D43" s="1522"/>
      <c r="E43" s="2321"/>
      <c r="F43" s="2320">
        <v>1</v>
      </c>
      <c r="G43" s="1522"/>
      <c r="H43" s="1522"/>
      <c r="I43" s="1522"/>
      <c r="J43" s="1522"/>
      <c r="K43" s="1522"/>
      <c r="L43" s="1523"/>
      <c r="M43" s="1524"/>
      <c r="N43" s="1524"/>
      <c r="O43" s="1524"/>
      <c r="P43" s="1646"/>
      <c r="Q43" s="506"/>
      <c r="R43" s="507"/>
      <c r="S43" s="1652" t="str">
        <f>INDEX(PT_DIFFERENTIATION_NUM_TER,MATCH(B43,PT_DIFFERENTIATION_TER_ID,0))</f>
        <v>1.1</v>
      </c>
      <c r="T43" s="462" t="s">
        <v>397</v>
      </c>
      <c r="U43" s="454"/>
      <c r="V43" s="2314"/>
      <c r="W43" s="2315"/>
      <c r="X43" s="2315"/>
      <c r="Y43" s="2315"/>
      <c r="Z43" s="2315"/>
      <c r="AA43" s="2315"/>
      <c r="AB43" s="2315"/>
      <c r="AC43" s="2315"/>
      <c r="AD43" s="2315"/>
      <c r="AE43" s="2315"/>
      <c r="AF43" s="2316"/>
      <c r="AG43" s="2314" t="str">
        <f>INDEX(PT_DIFFERENTIATION_TER,MATCH(B43,PT_DIFFERENTIATION_TER_ID,0))</f>
        <v>без дифференциации</v>
      </c>
      <c r="AH43" s="2315"/>
      <c r="AI43" s="2315"/>
      <c r="AJ43" s="2315"/>
      <c r="AK43" s="2315"/>
      <c r="AL43" s="2315"/>
      <c r="AM43" s="2315"/>
      <c r="AN43" s="2315"/>
      <c r="AO43" s="2315"/>
      <c r="AP43" s="2315"/>
      <c r="AQ43" s="2315"/>
      <c r="AR43" s="2316"/>
      <c r="AS43" s="1416" t="s">
        <v>398</v>
      </c>
      <c r="AU43" s="654"/>
      <c r="AV43" s="654" t="str">
        <f>IF(T43="","",T43)</f>
        <v>Территория действия тарифа</v>
      </c>
      <c r="AW43" s="654"/>
      <c r="AX43" s="654"/>
    </row>
    <row customHeight="1" ht="23.25">
      <c r="A44" s="1522" t="s">
        <v>248</v>
      </c>
      <c r="B44" s="1522" t="s">
        <v>249</v>
      </c>
      <c r="C44" s="1522" t="s">
        <v>250</v>
      </c>
      <c r="D44" s="1522"/>
      <c r="E44" s="2321"/>
      <c r="F44" s="2321"/>
      <c r="G44" s="2320">
        <v>1</v>
      </c>
      <c r="H44" s="1522"/>
      <c r="I44" s="1522"/>
      <c r="J44" s="1522"/>
      <c r="K44" s="1522"/>
      <c r="L44" s="1523"/>
      <c r="M44" s="1524"/>
      <c r="N44" s="1524"/>
      <c r="O44" s="1524"/>
      <c r="P44" s="508"/>
      <c r="Q44" s="506"/>
      <c r="R44" s="507"/>
      <c r="S44" s="1652" t="str">
        <f>INDEX(PT_DIFFERENTIATION_NUM_CS,MATCH(C44,PT_DIFFERENTIATION_CS_ID,0))</f>
        <v>1.1.1</v>
      </c>
      <c r="T44" s="463" t="s">
        <v>528</v>
      </c>
      <c r="U44" s="454"/>
      <c r="V44" s="2314"/>
      <c r="W44" s="2315"/>
      <c r="X44" s="2315"/>
      <c r="Y44" s="2315"/>
      <c r="Z44" s="2315"/>
      <c r="AA44" s="2315"/>
      <c r="AB44" s="2315"/>
      <c r="AC44" s="2315"/>
      <c r="AD44" s="2315"/>
      <c r="AE44" s="2315"/>
      <c r="AF44" s="2316"/>
      <c r="AG44" s="2314" t="str">
        <f>INDEX(PT_DIFFERENTIATION_CS,MATCH(C44,PT_DIFFERENTIATION_CS_ID,0))</f>
        <v>без дифференциации</v>
      </c>
      <c r="AH44" s="2315"/>
      <c r="AI44" s="2315"/>
      <c r="AJ44" s="2315"/>
      <c r="AK44" s="2315"/>
      <c r="AL44" s="2315"/>
      <c r="AM44" s="2315"/>
      <c r="AN44" s="2315"/>
      <c r="AO44" s="2315"/>
      <c r="AP44" s="2315"/>
      <c r="AQ44" s="2315"/>
      <c r="AR44" s="2316"/>
      <c r="AS44" s="1416" t="s">
        <v>529</v>
      </c>
      <c r="AU44" s="654"/>
      <c r="AV44" s="654" t="str">
        <f>IF(T44="","",T44)</f>
        <v>Наименование централизованной системы горячего водоснабжения</v>
      </c>
      <c r="AW44" s="654"/>
      <c r="AX44" s="654"/>
    </row>
    <row customHeight="1" ht="23.25">
      <c r="A45" s="1522" t="s">
        <v>248</v>
      </c>
      <c r="B45" s="1522" t="s">
        <v>249</v>
      </c>
      <c r="C45" s="1522" t="s">
        <v>250</v>
      </c>
      <c r="D45" s="1522" t="s">
        <v>540</v>
      </c>
      <c r="E45" s="2321"/>
      <c r="F45" s="2321"/>
      <c r="G45" s="2321"/>
      <c r="H45" s="2321"/>
      <c r="I45" s="2322" t="str">
        <f>S44&amp;".1"</f>
        <v>1.1.1.1</v>
      </c>
      <c r="J45" s="1522"/>
      <c r="K45" s="1522"/>
      <c r="L45" s="1523"/>
      <c r="P45" s="2324">
        <v>1</v>
      </c>
      <c r="Q45" s="1640"/>
      <c r="R45" s="510"/>
      <c r="S45" s="1652" t="str">
        <f>$I45</f>
        <v>1.1.1.1</v>
      </c>
      <c r="T45" s="439" t="s">
        <v>481</v>
      </c>
      <c r="U45" s="454"/>
      <c r="V45" s="2407"/>
      <c r="W45" s="2408"/>
      <c r="X45" s="2408"/>
      <c r="Y45" s="2408"/>
      <c r="Z45" s="2408"/>
      <c r="AA45" s="2408"/>
      <c r="AB45" s="2408"/>
      <c r="AC45" s="2408"/>
      <c r="AD45" s="2408"/>
      <c r="AE45" s="2408"/>
      <c r="AF45" s="2409"/>
      <c r="AG45" s="2410"/>
      <c r="AH45" s="2411"/>
      <c r="AI45" s="2411"/>
      <c r="AJ45" s="2411"/>
      <c r="AK45" s="2411"/>
      <c r="AL45" s="2411"/>
      <c r="AM45" s="2411"/>
      <c r="AN45" s="2411"/>
      <c r="AO45" s="2411"/>
      <c r="AP45" s="2411"/>
      <c r="AQ45" s="2411"/>
      <c r="AR45" s="2412"/>
      <c r="AS45" s="1416" t="s">
        <v>482</v>
      </c>
      <c r="AU45" s="654"/>
      <c r="AV45" s="654" t="str">
        <f>IF(T45="","",T45)</f>
        <v>Наименование признака дифференциации</v>
      </c>
      <c r="AW45" s="654"/>
      <c r="AX45" s="654"/>
    </row>
    <row customHeight="1" ht="23.25">
      <c r="A46" s="1522" t="s">
        <v>248</v>
      </c>
      <c r="B46" s="1522" t="s">
        <v>249</v>
      </c>
      <c r="C46" s="1522" t="s">
        <v>250</v>
      </c>
      <c r="D46" s="1522" t="s">
        <v>540</v>
      </c>
      <c r="E46" s="2321"/>
      <c r="F46" s="2321"/>
      <c r="G46" s="2321"/>
      <c r="H46" s="2321"/>
      <c r="I46" s="2323"/>
      <c r="J46" s="2322" t="str">
        <f>I45&amp;".1"</f>
        <v>1.1.1.1.1</v>
      </c>
      <c r="K46" s="1522"/>
      <c r="L46" s="1523" t="s">
        <v>406</v>
      </c>
      <c r="P46" s="2324"/>
      <c r="Q46" s="2324">
        <v>1</v>
      </c>
      <c r="R46" s="511"/>
      <c r="S46" s="1652" t="str">
        <f>$J46</f>
        <v>1.1.1.1.1</v>
      </c>
      <c r="T46" s="440" t="s">
        <v>407</v>
      </c>
      <c r="U46" s="454"/>
      <c r="V46" s="2308"/>
      <c r="W46" s="2309"/>
      <c r="X46" s="2309"/>
      <c r="Y46" s="2309"/>
      <c r="Z46" s="2309"/>
      <c r="AA46" s="2309"/>
      <c r="AB46" s="2309"/>
      <c r="AC46" s="2309"/>
      <c r="AD46" s="2309"/>
      <c r="AE46" s="2309"/>
      <c r="AF46" s="2310"/>
      <c r="AG46" s="2308" t="s">
        <v>541</v>
      </c>
      <c r="AH46" s="2309"/>
      <c r="AI46" s="2309"/>
      <c r="AJ46" s="2309"/>
      <c r="AK46" s="2309"/>
      <c r="AL46" s="2309"/>
      <c r="AM46" s="2309"/>
      <c r="AN46" s="2309"/>
      <c r="AO46" s="2309"/>
      <c r="AP46" s="2309"/>
      <c r="AQ46" s="2309"/>
      <c r="AR46" s="2310"/>
      <c r="AS46" s="1466" t="s">
        <v>483</v>
      </c>
      <c r="AU46" s="654"/>
      <c r="AV46" s="654" t="str">
        <f>IF(T46="","",T46)</f>
        <v>Группа потребителей</v>
      </c>
      <c r="AW46" s="654"/>
      <c r="AX46" s="654"/>
    </row>
    <row customHeight="1" ht="23.25">
      <c r="A47" s="1522" t="s">
        <v>248</v>
      </c>
      <c r="B47" s="1522" t="s">
        <v>249</v>
      </c>
      <c r="C47" s="1522" t="s">
        <v>250</v>
      </c>
      <c r="D47" s="1522" t="s">
        <v>540</v>
      </c>
      <c r="E47" s="2321"/>
      <c r="F47" s="2321"/>
      <c r="G47" s="2321"/>
      <c r="H47" s="2321"/>
      <c r="I47" s="2323"/>
      <c r="J47" s="2323"/>
      <c r="K47" s="2322" t="str">
        <f>J46&amp;".1"</f>
        <v>1.1.1.1.1.1</v>
      </c>
      <c r="L47" s="1523"/>
      <c r="P47" s="2324"/>
      <c r="Q47" s="2324"/>
      <c r="R47" s="511">
        <v>1</v>
      </c>
      <c r="S47" s="1652" t="str">
        <f>$K47</f>
        <v>1.1.1.1.1.1</v>
      </c>
      <c r="T47" s="1596"/>
      <c r="U47" s="454"/>
      <c r="V47" s="905"/>
      <c r="W47" s="905"/>
      <c r="X47" s="905"/>
      <c r="Y47" s="905"/>
      <c r="Z47" s="905"/>
      <c r="AA47" s="905"/>
      <c r="AB47" s="905"/>
      <c r="AC47" s="2318"/>
      <c r="AD47" s="2317" t="s">
        <v>64</v>
      </c>
      <c r="AE47" s="2318"/>
      <c r="AF47" s="2317" t="s">
        <v>64</v>
      </c>
      <c r="AG47" s="905"/>
      <c r="AH47" s="905">
        <v>51.62</v>
      </c>
      <c r="AI47" s="905"/>
      <c r="AJ47" s="905"/>
      <c r="AK47" s="905">
        <v>3044.92</v>
      </c>
      <c r="AL47" s="905"/>
      <c r="AM47" s="905"/>
      <c r="AN47" s="6357">
        <v>45292.61623842592</v>
      </c>
      <c r="AO47" s="2195" t="s">
        <v>64</v>
      </c>
      <c r="AP47" s="6358">
        <v>45473.616423611114</v>
      </c>
      <c r="AQ47" s="2195" t="s">
        <v>54</v>
      </c>
      <c r="AR47" s="1597"/>
      <c r="AS47" s="241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665">
        <f>STRCHECKDATE(V48:AR48)</f>
      </c>
      <c r="AU47" s="654"/>
      <c r="AV47" s="654" t="str">
        <f>IF(T47="","",T47)</f>
        <v/>
      </c>
      <c r="AW47" s="654"/>
      <c r="AX47" s="654"/>
    </row>
    <row customHeight="1" ht="0">
      <c r="A48" s="1522" t="s">
        <v>248</v>
      </c>
      <c r="B48" s="1522" t="s">
        <v>249</v>
      </c>
      <c r="C48" s="1522" t="s">
        <v>250</v>
      </c>
      <c r="D48" s="1522" t="s">
        <v>540</v>
      </c>
      <c r="E48" s="2321"/>
      <c r="F48" s="2321"/>
      <c r="G48" s="2321"/>
      <c r="H48" s="2321"/>
      <c r="I48" s="2323"/>
      <c r="J48" s="2323"/>
      <c r="K48" s="2322"/>
      <c r="L48" s="1523"/>
      <c r="P48" s="2324"/>
      <c r="Q48" s="2324"/>
      <c r="R48" s="511"/>
      <c r="S48" s="1649"/>
      <c r="T48" s="454"/>
      <c r="U48" s="454"/>
      <c r="V48" s="1519"/>
      <c r="W48" s="1519"/>
      <c r="X48" s="1519"/>
      <c r="Y48" s="1519"/>
      <c r="Z48" s="1519"/>
      <c r="AA48" s="1519"/>
      <c r="AB48" s="1519"/>
      <c r="AC48" s="2317"/>
      <c r="AD48" s="2317"/>
      <c r="AE48" s="2317"/>
      <c r="AF48" s="2317"/>
      <c r="AG48" s="479"/>
      <c r="AH48" s="479"/>
      <c r="AI48" s="479"/>
      <c r="AJ48" s="479"/>
      <c r="AK48" s="479"/>
      <c r="AL48" s="479"/>
      <c r="AM48" s="479"/>
      <c r="AN48" s="2326"/>
      <c r="AO48" s="2195"/>
      <c r="AP48" s="2328"/>
      <c r="AQ48" s="2195"/>
      <c r="AR48" s="1598"/>
      <c r="AS48" s="2413"/>
      <c r="AU48" s="654"/>
      <c r="AV48" s="654" t="str">
        <f>IF(T48="","",T48)</f>
        <v/>
      </c>
      <c r="AW48" s="654"/>
      <c r="AX48" s="654"/>
    </row>
    <row customHeight="1" ht="21">
      <c r="A49" s="1522" t="s">
        <v>248</v>
      </c>
      <c r="B49" s="1522" t="s">
        <v>249</v>
      </c>
      <c r="C49" s="1522" t="s">
        <v>250</v>
      </c>
      <c r="D49" s="1522" t="s">
        <v>540</v>
      </c>
      <c r="E49" s="2321"/>
      <c r="F49" s="2321"/>
      <c r="G49" s="2321"/>
      <c r="H49" s="2321"/>
      <c r="I49" s="2323"/>
      <c r="J49" s="2322"/>
      <c r="K49" s="1522"/>
      <c r="L49" s="1523"/>
      <c r="P49" s="2324"/>
      <c r="Q49" s="2324"/>
      <c r="R49" s="510"/>
      <c r="S49" s="1437"/>
      <c r="T49" s="441" t="s">
        <v>484</v>
      </c>
      <c r="U49" s="521"/>
      <c r="V49" s="521"/>
      <c r="W49" s="754"/>
      <c r="X49" s="754"/>
      <c r="Y49" s="754"/>
      <c r="Z49" s="754"/>
      <c r="AA49" s="754"/>
      <c r="AB49" s="754"/>
      <c r="AC49" s="521"/>
      <c r="AD49" s="521"/>
      <c r="AE49" s="521"/>
      <c r="AF49" s="521"/>
      <c r="AG49" s="521"/>
      <c r="AH49" s="754"/>
      <c r="AI49" s="754"/>
      <c r="AJ49" s="754"/>
      <c r="AK49" s="754"/>
      <c r="AL49" s="754"/>
      <c r="AM49" s="521"/>
      <c r="AN49" s="521"/>
      <c r="AO49" s="521"/>
      <c r="AP49" s="521"/>
      <c r="AQ49" s="521"/>
      <c r="AR49" s="521"/>
      <c r="AS49" s="1416" t="s">
        <v>485</v>
      </c>
      <c r="AU49" s="654"/>
      <c r="AV49" s="654" t="str">
        <f>IF(T49="","",T49)</f>
        <v>Добавить значение признака дифференциации</v>
      </c>
      <c r="AW49" s="654"/>
      <c r="AX49" s="654"/>
    </row>
    <row s="9086" customFormat="1" customHeight="1" ht="23.25">
      <c r="A50" s="6360"/>
      <c r="B50" s="6360"/>
      <c r="C50" s="6360"/>
      <c r="D50" s="6360"/>
      <c r="E50" s="6361"/>
      <c r="F50" s="6361"/>
      <c r="G50" s="6361"/>
      <c r="H50" s="6361"/>
      <c r="I50" s="6362"/>
      <c r="J50" s="6363" t="str">
        <f>I45&amp;".2"</f>
        <v>1.1.1.1.2</v>
      </c>
      <c r="K50" s="6360"/>
      <c r="L50" s="6364" t="s">
        <v>406</v>
      </c>
      <c r="M50" s="6365"/>
      <c r="N50" s="6365"/>
      <c r="O50" s="6365"/>
      <c r="P50" s="6366"/>
      <c r="Q50" s="6367" t="s">
        <v>542</v>
      </c>
      <c r="R50" s="6368"/>
      <c r="S50" s="6369" t="str">
        <f>$J50</f>
        <v>1.1.1.1.2</v>
      </c>
      <c r="T50" s="6370" t="s">
        <v>407</v>
      </c>
      <c r="U50" s="6371"/>
      <c r="V50" s="6372"/>
      <c r="W50" s="6373"/>
      <c r="X50" s="6373"/>
      <c r="Y50" s="6373"/>
      <c r="Z50" s="6373"/>
      <c r="AA50" s="6373"/>
      <c r="AB50" s="6373"/>
      <c r="AC50" s="6373"/>
      <c r="AD50" s="6373"/>
      <c r="AE50" s="6373"/>
      <c r="AF50" s="6374"/>
      <c r="AG50" s="6372" t="s">
        <v>543</v>
      </c>
      <c r="AH50" s="6373"/>
      <c r="AI50" s="6373"/>
      <c r="AJ50" s="6373"/>
      <c r="AK50" s="6373"/>
      <c r="AL50" s="6373"/>
      <c r="AM50" s="6373"/>
      <c r="AN50" s="6373"/>
      <c r="AO50" s="6373"/>
      <c r="AP50" s="6373"/>
      <c r="AQ50" s="6373"/>
      <c r="AR50" s="6374"/>
      <c r="AS50" s="6375" t="s">
        <v>483</v>
      </c>
      <c r="AT50" s="6376"/>
      <c r="AU50" s="6377"/>
      <c r="AV50" s="6377" t="str">
        <f>IF(T50="","",T50)</f>
        <v>Группа потребителей</v>
      </c>
      <c r="AW50" s="6377"/>
      <c r="AX50" s="6377"/>
    </row>
    <row s="9105" customFormat="1" customHeight="1" ht="23.25">
      <c r="A51" s="6360"/>
      <c r="B51" s="6360"/>
      <c r="C51" s="6360"/>
      <c r="D51" s="6360"/>
      <c r="E51" s="6361"/>
      <c r="F51" s="6361"/>
      <c r="G51" s="6361"/>
      <c r="H51" s="6361"/>
      <c r="I51" s="6362"/>
      <c r="J51" s="6362" t="str">
        <f>I45&amp;".1"</f>
        <v>1.1.1.1.1</v>
      </c>
      <c r="K51" s="6363" t="str">
        <f>J50&amp;".1"</f>
        <v>1.1.1.1.2.1</v>
      </c>
      <c r="L51" s="6364"/>
      <c r="M51" s="6365"/>
      <c r="N51" s="6365"/>
      <c r="O51" s="6365"/>
      <c r="P51" s="6366"/>
      <c r="Q51" s="6366"/>
      <c r="R51" s="6368">
        <v>1</v>
      </c>
      <c r="S51" s="6369" t="str">
        <f>$K51</f>
        <v>1.1.1.1.2.1</v>
      </c>
      <c r="T51" s="6379"/>
      <c r="U51" s="6371"/>
      <c r="V51" s="6380"/>
      <c r="W51" s="6380"/>
      <c r="X51" s="6380"/>
      <c r="Y51" s="6380"/>
      <c r="Z51" s="6380"/>
      <c r="AA51" s="6380"/>
      <c r="AB51" s="6380"/>
      <c r="AC51" s="6357"/>
      <c r="AD51" s="6381" t="s">
        <v>64</v>
      </c>
      <c r="AE51" s="6357"/>
      <c r="AF51" s="6381" t="s">
        <v>64</v>
      </c>
      <c r="AG51" s="6380"/>
      <c r="AH51" s="6380">
        <v>43.02</v>
      </c>
      <c r="AI51" s="6380"/>
      <c r="AJ51" s="6380"/>
      <c r="AK51" s="6380">
        <v>2537.43</v>
      </c>
      <c r="AL51" s="6380"/>
      <c r="AM51" s="6380"/>
      <c r="AN51" s="6357">
        <v>45292.61728009259</v>
      </c>
      <c r="AO51" s="6381" t="s">
        <v>64</v>
      </c>
      <c r="AP51" s="6358">
        <v>45473.617476851854</v>
      </c>
      <c r="AQ51" s="6381" t="s">
        <v>64</v>
      </c>
      <c r="AR51" s="6382"/>
      <c r="AS51" s="638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51" s="6376">
        <f>STRCHECKDATE(V52:AR52)</f>
      </c>
      <c r="AU51" s="6377"/>
      <c r="AV51" s="6377" t="str">
        <f>IF(T51="","",T51)</f>
        <v/>
      </c>
      <c r="AW51" s="6377"/>
      <c r="AX51" s="6377"/>
    </row>
    <row s="9111" customFormat="1" customHeight="1" ht="14.25">
      <c r="A52" s="6360"/>
      <c r="B52" s="6360"/>
      <c r="C52" s="6360"/>
      <c r="D52" s="6360"/>
      <c r="E52" s="6361"/>
      <c r="F52" s="6361"/>
      <c r="G52" s="6361"/>
      <c r="H52" s="6361"/>
      <c r="I52" s="6362"/>
      <c r="J52" s="6362" t="str">
        <f>I45&amp;".1"</f>
        <v>1.1.1.1.1</v>
      </c>
      <c r="K52" s="6363"/>
      <c r="L52" s="6364"/>
      <c r="M52" s="6365"/>
      <c r="N52" s="6365"/>
      <c r="O52" s="6365"/>
      <c r="P52" s="6366"/>
      <c r="Q52" s="6366"/>
      <c r="R52" s="6368"/>
      <c r="S52" s="6385"/>
      <c r="T52" s="6371"/>
      <c r="U52" s="6371"/>
      <c r="V52" s="6386"/>
      <c r="W52" s="6386"/>
      <c r="X52" s="6386"/>
      <c r="Y52" s="6386"/>
      <c r="Z52" s="6386"/>
      <c r="AA52" s="6386"/>
      <c r="AB52" s="6386"/>
      <c r="AC52" s="6387"/>
      <c r="AD52" s="6381"/>
      <c r="AE52" s="6387"/>
      <c r="AF52" s="6381"/>
      <c r="AG52" s="6386"/>
      <c r="AH52" s="6386"/>
      <c r="AI52" s="6386"/>
      <c r="AJ52" s="6386"/>
      <c r="AK52" s="6386"/>
      <c r="AL52" s="6386"/>
      <c r="AM52" s="6386"/>
      <c r="AN52" s="6387"/>
      <c r="AO52" s="6381"/>
      <c r="AP52" s="6388"/>
      <c r="AQ52" s="6381"/>
      <c r="AR52" s="6389"/>
      <c r="AS52" s="6383"/>
      <c r="AT52" s="6376"/>
      <c r="AU52" s="6377"/>
      <c r="AV52" s="6377" t="str">
        <f>IF(T52="","",T52)</f>
        <v/>
      </c>
      <c r="AW52" s="6377"/>
      <c r="AX52" s="6377"/>
    </row>
    <row s="9117" customFormat="1" customHeight="1" ht="21">
      <c r="A53" s="6360"/>
      <c r="B53" s="6360"/>
      <c r="C53" s="6360"/>
      <c r="D53" s="6360"/>
      <c r="E53" s="6361"/>
      <c r="F53" s="6361"/>
      <c r="G53" s="6361"/>
      <c r="H53" s="6361"/>
      <c r="I53" s="6362"/>
      <c r="J53" s="6363" t="str">
        <f>I45&amp;".1"</f>
        <v>1.1.1.1.1</v>
      </c>
      <c r="K53" s="6360"/>
      <c r="L53" s="6364"/>
      <c r="M53" s="6365"/>
      <c r="N53" s="6365"/>
      <c r="O53" s="6365"/>
      <c r="P53" s="6366"/>
      <c r="Q53" s="6366"/>
      <c r="R53" s="6391"/>
      <c r="S53" s="6392"/>
      <c r="T53" s="6393" t="s">
        <v>484</v>
      </c>
      <c r="U53" s="6394"/>
      <c r="V53" s="6395"/>
      <c r="W53" s="6396"/>
      <c r="X53" s="6397"/>
      <c r="Y53" s="6398"/>
      <c r="Z53" s="6399"/>
      <c r="AA53" s="6400"/>
      <c r="AB53" s="6401"/>
      <c r="AC53" s="6402"/>
      <c r="AD53" s="6403"/>
      <c r="AE53" s="6404"/>
      <c r="AF53" s="6405"/>
      <c r="AG53" s="6406"/>
      <c r="AH53" s="6407"/>
      <c r="AI53" s="6408"/>
      <c r="AJ53" s="6409"/>
      <c r="AK53" s="6410"/>
      <c r="AL53" s="6411"/>
      <c r="AM53" s="6412"/>
      <c r="AN53" s="6413"/>
      <c r="AO53" s="6414"/>
      <c r="AP53" s="6415"/>
      <c r="AQ53" s="6416"/>
      <c r="AR53" s="6417"/>
      <c r="AS53" s="6418" t="s">
        <v>485</v>
      </c>
      <c r="AT53" s="6376"/>
      <c r="AU53" s="6377"/>
      <c r="AV53" s="6377" t="str">
        <f>IF(T53="","",T53)</f>
        <v>Добавить значение признака дифференциации</v>
      </c>
      <c r="AW53" s="6377"/>
      <c r="AX53" s="6377"/>
    </row>
    <row s="9146" customFormat="1" customHeight="1" ht="23.25">
      <c r="A54" s="6360"/>
      <c r="B54" s="6360"/>
      <c r="C54" s="6360"/>
      <c r="D54" s="6360"/>
      <c r="E54" s="6361"/>
      <c r="F54" s="6361"/>
      <c r="G54" s="6361"/>
      <c r="H54" s="6361"/>
      <c r="I54" s="6362"/>
      <c r="J54" s="6363" t="str">
        <f>I45&amp;".3"</f>
        <v>1.1.1.1.3</v>
      </c>
      <c r="K54" s="6360"/>
      <c r="L54" s="6364" t="s">
        <v>406</v>
      </c>
      <c r="M54" s="6365"/>
      <c r="N54" s="6365"/>
      <c r="O54" s="6365"/>
      <c r="P54" s="6366"/>
      <c r="Q54" s="6367" t="s">
        <v>542</v>
      </c>
      <c r="R54" s="6368"/>
      <c r="S54" s="6369" t="str">
        <f>$J54</f>
        <v>1.1.1.1.3</v>
      </c>
      <c r="T54" s="6370" t="s">
        <v>407</v>
      </c>
      <c r="U54" s="6371"/>
      <c r="V54" s="6372"/>
      <c r="W54" s="6373"/>
      <c r="X54" s="6373"/>
      <c r="Y54" s="6373"/>
      <c r="Z54" s="6373"/>
      <c r="AA54" s="6373"/>
      <c r="AB54" s="6373"/>
      <c r="AC54" s="6373"/>
      <c r="AD54" s="6373"/>
      <c r="AE54" s="6373"/>
      <c r="AF54" s="6374"/>
      <c r="AG54" s="6372" t="s">
        <v>541</v>
      </c>
      <c r="AH54" s="6373"/>
      <c r="AI54" s="6373"/>
      <c r="AJ54" s="6373"/>
      <c r="AK54" s="6373"/>
      <c r="AL54" s="6373"/>
      <c r="AM54" s="6373"/>
      <c r="AN54" s="6373"/>
      <c r="AO54" s="6373"/>
      <c r="AP54" s="6373"/>
      <c r="AQ54" s="6373"/>
      <c r="AR54" s="6374"/>
      <c r="AS54" s="6375" t="s">
        <v>483</v>
      </c>
      <c r="AT54" s="6376"/>
      <c r="AU54" s="6377"/>
      <c r="AV54" s="6377" t="str">
        <f>IF(T54="","",T54)</f>
        <v>Группа потребителей</v>
      </c>
      <c r="AW54" s="6377"/>
      <c r="AX54" s="6377"/>
    </row>
    <row s="9147" customFormat="1" customHeight="1" ht="23.25">
      <c r="A55" s="6360"/>
      <c r="B55" s="6360"/>
      <c r="C55" s="6360"/>
      <c r="D55" s="6360"/>
      <c r="E55" s="6361"/>
      <c r="F55" s="6361"/>
      <c r="G55" s="6361"/>
      <c r="H55" s="6361"/>
      <c r="I55" s="6362"/>
      <c r="J55" s="6362" t="str">
        <f>I45&amp;".2"</f>
        <v>1.1.1.1.2</v>
      </c>
      <c r="K55" s="6363" t="str">
        <f>J54&amp;".1"</f>
        <v>1.1.1.1.3.1</v>
      </c>
      <c r="L55" s="6364"/>
      <c r="M55" s="6365"/>
      <c r="N55" s="6365"/>
      <c r="O55" s="6365"/>
      <c r="P55" s="6366"/>
      <c r="Q55" s="6366"/>
      <c r="R55" s="6368">
        <v>1</v>
      </c>
      <c r="S55" s="6369" t="str">
        <f>$K55</f>
        <v>1.1.1.1.3.1</v>
      </c>
      <c r="T55" s="6379"/>
      <c r="U55" s="6371"/>
      <c r="V55" s="6380"/>
      <c r="W55" s="6380"/>
      <c r="X55" s="6380"/>
      <c r="Y55" s="6380"/>
      <c r="Z55" s="6380"/>
      <c r="AA55" s="6380"/>
      <c r="AB55" s="6380"/>
      <c r="AC55" s="6357"/>
      <c r="AD55" s="6381" t="s">
        <v>64</v>
      </c>
      <c r="AE55" s="6357"/>
      <c r="AF55" s="6381" t="s">
        <v>64</v>
      </c>
      <c r="AG55" s="6380"/>
      <c r="AH55" s="6380">
        <v>56.52</v>
      </c>
      <c r="AI55" s="6380"/>
      <c r="AJ55" s="6380"/>
      <c r="AK55" s="6380">
        <v>4568.48</v>
      </c>
      <c r="AL55" s="6380"/>
      <c r="AM55" s="6380"/>
      <c r="AN55" s="6357">
        <v>45474.61912037037</v>
      </c>
      <c r="AO55" s="6381" t="s">
        <v>64</v>
      </c>
      <c r="AP55" s="6358">
        <v>45657.61931712963</v>
      </c>
      <c r="AQ55" s="6381" t="s">
        <v>64</v>
      </c>
      <c r="AR55" s="6382"/>
      <c r="AS55" s="638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55" s="6376">
        <f>STRCHECKDATE(V56:AR56)</f>
      </c>
      <c r="AU55" s="6377"/>
      <c r="AV55" s="6377" t="str">
        <f>IF(T55="","",T55)</f>
        <v/>
      </c>
      <c r="AW55" s="6377"/>
      <c r="AX55" s="6377"/>
    </row>
    <row s="9148" customFormat="1" customHeight="1" ht="14.25">
      <c r="A56" s="6360"/>
      <c r="B56" s="6360"/>
      <c r="C56" s="6360"/>
      <c r="D56" s="6360"/>
      <c r="E56" s="6361"/>
      <c r="F56" s="6361"/>
      <c r="G56" s="6361"/>
      <c r="H56" s="6361"/>
      <c r="I56" s="6362"/>
      <c r="J56" s="6362" t="str">
        <f>I45&amp;".2"</f>
        <v>1.1.1.1.2</v>
      </c>
      <c r="K56" s="6363"/>
      <c r="L56" s="6364"/>
      <c r="M56" s="6365"/>
      <c r="N56" s="6365"/>
      <c r="O56" s="6365"/>
      <c r="P56" s="6366"/>
      <c r="Q56" s="6366"/>
      <c r="R56" s="6368"/>
      <c r="S56" s="6385"/>
      <c r="T56" s="6371"/>
      <c r="U56" s="6371"/>
      <c r="V56" s="6386"/>
      <c r="W56" s="6386"/>
      <c r="X56" s="6386"/>
      <c r="Y56" s="6386"/>
      <c r="Z56" s="6386"/>
      <c r="AA56" s="6386"/>
      <c r="AB56" s="6386"/>
      <c r="AC56" s="6387"/>
      <c r="AD56" s="6381"/>
      <c r="AE56" s="6387"/>
      <c r="AF56" s="6381"/>
      <c r="AG56" s="6386"/>
      <c r="AH56" s="6386"/>
      <c r="AI56" s="6386"/>
      <c r="AJ56" s="6386"/>
      <c r="AK56" s="6386"/>
      <c r="AL56" s="6386"/>
      <c r="AM56" s="6386"/>
      <c r="AN56" s="6387"/>
      <c r="AO56" s="6381"/>
      <c r="AP56" s="6388"/>
      <c r="AQ56" s="6381"/>
      <c r="AR56" s="6389"/>
      <c r="AS56" s="6383"/>
      <c r="AT56" s="6376"/>
      <c r="AU56" s="6377"/>
      <c r="AV56" s="6377" t="str">
        <f>IF(T56="","",T56)</f>
        <v/>
      </c>
      <c r="AW56" s="6377"/>
      <c r="AX56" s="6377"/>
    </row>
    <row s="9149" customFormat="1" customHeight="1" ht="21">
      <c r="A57" s="6360"/>
      <c r="B57" s="6360"/>
      <c r="C57" s="6360"/>
      <c r="D57" s="6360"/>
      <c r="E57" s="6361"/>
      <c r="F57" s="6361"/>
      <c r="G57" s="6361"/>
      <c r="H57" s="6361"/>
      <c r="I57" s="6362"/>
      <c r="J57" s="6363" t="str">
        <f>I45&amp;".2"</f>
        <v>1.1.1.1.2</v>
      </c>
      <c r="K57" s="6360"/>
      <c r="L57" s="6364"/>
      <c r="M57" s="6365"/>
      <c r="N57" s="6365"/>
      <c r="O57" s="6365"/>
      <c r="P57" s="6366"/>
      <c r="Q57" s="6366"/>
      <c r="R57" s="6391"/>
      <c r="S57" s="6423"/>
      <c r="T57" s="6424" t="s">
        <v>484</v>
      </c>
      <c r="U57" s="6425"/>
      <c r="V57" s="6426"/>
      <c r="W57" s="6427"/>
      <c r="X57" s="6428"/>
      <c r="Y57" s="6429"/>
      <c r="Z57" s="6430"/>
      <c r="AA57" s="6431"/>
      <c r="AB57" s="6432"/>
      <c r="AC57" s="6433"/>
      <c r="AD57" s="6434"/>
      <c r="AE57" s="6435"/>
      <c r="AF57" s="6436"/>
      <c r="AG57" s="6437"/>
      <c r="AH57" s="6438"/>
      <c r="AI57" s="6439"/>
      <c r="AJ57" s="6440"/>
      <c r="AK57" s="6441"/>
      <c r="AL57" s="6442"/>
      <c r="AM57" s="6443"/>
      <c r="AN57" s="6444"/>
      <c r="AO57" s="6445"/>
      <c r="AP57" s="6446"/>
      <c r="AQ57" s="6447"/>
      <c r="AR57" s="6448"/>
      <c r="AS57" s="6418" t="s">
        <v>485</v>
      </c>
      <c r="AT57" s="6376"/>
      <c r="AU57" s="6377"/>
      <c r="AV57" s="6377" t="str">
        <f>IF(T57="","",T57)</f>
        <v>Добавить значение признака дифференциации</v>
      </c>
      <c r="AW57" s="6377"/>
      <c r="AX57" s="6377"/>
    </row>
    <row s="9176" customFormat="1" customHeight="1" ht="23.25">
      <c r="A58" s="6360"/>
      <c r="B58" s="6360"/>
      <c r="C58" s="6360"/>
      <c r="D58" s="6360"/>
      <c r="E58" s="6361"/>
      <c r="F58" s="6361"/>
      <c r="G58" s="6361"/>
      <c r="H58" s="6361"/>
      <c r="I58" s="6362"/>
      <c r="J58" s="6363" t="str">
        <f>I45&amp;".4"</f>
        <v>1.1.1.1.4</v>
      </c>
      <c r="K58" s="6360"/>
      <c r="L58" s="6364" t="s">
        <v>406</v>
      </c>
      <c r="M58" s="6365"/>
      <c r="N58" s="6365"/>
      <c r="O58" s="6365"/>
      <c r="P58" s="6366"/>
      <c r="Q58" s="6367" t="s">
        <v>542</v>
      </c>
      <c r="R58" s="6368"/>
      <c r="S58" s="6369" t="str">
        <f>$J58</f>
        <v>1.1.1.1.4</v>
      </c>
      <c r="T58" s="6370" t="s">
        <v>407</v>
      </c>
      <c r="U58" s="6371"/>
      <c r="V58" s="6372"/>
      <c r="W58" s="6373"/>
      <c r="X58" s="6373"/>
      <c r="Y58" s="6373"/>
      <c r="Z58" s="6373"/>
      <c r="AA58" s="6373"/>
      <c r="AB58" s="6373"/>
      <c r="AC58" s="6373"/>
      <c r="AD58" s="6373"/>
      <c r="AE58" s="6373"/>
      <c r="AF58" s="6374"/>
      <c r="AG58" s="6372" t="s">
        <v>543</v>
      </c>
      <c r="AH58" s="6373"/>
      <c r="AI58" s="6373"/>
      <c r="AJ58" s="6373"/>
      <c r="AK58" s="6373"/>
      <c r="AL58" s="6373"/>
      <c r="AM58" s="6373"/>
      <c r="AN58" s="6373"/>
      <c r="AO58" s="6373"/>
      <c r="AP58" s="6373"/>
      <c r="AQ58" s="6373"/>
      <c r="AR58" s="6374"/>
      <c r="AS58" s="6375" t="s">
        <v>483</v>
      </c>
      <c r="AT58" s="6376"/>
      <c r="AU58" s="6377"/>
      <c r="AV58" s="6377" t="str">
        <f>IF(T58="","",T58)</f>
        <v>Группа потребителей</v>
      </c>
      <c r="AW58" s="6377"/>
      <c r="AX58" s="6377"/>
    </row>
    <row s="9177" customFormat="1" customHeight="1" ht="23.25">
      <c r="A59" s="6360"/>
      <c r="B59" s="6360"/>
      <c r="C59" s="6360"/>
      <c r="D59" s="6360"/>
      <c r="E59" s="6361"/>
      <c r="F59" s="6361"/>
      <c r="G59" s="6361"/>
      <c r="H59" s="6361"/>
      <c r="I59" s="6362"/>
      <c r="J59" s="6362" t="str">
        <f>I45&amp;".3"</f>
        <v>1.1.1.1.3</v>
      </c>
      <c r="K59" s="6363" t="str">
        <f>J58&amp;".1"</f>
        <v>1.1.1.1.4.1</v>
      </c>
      <c r="L59" s="6364"/>
      <c r="M59" s="6365"/>
      <c r="N59" s="6365"/>
      <c r="O59" s="6365"/>
      <c r="P59" s="6366"/>
      <c r="Q59" s="6366"/>
      <c r="R59" s="6368">
        <v>1</v>
      </c>
      <c r="S59" s="6369" t="str">
        <f>$K59</f>
        <v>1.1.1.1.4.1</v>
      </c>
      <c r="T59" s="6379"/>
      <c r="U59" s="6371"/>
      <c r="V59" s="6380"/>
      <c r="W59" s="6380"/>
      <c r="X59" s="6380"/>
      <c r="Y59" s="6380"/>
      <c r="Z59" s="6380"/>
      <c r="AA59" s="6380"/>
      <c r="AB59" s="6380"/>
      <c r="AC59" s="6357"/>
      <c r="AD59" s="6381" t="s">
        <v>64</v>
      </c>
      <c r="AE59" s="6357"/>
      <c r="AF59" s="6381" t="s">
        <v>64</v>
      </c>
      <c r="AG59" s="6380"/>
      <c r="AH59" s="6380">
        <v>47.1</v>
      </c>
      <c r="AI59" s="6380"/>
      <c r="AJ59" s="6380"/>
      <c r="AK59" s="6380">
        <v>3807.07</v>
      </c>
      <c r="AL59" s="6380"/>
      <c r="AM59" s="6380"/>
      <c r="AN59" s="6357">
        <v>45474.61971064815</v>
      </c>
      <c r="AO59" s="6381" t="s">
        <v>64</v>
      </c>
      <c r="AP59" s="6358">
        <v>45657.61988425926</v>
      </c>
      <c r="AQ59" s="6381" t="s">
        <v>64</v>
      </c>
      <c r="AR59" s="6382"/>
      <c r="AS59" s="638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59" s="6376">
        <f>STRCHECKDATE(V60:AR60)</f>
      </c>
      <c r="AU59" s="6377"/>
      <c r="AV59" s="6377" t="str">
        <f>IF(T59="","",T59)</f>
        <v/>
      </c>
      <c r="AW59" s="6377"/>
      <c r="AX59" s="6377"/>
    </row>
    <row s="9178" customFormat="1" customHeight="1" ht="14.25">
      <c r="A60" s="6360"/>
      <c r="B60" s="6360"/>
      <c r="C60" s="6360"/>
      <c r="D60" s="6360"/>
      <c r="E60" s="6361"/>
      <c r="F60" s="6361"/>
      <c r="G60" s="6361"/>
      <c r="H60" s="6361"/>
      <c r="I60" s="6362"/>
      <c r="J60" s="6362" t="str">
        <f>I45&amp;".3"</f>
        <v>1.1.1.1.3</v>
      </c>
      <c r="K60" s="6363"/>
      <c r="L60" s="6364"/>
      <c r="M60" s="6365"/>
      <c r="N60" s="6365"/>
      <c r="O60" s="6365"/>
      <c r="P60" s="6366"/>
      <c r="Q60" s="6366"/>
      <c r="R60" s="6368"/>
      <c r="S60" s="6385"/>
      <c r="T60" s="6371"/>
      <c r="U60" s="6371"/>
      <c r="V60" s="6386"/>
      <c r="W60" s="6386"/>
      <c r="X60" s="6386"/>
      <c r="Y60" s="6386"/>
      <c r="Z60" s="6386"/>
      <c r="AA60" s="6386"/>
      <c r="AB60" s="6386"/>
      <c r="AC60" s="6387"/>
      <c r="AD60" s="6381"/>
      <c r="AE60" s="6387"/>
      <c r="AF60" s="6381"/>
      <c r="AG60" s="6386"/>
      <c r="AH60" s="6386"/>
      <c r="AI60" s="6386"/>
      <c r="AJ60" s="6386"/>
      <c r="AK60" s="6386"/>
      <c r="AL60" s="6386"/>
      <c r="AM60" s="6386"/>
      <c r="AN60" s="6387"/>
      <c r="AO60" s="6381"/>
      <c r="AP60" s="6388"/>
      <c r="AQ60" s="6381"/>
      <c r="AR60" s="6389"/>
      <c r="AS60" s="6383"/>
      <c r="AT60" s="6376"/>
      <c r="AU60" s="6377"/>
      <c r="AV60" s="6377" t="str">
        <f>IF(T60="","",T60)</f>
        <v/>
      </c>
      <c r="AW60" s="6377"/>
      <c r="AX60" s="6377"/>
    </row>
    <row s="9179" customFormat="1" customHeight="1" ht="21">
      <c r="A61" s="6360"/>
      <c r="B61" s="6360"/>
      <c r="C61" s="6360"/>
      <c r="D61" s="6360"/>
      <c r="E61" s="6361"/>
      <c r="F61" s="6361"/>
      <c r="G61" s="6361"/>
      <c r="H61" s="6361"/>
      <c r="I61" s="6362"/>
      <c r="J61" s="6363" t="str">
        <f>I45&amp;".3"</f>
        <v>1.1.1.1.3</v>
      </c>
      <c r="K61" s="6360"/>
      <c r="L61" s="6364"/>
      <c r="M61" s="6365"/>
      <c r="N61" s="6365"/>
      <c r="O61" s="6365"/>
      <c r="P61" s="6366"/>
      <c r="Q61" s="6366"/>
      <c r="R61" s="6391"/>
      <c r="S61" s="6453"/>
      <c r="T61" s="6454" t="s">
        <v>484</v>
      </c>
      <c r="U61" s="6455"/>
      <c r="V61" s="6456"/>
      <c r="W61" s="6457"/>
      <c r="X61" s="6458"/>
      <c r="Y61" s="6459"/>
      <c r="Z61" s="6460"/>
      <c r="AA61" s="6461"/>
      <c r="AB61" s="6462"/>
      <c r="AC61" s="6463"/>
      <c r="AD61" s="6464"/>
      <c r="AE61" s="6465"/>
      <c r="AF61" s="6466"/>
      <c r="AG61" s="6467"/>
      <c r="AH61" s="6468"/>
      <c r="AI61" s="6469"/>
      <c r="AJ61" s="6470"/>
      <c r="AK61" s="6471"/>
      <c r="AL61" s="6472"/>
      <c r="AM61" s="6473"/>
      <c r="AN61" s="6474"/>
      <c r="AO61" s="6475"/>
      <c r="AP61" s="6476"/>
      <c r="AQ61" s="6477"/>
      <c r="AR61" s="6478"/>
      <c r="AS61" s="6418" t="s">
        <v>485</v>
      </c>
      <c r="AT61" s="6376"/>
      <c r="AU61" s="6377"/>
      <c r="AV61" s="6377" t="str">
        <f>IF(T61="","",T61)</f>
        <v>Добавить значение признака дифференциации</v>
      </c>
      <c r="AW61" s="6377"/>
      <c r="AX61" s="6377"/>
    </row>
    <row customHeight="1" ht="21">
      <c r="A62" s="1522" t="s">
        <v>248</v>
      </c>
      <c r="B62" s="1522" t="s">
        <v>249</v>
      </c>
      <c r="C62" s="1522" t="s">
        <v>250</v>
      </c>
      <c r="D62" s="1522" t="s">
        <v>540</v>
      </c>
      <c r="E62" s="2321"/>
      <c r="F62" s="2321"/>
      <c r="G62" s="2321"/>
      <c r="H62" s="2321"/>
      <c r="I62" s="2322"/>
      <c r="J62" s="1522"/>
      <c r="K62" s="1522"/>
      <c r="L62" s="1523"/>
      <c r="P62" s="2324"/>
      <c r="Q62" s="1640"/>
      <c r="R62" s="510"/>
      <c r="S62" s="1437"/>
      <c r="T62" s="519" t="s">
        <v>412</v>
      </c>
      <c r="U62" s="521"/>
      <c r="V62" s="521"/>
      <c r="W62" s="754"/>
      <c r="X62" s="754"/>
      <c r="Y62" s="754"/>
      <c r="Z62" s="754"/>
      <c r="AA62" s="754"/>
      <c r="AB62" s="754"/>
      <c r="AC62" s="521"/>
      <c r="AD62" s="521"/>
      <c r="AE62" s="521"/>
      <c r="AF62" s="520"/>
      <c r="AG62" s="521"/>
      <c r="AH62" s="754"/>
      <c r="AI62" s="754"/>
      <c r="AJ62" s="754"/>
      <c r="AK62" s="754"/>
      <c r="AL62" s="754"/>
      <c r="AM62" s="521"/>
      <c r="AN62" s="521"/>
      <c r="AO62" s="521"/>
      <c r="AP62" s="521"/>
      <c r="AQ62" s="520"/>
      <c r="AR62" s="521"/>
      <c r="AS62" s="1599"/>
      <c r="AU62" s="654"/>
      <c r="AV62" s="654" t="str">
        <f>IF(T62="","",T62)</f>
        <v>Добавить группу потребителей</v>
      </c>
      <c r="AW62" s="654"/>
      <c r="AX62" s="654"/>
    </row>
    <row customHeight="1" ht="21">
      <c r="A63" s="1522" t="s">
        <v>248</v>
      </c>
      <c r="B63" s="1522" t="s">
        <v>249</v>
      </c>
      <c r="C63" s="1522" t="s">
        <v>250</v>
      </c>
      <c r="D63" s="1522" t="s">
        <v>540</v>
      </c>
      <c r="E63" s="2321"/>
      <c r="F63" s="2321"/>
      <c r="G63" s="2321"/>
      <c r="H63" s="2320"/>
      <c r="I63" s="1522"/>
      <c r="J63" s="1522"/>
      <c r="K63" s="1522"/>
      <c r="L63" s="1523"/>
      <c r="M63" s="1524"/>
      <c r="N63" s="1524"/>
      <c r="O63" s="691"/>
      <c r="P63" s="514"/>
      <c r="Q63" s="529"/>
      <c r="R63" s="509"/>
      <c r="S63" s="1437"/>
      <c r="T63" s="526" t="s">
        <v>486</v>
      </c>
      <c r="U63" s="521"/>
      <c r="V63" s="521"/>
      <c r="W63" s="754"/>
      <c r="X63" s="754"/>
      <c r="Y63" s="754"/>
      <c r="Z63" s="754"/>
      <c r="AA63" s="754"/>
      <c r="AB63" s="754"/>
      <c r="AC63" s="521"/>
      <c r="AD63" s="521"/>
      <c r="AE63" s="521"/>
      <c r="AF63" s="520"/>
      <c r="AG63" s="521"/>
      <c r="AH63" s="754"/>
      <c r="AI63" s="754"/>
      <c r="AJ63" s="754"/>
      <c r="AK63" s="754"/>
      <c r="AL63" s="754"/>
      <c r="AM63" s="521"/>
      <c r="AN63" s="521"/>
      <c r="AO63" s="521"/>
      <c r="AP63" s="521"/>
      <c r="AQ63" s="520"/>
      <c r="AR63" s="521"/>
      <c r="AS63" s="457"/>
      <c r="AU63" s="654"/>
      <c r="AV63" s="654" t="str">
        <f>IF(T63="","",T63)</f>
        <v>Добавить наименование признака дифференциации</v>
      </c>
      <c r="AW63" s="654"/>
      <c r="AX63" s="654"/>
    </row>
    <row s="8702" customFormat="1" customHeight="1" ht="0">
      <c r="A64" s="1502" t="s">
        <v>248</v>
      </c>
      <c r="B64" s="1502" t="s">
        <v>249</v>
      </c>
      <c r="C64" s="1473"/>
      <c r="D64" s="1473"/>
      <c r="E64" s="2321"/>
      <c r="F64" s="2320"/>
      <c r="G64" s="1473"/>
      <c r="H64" s="1473"/>
      <c r="I64" s="1473"/>
      <c r="J64" s="1473"/>
      <c r="K64" s="1473"/>
      <c r="L64" s="1653"/>
      <c r="M64" s="1480"/>
      <c r="N64" s="1480"/>
      <c r="P64" s="1475"/>
      <c r="Q64" s="1476"/>
      <c r="R64" s="1475"/>
      <c r="S64" s="1481"/>
      <c r="T64" s="1484" t="s">
        <v>251</v>
      </c>
      <c r="U64" s="1483"/>
      <c r="V64" s="1483"/>
      <c r="W64" s="1483"/>
      <c r="X64" s="1483"/>
      <c r="Y64" s="1483"/>
      <c r="Z64" s="1483"/>
      <c r="AA64" s="1483"/>
      <c r="AB64" s="1483"/>
      <c r="AC64" s="1483"/>
      <c r="AD64" s="1483"/>
      <c r="AE64" s="1483"/>
      <c r="AF64" s="1483"/>
      <c r="AG64" s="1483"/>
      <c r="AH64" s="1483"/>
      <c r="AI64" s="1483"/>
      <c r="AJ64" s="1483"/>
      <c r="AK64" s="1483"/>
      <c r="AL64" s="1483"/>
      <c r="AM64" s="1483"/>
      <c r="AN64" s="1483"/>
      <c r="AO64" s="1483"/>
      <c r="AP64" s="1483"/>
      <c r="AQ64" s="1483"/>
      <c r="AR64" s="1483"/>
      <c r="AS64" s="1483"/>
      <c r="AU64" s="943"/>
      <c r="AV64" s="943" t="str">
        <f>IF(T64="","",T64)</f>
        <v>Добавить централизованную систему для дифференциации</v>
      </c>
      <c r="AW64" s="943"/>
      <c r="AX64" s="943"/>
    </row>
    <row s="8794" customFormat="1" customHeight="1" ht="0">
      <c r="A65" s="1502" t="s">
        <v>248</v>
      </c>
      <c r="B65" s="1502"/>
      <c r="C65" s="1502"/>
      <c r="D65" s="1502"/>
      <c r="E65" s="2320"/>
      <c r="F65" s="1502"/>
      <c r="G65" s="1502"/>
      <c r="H65" s="1502"/>
      <c r="I65" s="1502"/>
      <c r="J65" s="1502"/>
      <c r="K65" s="1502"/>
      <c r="L65" s="1505"/>
      <c r="M65" s="1480"/>
      <c r="N65" s="1480"/>
      <c r="O65" s="672"/>
      <c r="P65" s="534"/>
      <c r="Q65" s="1503"/>
      <c r="R65" s="534"/>
      <c r="S65" s="1481"/>
      <c r="T65" s="1484" t="s">
        <v>252</v>
      </c>
      <c r="U65" s="1483"/>
      <c r="V65" s="1483"/>
      <c r="W65" s="1483"/>
      <c r="X65" s="1483"/>
      <c r="Y65" s="1483"/>
      <c r="Z65" s="1483"/>
      <c r="AA65" s="1483"/>
      <c r="AB65" s="1483"/>
      <c r="AC65" s="1483"/>
      <c r="AD65" s="1483"/>
      <c r="AE65" s="1483"/>
      <c r="AF65" s="1483"/>
      <c r="AG65" s="1483"/>
      <c r="AH65" s="1483"/>
      <c r="AI65" s="1483"/>
      <c r="AJ65" s="1483"/>
      <c r="AK65" s="1483"/>
      <c r="AL65" s="1483"/>
      <c r="AM65" s="1483"/>
      <c r="AN65" s="1483"/>
      <c r="AO65" s="1483"/>
      <c r="AP65" s="1483"/>
      <c r="AQ65" s="1483"/>
      <c r="AR65" s="1483"/>
      <c r="AS65" s="1483"/>
      <c r="AU65" s="654"/>
      <c r="AV65" s="654" t="str">
        <f>IF(T65="","",T65)</f>
        <v>Добавить территорию для дифференциации</v>
      </c>
      <c r="AW65" s="654"/>
      <c r="AX65" s="654"/>
    </row>
    <row s="8702" customFormat="1" customHeight="1" ht="0">
      <c r="A66" s="1473"/>
      <c r="B66" s="1473"/>
      <c r="C66" s="1473"/>
      <c r="D66" s="1473"/>
      <c r="E66" s="1502"/>
      <c r="F66" s="1473"/>
      <c r="G66" s="1473"/>
      <c r="H66" s="1473"/>
      <c r="I66" s="1473"/>
      <c r="J66" s="1473"/>
      <c r="K66" s="1473"/>
      <c r="L66" s="1653"/>
      <c r="M66" s="1480"/>
      <c r="N66" s="1480"/>
      <c r="P66" s="1475"/>
      <c r="Q66" s="1476"/>
      <c r="R66" s="1475"/>
      <c r="S66" s="1481"/>
      <c r="T66" s="1484" t="s">
        <v>253</v>
      </c>
      <c r="U66" s="1483"/>
      <c r="V66" s="1483"/>
      <c r="W66" s="1483"/>
      <c r="X66" s="1483"/>
      <c r="Y66" s="1483"/>
      <c r="Z66" s="1483"/>
      <c r="AA66" s="1483"/>
      <c r="AB66" s="1483"/>
      <c r="AC66" s="1483"/>
      <c r="AD66" s="1483"/>
      <c r="AE66" s="1483"/>
      <c r="AF66" s="1483"/>
      <c r="AG66" s="1483"/>
      <c r="AH66" s="1483"/>
      <c r="AI66" s="1483"/>
      <c r="AJ66" s="1483"/>
      <c r="AK66" s="1483"/>
      <c r="AL66" s="1483"/>
      <c r="AM66" s="1483"/>
      <c r="AN66" s="1483"/>
      <c r="AO66" s="1483"/>
      <c r="AP66" s="1483"/>
      <c r="AQ66" s="1483"/>
      <c r="AR66" s="1483"/>
      <c r="AS66" s="1483"/>
      <c r="AU66" s="943"/>
      <c r="AV66" s="943" t="str">
        <f>IF(T66="","",T66)</f>
        <v>Добавить наименование тарифа</v>
      </c>
      <c r="AW66" s="943"/>
      <c r="AX66" s="943"/>
    </row>
    <row customHeight="1" ht="11.25">
      <c r="M67" s="1316"/>
      <c r="N67" s="1316"/>
      <c r="O67" s="691"/>
      <c r="P67" s="1311"/>
      <c r="Q67" s="1311"/>
      <c r="R67" s="1311"/>
      <c r="S67" s="1311"/>
      <c r="AT67" s="1311"/>
      <c r="AU67" s="1311"/>
      <c r="AV67" s="1311"/>
      <c r="AW67" s="1311"/>
      <c r="AX67" s="1311"/>
    </row>
    <row customHeight="1" ht="14.25">
      <c r="O68" s="691"/>
      <c r="S68" s="1411"/>
      <c r="T68" s="2319"/>
      <c r="U68" s="2319"/>
      <c r="V68" s="2319"/>
      <c r="W68" s="2319"/>
      <c r="X68" s="2319"/>
      <c r="Y68" s="2319"/>
      <c r="Z68" s="2319"/>
      <c r="AA68" s="2319"/>
      <c r="AB68" s="2319"/>
      <c r="AC68" s="2319"/>
      <c r="AD68" s="2319"/>
      <c r="AE68" s="2319"/>
      <c r="AF68" s="2319"/>
      <c r="AG68" s="2319"/>
      <c r="AH68" s="2319"/>
      <c r="AI68" s="2319"/>
      <c r="AJ68" s="2319"/>
      <c r="AK68" s="2319"/>
      <c r="AL68" s="2319"/>
      <c r="AM68" s="2319"/>
      <c r="AN68" s="2319"/>
      <c r="AO68" s="2319"/>
      <c r="AP68" s="2319"/>
      <c r="AQ68" s="2319"/>
      <c r="AR68" s="2319"/>
      <c r="AS68" s="2319"/>
    </row>
    <row customHeight="1" ht="14.25">
      <c r="O69" s="691"/>
    </row>
    <row customHeight="1" ht="14.25">
      <c r="O70" s="691"/>
      <c r="S70" s="1411"/>
      <c r="T70" s="2319"/>
      <c r="U70" s="2319"/>
      <c r="V70" s="2319"/>
      <c r="W70" s="2319"/>
      <c r="X70" s="2319"/>
      <c r="Y70" s="2319"/>
      <c r="Z70" s="2319"/>
      <c r="AA70" s="2319"/>
      <c r="AB70" s="2319"/>
      <c r="AC70" s="2319"/>
      <c r="AD70" s="2319"/>
      <c r="AE70" s="2319"/>
      <c r="AF70" s="2319"/>
      <c r="AG70" s="2319"/>
      <c r="AH70" s="2319"/>
      <c r="AI70" s="2319"/>
      <c r="AJ70" s="2319"/>
      <c r="AK70" s="2319"/>
      <c r="AL70" s="2319"/>
      <c r="AM70" s="2319"/>
      <c r="AN70" s="2319"/>
      <c r="AO70" s="2319"/>
      <c r="AP70" s="2319"/>
      <c r="AQ70" s="2319"/>
      <c r="AR70" s="2319"/>
      <c r="AS70" s="2319"/>
    </row>
  </sheetData>
  <sheetProtection formatColumns="0" formatRows="0" autoFilter="0" sort="0" insertRows="0" insertColumns="1" deleteRows="0" deleteColumns="0"/>
  <mergeCells count="155">
    <mergeCell ref="AH38:AJ38"/>
    <mergeCell ref="AK38:AM38"/>
    <mergeCell ref="AH39:AH40"/>
    <mergeCell ref="AI39:AJ39"/>
    <mergeCell ref="AK39:AK40"/>
    <mergeCell ref="X39:Y39"/>
    <mergeCell ref="W39:W40"/>
    <mergeCell ref="Z39:Z40"/>
    <mergeCell ref="AA39:AB39"/>
    <mergeCell ref="W38:Y38"/>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 ref="S29:T29"/>
    <mergeCell ref="AG38:AG40"/>
    <mergeCell ref="AS7:AS8"/>
    <mergeCell ref="AN15:AN16"/>
    <mergeCell ref="AO15:AO16"/>
    <mergeCell ref="AP15:AP16"/>
    <mergeCell ref="AQ15:AQ16"/>
    <mergeCell ref="AD7:AD8"/>
    <mergeCell ref="AE7:AE8"/>
    <mergeCell ref="AF7:AF8"/>
    <mergeCell ref="AN7:AN8"/>
    <mergeCell ref="AO7:AO8"/>
    <mergeCell ref="AP7:AP8"/>
    <mergeCell ref="V29:AE29"/>
    <mergeCell ref="AG29:AP29"/>
    <mergeCell ref="S30:T30"/>
    <mergeCell ref="V30:AE30"/>
    <mergeCell ref="AG30:AP30"/>
    <mergeCell ref="S24:AP24"/>
    <mergeCell ref="S25:AP25"/>
    <mergeCell ref="S27:T27"/>
    <mergeCell ref="V27:AE27"/>
    <mergeCell ref="AG27:AP27"/>
    <mergeCell ref="S28:T28"/>
    <mergeCell ref="V28:AE28"/>
    <mergeCell ref="AG28:AP28"/>
    <mergeCell ref="AS36:AS40"/>
    <mergeCell ref="S37:S40"/>
    <mergeCell ref="T37:T40"/>
    <mergeCell ref="V37:AE37"/>
    <mergeCell ref="AF37:AF40"/>
    <mergeCell ref="AG37:AP37"/>
    <mergeCell ref="AQ37:AQ40"/>
    <mergeCell ref="S32:T32"/>
    <mergeCell ref="V32:AE32"/>
    <mergeCell ref="AG32:AP32"/>
    <mergeCell ref="S33:T33"/>
    <mergeCell ref="V33:AE33"/>
    <mergeCell ref="AG33:AP33"/>
    <mergeCell ref="AR37:AR40"/>
    <mergeCell ref="AD40:AE40"/>
    <mergeCell ref="AO40:AP40"/>
    <mergeCell ref="V35:AF35"/>
    <mergeCell ref="AG35:AQ35"/>
    <mergeCell ref="S36:AR36"/>
    <mergeCell ref="AN38:AP39"/>
    <mergeCell ref="AC38:AE39"/>
    <mergeCell ref="AL39:AM39"/>
    <mergeCell ref="Z38:AB38"/>
    <mergeCell ref="V38:V40"/>
    <mergeCell ref="AD41:AE41"/>
    <mergeCell ref="AO41:AP41"/>
    <mergeCell ref="E42:E65"/>
    <mergeCell ref="V42:AF42"/>
    <mergeCell ref="AG42:AR42"/>
    <mergeCell ref="F43:F64"/>
    <mergeCell ref="V43:AF43"/>
    <mergeCell ref="AG43:AR43"/>
    <mergeCell ref="G44:G63"/>
    <mergeCell ref="V44:AF44"/>
    <mergeCell ref="AG44:AR44"/>
    <mergeCell ref="H45:H63"/>
    <mergeCell ref="I45:I62"/>
    <mergeCell ref="P45:P62"/>
    <mergeCell ref="V45:AF45"/>
    <mergeCell ref="AG45:AR45"/>
    <mergeCell ref="J46:J49"/>
    <mergeCell ref="Q46:Q49"/>
    <mergeCell ref="V46:AF46"/>
    <mergeCell ref="AG46:AR46"/>
    <mergeCell ref="AO47:AO48"/>
    <mergeCell ref="AP47:AP48"/>
    <mergeCell ref="AQ47:AQ48"/>
    <mergeCell ref="AS47:AS48"/>
    <mergeCell ref="T68:AS68"/>
    <mergeCell ref="T70:AS70"/>
    <mergeCell ref="K47:K48"/>
    <mergeCell ref="AC47:AC48"/>
    <mergeCell ref="AD47:AD48"/>
    <mergeCell ref="AE47:AE48"/>
    <mergeCell ref="AF47:AF48"/>
    <mergeCell ref="AN47:AN48"/>
    <mergeCell ref="J50:J53"/>
    <mergeCell ref="Q50:Q53"/>
    <mergeCell ref="V50:AF50"/>
    <mergeCell ref="AG50:AR50"/>
    <mergeCell ref="K51:K52"/>
    <mergeCell ref="AC51:AC52"/>
    <mergeCell ref="AQ51:AQ52"/>
    <mergeCell ref="AS51:AS52"/>
    <mergeCell ref="AD51:AD52"/>
    <mergeCell ref="AE51:AE52"/>
    <mergeCell ref="AF51:AF52"/>
    <mergeCell ref="AN51:AN52"/>
    <mergeCell ref="AO51:AO52"/>
    <mergeCell ref="AP51:AP52"/>
    <mergeCell ref="J54:J57"/>
    <mergeCell ref="Q54:Q57"/>
    <mergeCell ref="V54:AF54"/>
    <mergeCell ref="AG54:AR54"/>
    <mergeCell ref="K55:K56"/>
    <mergeCell ref="AC55:AC56"/>
    <mergeCell ref="AQ55:AQ56"/>
    <mergeCell ref="AS55:AS56"/>
    <mergeCell ref="AD55:AD56"/>
    <mergeCell ref="AE55:AE56"/>
    <mergeCell ref="AF55:AF56"/>
    <mergeCell ref="AN55:AN56"/>
    <mergeCell ref="AO55:AO56"/>
    <mergeCell ref="AP55:AP56"/>
    <mergeCell ref="J58:J61"/>
    <mergeCell ref="Q58:Q61"/>
    <mergeCell ref="V58:AF58"/>
    <mergeCell ref="AG58:AR58"/>
    <mergeCell ref="K59:K60"/>
    <mergeCell ref="AC59:AC60"/>
    <mergeCell ref="AQ59:AQ60"/>
    <mergeCell ref="AS59:AS60"/>
    <mergeCell ref="AD59:AD60"/>
    <mergeCell ref="AE59:AE60"/>
    <mergeCell ref="AF59:AF60"/>
    <mergeCell ref="AN59:AN60"/>
    <mergeCell ref="AO59:AO60"/>
    <mergeCell ref="AP59:AP60"/>
  </mergeCells>
  <dataValidations count="7">
    <dataValidation allowBlank="1" sqref="S131129:AS131135 S196665:AS196671 S262201:AS262207 S327737:AS327743 S393273:AS393279 S458809:AS458815 S524345:AS524351 S589881:AS589887 S655417:AS655423 S720953:AS720959 S786489:AS786495 S852025:AS852031 S917561:AS917567 S983097:AS983103 S65593:AS65599"/>
    <dataValidation type="list" allowBlank="1" showInputMessage="1" errorTitle="Ошибка" error="Выберите значение из списка" prompt="Выберите значение из списка" sqref="V983094:AR983094 V65590:AR65590 V131126:AR131126 V196662:AR196662 V262198:AR262198 V327734:AR327734 V393270:AR393270 V458806:AR458806 V524342:AR524342 V589878:AR589878 V655414:AR655414 V720950:AR720950 V786486:AR786486 V852022:AR852022 V917558:AR917558">
      <formula1>kind_of_cons</formula1>
    </dataValidation>
    <dataValidation type="list" allowBlank="1" showInputMessage="1" showErrorMessage="1" errorTitle="Ошибка" error="Выберите значение из списка" sqref="AG917557:AL917557 AG852021:AL852021 AG786485:AL786485 AG720949:AL720949 AG655413:AL655413 AG589877:AL589877 AG524341:AL524341 AG458805:AL458805 AG393269:AL393269 AG327733:AL327733 AG262197:AL262197 AG196661:AL196661 AG131125:AL131125 AG65589:AL65589 AG983093:AL983093 V983093:AB983093 V65589:AB65589 V131125:AB131125 V196661:AB196661 V262197:AB262197 V327733:AB327733 V393269:AB393269 V458805:AB458805 V524341:AB524341 V589877:AB589877 V655413:AB655413 V720949:AB720949 V786485:AB786485 V852021:AB852021 V917557:AB917557">
      <formula1>kind_of_scheme_in</formula1>
    </dataValidation>
    <dataValidation type="textLength" operator="lessThanOrEqual" allowBlank="1" showInputMessage="1" showErrorMessage="1" errorTitle="Ошибка" error="Допускается ввод не более 900 символов!" sqref="AS65585:AS65592 AS131121:AS131128 AS196657:AS196664 AS262193:AS262200 AS327729:AS327736 AS393265:AS393272 AS458801:AS458808 AS524337:AS524344 AS589873:AS589880 AS655409:AS655416 AS720945:AS720952 AS786481:AS786488 AS852017:AS852024 AS917553:AS917560 AS983089:AS983096 T47 T7 AG45:AR45 AG5:AR5 T51 T55 T59">
      <formula1>900</formula1>
    </dataValidation>
    <dataValidation type="list" allowBlank="1" showInputMessage="1" showErrorMessage="1" errorTitle="Ошибка" error="Выберите значение из списка" sqref="T65591 T131127 T196663 T262199 T327735 T393271 T458807 T524343 T589879 T655415 T720951 T786487 T852023 T917559 T983095">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91 AC131127 AC196663 AC262199 AC327735 AC393271 AC458807 AC524343 AC589879 AC655415 AC720951 AC786487 AC852023 AC917559 AC983095 AE65591 AE131127 AE196663 AE262199 AE327735 AE393271 AE458807 AE524343 AE589879 AE655415 AE720951 AE786487 AE852023 AE917559 AE983095 AN15 AN65591 AN131127 AN196663 AN262199 AN327735 AN393271 AN458807 AN524343 AN589879 AN655415 AN720951 AN786487 AN852023 AN917559 AN983095 AP65591 AP131127 AP196663 AP262199 AP327735 AP393271 AP458807 AP524343 AP589879 AP655415 AP720951 AP786487 AP852023 AP917559 AP983095 AP47 AN47 AP15 AP7 AN7 AC7 AE7 AC47 AE47 AC51 AE51 AN51 AP51 AC55 AE55 AN55 AP55 AC59 AE59 AN59 AP59"/>
    <dataValidation allowBlank="1" showInputMessage="1" showErrorMessage="1" prompt="Для выбора выполните двойной щелчок левой клавиши мыши по соответствующей ячейке." sqref="AD65591 AD131127 AD196663 AD262199 AD327735 AD393271 AD458807 AD524343 AD589879 AD655415 AD720951 AD786487 AD852023 AD917559 AD983095 AF131127 AF458807 AF196663 AF262199 AF327735 AF393271 AF524343 AF589879 AF655415 AF720951 AF786487 AF852023 AF917559 AF983095 AF65591 AO65591 AO131127 AO196663 AO262199 AO327735 AO393271 AO458807 AO524343 AO589879 AO655415 AO720951 AO786487 AO852023 AO917559 AO983095 AQ524343 AQ196663 AQ589879 AQ655415 AQ15 AQ720951 AQ786487 AQ852023 AQ917559 AQ983095 AQ65591 AQ131127 AQ458807 AQ262199 AQ7 AO47 AQ327735 AO15 AO7 AD7 AF7 AQ393271 AQ47 AD47 AF47 AD51 AF51 AO51 AQ51 AD55 AF55 AO55 AQ55 AD59 AF59 AO59 AQ5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6D2D5E3-C882-492D-B52B-CC9B505AD2B6}" mc:Ignorable="x14ac xr xr2 xr3">
  <sheetPr>
    <tabColor theme="6" tint="0.4"/>
  </sheetPr>
  <dimension ref="A1:AX58"/>
  <sheetViews>
    <sheetView topLeftCell="A1" showGridLines="0" zoomScale="90" workbookViewId="0">
      <selection activeCell="A1" sqref="A1"/>
    </sheetView>
  </sheetViews>
  <sheetFormatPr defaultColWidth="10.57421875" customHeight="1" defaultRowHeight="14.25"/>
  <cols>
    <col min="1" max="1" style="8721" width="10.57421875" hidden="1"/>
    <col min="2" max="2" style="8721" width="11.00390625" hidden="1" customWidth="1"/>
    <col min="3" max="3" style="8721" width="10.57421875" hidden="1"/>
    <col min="4" max="4" style="8721" width="11.8515625" hidden="1" customWidth="1"/>
    <col min="5" max="5" style="8721" width="10.00390625" hidden="1" customWidth="1"/>
    <col min="6" max="6" style="8721" width="8.7109375" hidden="1" customWidth="1"/>
    <col min="7" max="7" style="8721" width="7.57421875" hidden="1" customWidth="1"/>
    <col min="8" max="8" style="8721" width="11.421875" hidden="1" customWidth="1"/>
    <col min="9" max="9" style="8721" width="14.140625" hidden="1" customWidth="1"/>
    <col min="10" max="10" style="8721" width="9.8515625" hidden="1" customWidth="1"/>
    <col min="11" max="11" style="8721" width="14.7109375" hidden="1" customWidth="1"/>
    <col min="12" max="12" style="9072" width="19.140625" hidden="1" customWidth="1"/>
    <col min="13" max="14" style="8803" width="12.28125" hidden="1" customWidth="1"/>
    <col min="15" max="15" style="8803" width="23.421875" hidden="1" customWidth="1"/>
    <col min="16" max="16" style="9073" width="3.7109375" customWidth="1"/>
    <col min="17" max="18" style="8805" width="3.7109375" customWidth="1"/>
    <col min="19" max="19" style="8806" width="12.7109375" customWidth="1"/>
    <col min="20" max="20" style="8807" width="35.7109375" customWidth="1"/>
    <col min="21" max="21" style="8807" width="0.140625" customWidth="1"/>
    <col min="22" max="22" style="8807" width="19.7109375" hidden="1" customWidth="1"/>
    <col min="23" max="27" style="8849" width="19.7109375" hidden="1" customWidth="1"/>
    <col min="28" max="28" style="8807" width="19.7109375" hidden="1" customWidth="1"/>
    <col min="29" max="29" style="8807" width="11.7109375" hidden="1" customWidth="1"/>
    <col min="30" max="30" style="8807" width="3.7109375" hidden="1" customWidth="1"/>
    <col min="31" max="31" style="8807" width="11.7109375" hidden="1" customWidth="1"/>
    <col min="32" max="32" style="8807" width="8.57421875" hidden="1" customWidth="1"/>
    <col min="33" max="33" style="8807" width="19.7109375" customWidth="1"/>
    <col min="34" max="38" style="8849" width="19.7109375" customWidth="1"/>
    <col min="39" max="39" style="8807" width="19.7109375" customWidth="1"/>
    <col min="40" max="40" style="8807" width="11.7109375" customWidth="1"/>
    <col min="41" max="41" style="8807" width="3.7109375" customWidth="1"/>
    <col min="42" max="42" style="8807" width="11.7109375" customWidth="1"/>
    <col min="43" max="43" style="8807" width="8.57421875" hidden="1" customWidth="1"/>
    <col min="44" max="44" style="8807" width="4.7109375" customWidth="1"/>
    <col min="45" max="45" style="8807" width="115.7109375" customWidth="1"/>
    <col min="46" max="47" style="8794" width="10.57421875"/>
    <col min="48" max="48" style="8794" width="11.140625" customWidth="1"/>
    <col min="49" max="50" style="8794" width="10.57421875"/>
  </cols>
  <sheetData>
    <row customHeight="1" ht="14.25" hidden="1">
      <c r="AB1" s="481"/>
      <c r="AC1" s="481"/>
      <c r="AM1" s="481"/>
      <c r="AN1" s="481"/>
    </row>
    <row customHeight="1" ht="23.25" hidden="1">
      <c r="A2" s="1522"/>
      <c r="B2" s="1522"/>
      <c r="C2" s="1522"/>
      <c r="D2" s="1522"/>
      <c r="E2" s="2320">
        <v>1</v>
      </c>
      <c r="F2" s="1522"/>
      <c r="G2" s="1522"/>
      <c r="H2" s="1522"/>
      <c r="I2" s="1522"/>
      <c r="J2" s="1522"/>
      <c r="K2" s="1522"/>
      <c r="L2" s="1523"/>
      <c r="M2" s="1524"/>
      <c r="N2" s="1524"/>
      <c r="O2" s="1524"/>
      <c r="P2" s="515"/>
      <c r="Q2" s="514"/>
      <c r="R2" s="509"/>
      <c r="S2" s="1652">
        <f>INDEX(PT_DIFFERENTIATION_NUM_NTAR,MATCH(A2,PT_DIFFERENTIATION_NTAR_ID,0))</f>
      </c>
      <c r="T2" s="452" t="s">
        <v>120</v>
      </c>
      <c r="U2" s="454"/>
      <c r="V2" s="2314"/>
      <c r="W2" s="2315"/>
      <c r="X2" s="2315"/>
      <c r="Y2" s="2315"/>
      <c r="Z2" s="2315"/>
      <c r="AA2" s="2315"/>
      <c r="AB2" s="2315"/>
      <c r="AC2" s="2315"/>
      <c r="AD2" s="2315"/>
      <c r="AE2" s="2315"/>
      <c r="AF2" s="2316"/>
      <c r="AG2" s="2314">
        <f>INDEX(PT_DIFFERENTIATION_NTAR,MATCH(A2,PT_DIFFERENTIATION_NTAR_ID,0))</f>
      </c>
      <c r="AH2" s="2315"/>
      <c r="AI2" s="2315"/>
      <c r="AJ2" s="2315"/>
      <c r="AK2" s="2315"/>
      <c r="AL2" s="2315"/>
      <c r="AM2" s="2315"/>
      <c r="AN2" s="2315"/>
      <c r="AO2" s="2315"/>
      <c r="AP2" s="2315"/>
      <c r="AQ2" s="2315"/>
      <c r="AR2" s="2316"/>
      <c r="AS2" s="1416"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U2" s="654"/>
      <c r="AV2" s="654" t="str">
        <f>IF(T2="","",T2)</f>
        <v>Наименование тарифа</v>
      </c>
      <c r="AW2" s="654"/>
      <c r="AX2" s="654"/>
    </row>
    <row customHeight="1" ht="23.25" hidden="1">
      <c r="A3" s="1522"/>
      <c r="B3" s="1522"/>
      <c r="C3" s="1522"/>
      <c r="D3" s="1522"/>
      <c r="E3" s="2321"/>
      <c r="F3" s="2320">
        <v>1</v>
      </c>
      <c r="G3" s="1522"/>
      <c r="H3" s="1522"/>
      <c r="I3" s="1522"/>
      <c r="J3" s="1522"/>
      <c r="K3" s="1522"/>
      <c r="L3" s="1523"/>
      <c r="M3" s="1524"/>
      <c r="N3" s="1524"/>
      <c r="O3" s="1524"/>
      <c r="P3" s="1646"/>
      <c r="Q3" s="506"/>
      <c r="R3" s="507"/>
      <c r="S3" s="1652">
        <f>INDEX(PT_DIFFERENTIATION_NUM_TER,MATCH(B3,PT_DIFFERENTIATION_TER_ID,0))</f>
      </c>
      <c r="T3" s="462" t="s">
        <v>397</v>
      </c>
      <c r="U3" s="454"/>
      <c r="V3" s="2314"/>
      <c r="W3" s="2315"/>
      <c r="X3" s="2315"/>
      <c r="Y3" s="2315"/>
      <c r="Z3" s="2315"/>
      <c r="AA3" s="2315"/>
      <c r="AB3" s="2315"/>
      <c r="AC3" s="2315"/>
      <c r="AD3" s="2315"/>
      <c r="AE3" s="2315"/>
      <c r="AF3" s="2316"/>
      <c r="AG3" s="2314">
        <f>INDEX(PT_DIFFERENTIATION_TER,MATCH(B3,PT_DIFFERENTIATION_TER_ID,0))</f>
      </c>
      <c r="AH3" s="2315"/>
      <c r="AI3" s="2315"/>
      <c r="AJ3" s="2315"/>
      <c r="AK3" s="2315"/>
      <c r="AL3" s="2315"/>
      <c r="AM3" s="2315"/>
      <c r="AN3" s="2315"/>
      <c r="AO3" s="2315"/>
      <c r="AP3" s="2315"/>
      <c r="AQ3" s="2315"/>
      <c r="AR3" s="2316"/>
      <c r="AS3" s="1416" t="s">
        <v>398</v>
      </c>
      <c r="AU3" s="654"/>
      <c r="AV3" s="654" t="str">
        <f>IF(T3="","",T3)</f>
        <v>Территория действия тарифа</v>
      </c>
      <c r="AW3" s="654"/>
      <c r="AX3" s="654"/>
    </row>
    <row customHeight="1" ht="23.25" hidden="1">
      <c r="A4" s="1522"/>
      <c r="B4" s="1522"/>
      <c r="C4" s="1522"/>
      <c r="D4" s="1522"/>
      <c r="E4" s="2321"/>
      <c r="F4" s="2321"/>
      <c r="G4" s="2320">
        <v>1</v>
      </c>
      <c r="H4" s="1522"/>
      <c r="I4" s="1522"/>
      <c r="J4" s="1522"/>
      <c r="K4" s="1522"/>
      <c r="L4" s="1523"/>
      <c r="M4" s="1524"/>
      <c r="N4" s="1524"/>
      <c r="O4" s="1524"/>
      <c r="P4" s="508"/>
      <c r="Q4" s="506"/>
      <c r="R4" s="507"/>
      <c r="S4" s="1652">
        <f>INDEX(PT_DIFFERENTIATION_NUM_CS,MATCH(C4,PT_DIFFERENTIATION_CS_ID,0))</f>
      </c>
      <c r="T4" s="463" t="s">
        <v>528</v>
      </c>
      <c r="U4" s="454"/>
      <c r="V4" s="2314"/>
      <c r="W4" s="2315"/>
      <c r="X4" s="2315"/>
      <c r="Y4" s="2315"/>
      <c r="Z4" s="2315"/>
      <c r="AA4" s="2315"/>
      <c r="AB4" s="2315"/>
      <c r="AC4" s="2315"/>
      <c r="AD4" s="2315"/>
      <c r="AE4" s="2315"/>
      <c r="AF4" s="2316"/>
      <c r="AG4" s="2314">
        <f>INDEX(PT_DIFFERENTIATION_CS,MATCH(C4,PT_DIFFERENTIATION_CS_ID,0))</f>
      </c>
      <c r="AH4" s="2315"/>
      <c r="AI4" s="2315"/>
      <c r="AJ4" s="2315"/>
      <c r="AK4" s="2315"/>
      <c r="AL4" s="2315"/>
      <c r="AM4" s="2315"/>
      <c r="AN4" s="2315"/>
      <c r="AO4" s="2315"/>
      <c r="AP4" s="2315"/>
      <c r="AQ4" s="2315"/>
      <c r="AR4" s="2316"/>
      <c r="AS4" s="1416" t="s">
        <v>529</v>
      </c>
      <c r="AU4" s="654"/>
      <c r="AV4" s="654" t="str">
        <f>IF(T4="","",T4)</f>
        <v>Наименование централизованной системы горячего водоснабжения</v>
      </c>
      <c r="AW4" s="654"/>
      <c r="AX4" s="654"/>
    </row>
    <row customHeight="1" ht="23.25" hidden="1">
      <c r="A5" s="1522"/>
      <c r="B5" s="1522"/>
      <c r="C5" s="1522"/>
      <c r="D5" s="1522"/>
      <c r="E5" s="2321"/>
      <c r="F5" s="2321"/>
      <c r="G5" s="2321"/>
      <c r="H5" s="2321"/>
      <c r="I5" s="2322">
        <f>S4&amp;".1"</f>
      </c>
      <c r="J5" s="1522"/>
      <c r="K5" s="1522"/>
      <c r="L5" s="1523"/>
      <c r="P5" s="2324">
        <v>1</v>
      </c>
      <c r="Q5" s="1640"/>
      <c r="R5" s="510"/>
      <c r="S5" s="1652">
        <f>$I5</f>
      </c>
      <c r="T5" s="439" t="s">
        <v>481</v>
      </c>
      <c r="U5" s="454"/>
      <c r="V5" s="2407"/>
      <c r="W5" s="2408"/>
      <c r="X5" s="2408"/>
      <c r="Y5" s="2408"/>
      <c r="Z5" s="2408"/>
      <c r="AA5" s="2408"/>
      <c r="AB5" s="2408"/>
      <c r="AC5" s="2408"/>
      <c r="AD5" s="2408"/>
      <c r="AE5" s="2408"/>
      <c r="AF5" s="2409"/>
      <c r="AG5" s="2410"/>
      <c r="AH5" s="2411"/>
      <c r="AI5" s="2411"/>
      <c r="AJ5" s="2411"/>
      <c r="AK5" s="2411"/>
      <c r="AL5" s="2411"/>
      <c r="AM5" s="2411"/>
      <c r="AN5" s="2411"/>
      <c r="AO5" s="2411"/>
      <c r="AP5" s="2411"/>
      <c r="AQ5" s="2411"/>
      <c r="AR5" s="2412"/>
      <c r="AS5" s="1416" t="s">
        <v>482</v>
      </c>
      <c r="AU5" s="654"/>
      <c r="AV5" s="654" t="str">
        <f>IF(T5="","",T5)</f>
        <v>Наименование признака дифференциации</v>
      </c>
      <c r="AW5" s="654"/>
      <c r="AX5" s="654"/>
    </row>
    <row customHeight="1" ht="23.25" hidden="1">
      <c r="A6" s="1522"/>
      <c r="B6" s="1522"/>
      <c r="C6" s="1522"/>
      <c r="D6" s="1522"/>
      <c r="E6" s="2321"/>
      <c r="F6" s="2321"/>
      <c r="G6" s="2321"/>
      <c r="H6" s="2321"/>
      <c r="I6" s="2323"/>
      <c r="J6" s="2322">
        <f>I5&amp;".1"</f>
      </c>
      <c r="K6" s="1522"/>
      <c r="L6" s="1523" t="s">
        <v>406</v>
      </c>
      <c r="P6" s="2324"/>
      <c r="Q6" s="2324">
        <v>1</v>
      </c>
      <c r="R6" s="511"/>
      <c r="S6" s="1652">
        <f>$J6</f>
      </c>
      <c r="T6" s="440" t="s">
        <v>407</v>
      </c>
      <c r="U6" s="454"/>
      <c r="V6" s="2308"/>
      <c r="W6" s="2309"/>
      <c r="X6" s="2309"/>
      <c r="Y6" s="2309"/>
      <c r="Z6" s="2309"/>
      <c r="AA6" s="2309"/>
      <c r="AB6" s="2309"/>
      <c r="AC6" s="2309"/>
      <c r="AD6" s="2309"/>
      <c r="AE6" s="2309"/>
      <c r="AF6" s="2310"/>
      <c r="AG6" s="2308"/>
      <c r="AH6" s="2309"/>
      <c r="AI6" s="2309"/>
      <c r="AJ6" s="2309"/>
      <c r="AK6" s="2309"/>
      <c r="AL6" s="2309"/>
      <c r="AM6" s="2309"/>
      <c r="AN6" s="2309"/>
      <c r="AO6" s="2309"/>
      <c r="AP6" s="2309"/>
      <c r="AQ6" s="2309"/>
      <c r="AR6" s="2310"/>
      <c r="AS6" s="1466" t="s">
        <v>483</v>
      </c>
      <c r="AU6" s="654"/>
      <c r="AV6" s="654" t="str">
        <f>IF(T6="","",T6)</f>
        <v>Группа потребителей</v>
      </c>
      <c r="AW6" s="654"/>
      <c r="AX6" s="654"/>
    </row>
    <row customHeight="1" ht="23.25" hidden="1">
      <c r="A7" s="1522"/>
      <c r="B7" s="1522"/>
      <c r="C7" s="1522"/>
      <c r="D7" s="1522"/>
      <c r="E7" s="2321"/>
      <c r="F7" s="2321"/>
      <c r="G7" s="2321"/>
      <c r="H7" s="2321"/>
      <c r="I7" s="2323"/>
      <c r="J7" s="2323"/>
      <c r="K7" s="2322">
        <f>J6&amp;".1"</f>
      </c>
      <c r="L7" s="1523"/>
      <c r="P7" s="2324"/>
      <c r="Q7" s="2324"/>
      <c r="R7" s="511">
        <v>1</v>
      </c>
      <c r="S7" s="1652">
        <f>$K7</f>
      </c>
      <c r="T7" s="1596"/>
      <c r="U7" s="454"/>
      <c r="V7" s="905"/>
      <c r="W7" s="905"/>
      <c r="X7" s="905"/>
      <c r="Y7" s="905"/>
      <c r="Z7" s="905"/>
      <c r="AA7" s="905"/>
      <c r="AB7" s="1415"/>
      <c r="AC7" s="2325"/>
      <c r="AD7" s="2195" t="s">
        <v>64</v>
      </c>
      <c r="AE7" s="2325"/>
      <c r="AF7" s="2195" t="s">
        <v>64</v>
      </c>
      <c r="AG7" s="905"/>
      <c r="AH7" s="905"/>
      <c r="AI7" s="905"/>
      <c r="AJ7" s="905"/>
      <c r="AK7" s="905"/>
      <c r="AL7" s="905"/>
      <c r="AM7" s="1415"/>
      <c r="AN7" s="2325"/>
      <c r="AO7" s="2195" t="s">
        <v>64</v>
      </c>
      <c r="AP7" s="2327"/>
      <c r="AQ7" s="2195" t="s">
        <v>64</v>
      </c>
      <c r="AR7" s="1597"/>
      <c r="AS7" s="241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665">
        <f>STRCHECKDATE(V8:AR8)</f>
      </c>
      <c r="AU7" s="654"/>
      <c r="AV7" s="654" t="str">
        <f>IF(T7="","",T7)</f>
        <v/>
      </c>
      <c r="AW7" s="654"/>
      <c r="AX7" s="654"/>
    </row>
    <row customHeight="1" ht="14.25" hidden="1">
      <c r="A8" s="1522"/>
      <c r="B8" s="1522"/>
      <c r="C8" s="1522"/>
      <c r="D8" s="1522"/>
      <c r="E8" s="2321"/>
      <c r="F8" s="2321"/>
      <c r="G8" s="2321"/>
      <c r="H8" s="2321"/>
      <c r="I8" s="2323"/>
      <c r="J8" s="2323"/>
      <c r="K8" s="2322"/>
      <c r="L8" s="1523"/>
      <c r="P8" s="2324"/>
      <c r="Q8" s="2324"/>
      <c r="R8" s="511"/>
      <c r="S8" s="1649"/>
      <c r="T8" s="454"/>
      <c r="U8" s="454"/>
      <c r="V8" s="479"/>
      <c r="W8" s="479"/>
      <c r="X8" s="479"/>
      <c r="Y8" s="479"/>
      <c r="Z8" s="479"/>
      <c r="AA8" s="479"/>
      <c r="AB8" s="482" t="str">
        <f>AC7&amp;"-"&amp;AE7</f>
        <v>-</v>
      </c>
      <c r="AC8" s="2326"/>
      <c r="AD8" s="2195"/>
      <c r="AE8" s="2326"/>
      <c r="AF8" s="2195"/>
      <c r="AG8" s="479"/>
      <c r="AH8" s="479"/>
      <c r="AI8" s="479"/>
      <c r="AJ8" s="479"/>
      <c r="AK8" s="479"/>
      <c r="AL8" s="479"/>
      <c r="AM8" s="482" t="str">
        <f>AN7&amp;"-"&amp;AP7</f>
        <v>-</v>
      </c>
      <c r="AN8" s="2326"/>
      <c r="AO8" s="2195"/>
      <c r="AP8" s="2328"/>
      <c r="AQ8" s="2195"/>
      <c r="AR8" s="1598"/>
      <c r="AS8" s="2413"/>
      <c r="AU8" s="654"/>
      <c r="AV8" s="654" t="str">
        <f>IF(T8="","",T8)</f>
        <v/>
      </c>
      <c r="AW8" s="654"/>
      <c r="AX8" s="654"/>
    </row>
    <row customHeight="1" ht="21" hidden="1">
      <c r="A9" s="1522"/>
      <c r="B9" s="1522"/>
      <c r="C9" s="1522"/>
      <c r="D9" s="1522"/>
      <c r="E9" s="2321"/>
      <c r="F9" s="2321"/>
      <c r="G9" s="2321"/>
      <c r="H9" s="2321"/>
      <c r="I9" s="2323"/>
      <c r="J9" s="2322"/>
      <c r="K9" s="1522"/>
      <c r="L9" s="1523"/>
      <c r="P9" s="2324"/>
      <c r="Q9" s="2324"/>
      <c r="R9" s="510"/>
      <c r="S9" s="1437"/>
      <c r="T9" s="441" t="s">
        <v>484</v>
      </c>
      <c r="U9" s="521"/>
      <c r="V9" s="521"/>
      <c r="W9" s="754"/>
      <c r="X9" s="754"/>
      <c r="Y9" s="754"/>
      <c r="Z9" s="754"/>
      <c r="AA9" s="754"/>
      <c r="AB9" s="521"/>
      <c r="AC9" s="521"/>
      <c r="AD9" s="521"/>
      <c r="AE9" s="521"/>
      <c r="AF9" s="521"/>
      <c r="AG9" s="521"/>
      <c r="AH9" s="754"/>
      <c r="AI9" s="754"/>
      <c r="AJ9" s="754"/>
      <c r="AK9" s="754"/>
      <c r="AL9" s="754"/>
      <c r="AM9" s="521"/>
      <c r="AN9" s="521"/>
      <c r="AO9" s="521"/>
      <c r="AP9" s="521"/>
      <c r="AQ9" s="521"/>
      <c r="AR9" s="521"/>
      <c r="AS9" s="1416" t="s">
        <v>485</v>
      </c>
      <c r="AU9" s="654"/>
      <c r="AV9" s="654" t="str">
        <f>IF(T9="","",T9)</f>
        <v>Добавить значение признака дифференциации</v>
      </c>
      <c r="AW9" s="654"/>
      <c r="AX9" s="654"/>
    </row>
    <row customHeight="1" ht="21" hidden="1">
      <c r="A10" s="1522"/>
      <c r="B10" s="1522"/>
      <c r="C10" s="1522"/>
      <c r="D10" s="1522"/>
      <c r="E10" s="2321"/>
      <c r="F10" s="2321"/>
      <c r="G10" s="2321"/>
      <c r="H10" s="2321"/>
      <c r="I10" s="2322"/>
      <c r="J10" s="1522"/>
      <c r="K10" s="1522"/>
      <c r="L10" s="1523"/>
      <c r="P10" s="2324"/>
      <c r="Q10" s="1640"/>
      <c r="R10" s="510"/>
      <c r="S10" s="1437"/>
      <c r="T10" s="519" t="s">
        <v>412</v>
      </c>
      <c r="U10" s="521"/>
      <c r="V10" s="521"/>
      <c r="W10" s="754"/>
      <c r="X10" s="754"/>
      <c r="Y10" s="754"/>
      <c r="Z10" s="754"/>
      <c r="AA10" s="754"/>
      <c r="AB10" s="521"/>
      <c r="AC10" s="521"/>
      <c r="AD10" s="521"/>
      <c r="AE10" s="521"/>
      <c r="AF10" s="520"/>
      <c r="AG10" s="521"/>
      <c r="AH10" s="754"/>
      <c r="AI10" s="754"/>
      <c r="AJ10" s="754"/>
      <c r="AK10" s="754"/>
      <c r="AL10" s="754"/>
      <c r="AM10" s="521"/>
      <c r="AN10" s="521"/>
      <c r="AO10" s="521"/>
      <c r="AP10" s="521"/>
      <c r="AQ10" s="520"/>
      <c r="AR10" s="521"/>
      <c r="AS10" s="1599"/>
      <c r="AU10" s="654"/>
      <c r="AV10" s="654" t="str">
        <f>IF(T10="","",T10)</f>
        <v>Добавить группу потребителей</v>
      </c>
      <c r="AW10" s="654"/>
      <c r="AX10" s="654"/>
    </row>
    <row customHeight="1" ht="21" hidden="1">
      <c r="A11" s="1522"/>
      <c r="B11" s="1522"/>
      <c r="C11" s="1522"/>
      <c r="D11" s="1522"/>
      <c r="E11" s="2321"/>
      <c r="F11" s="2321"/>
      <c r="G11" s="2321"/>
      <c r="H11" s="2320"/>
      <c r="I11" s="1522"/>
      <c r="J11" s="1522"/>
      <c r="K11" s="1522"/>
      <c r="L11" s="1523"/>
      <c r="M11" s="1524"/>
      <c r="N11" s="1524"/>
      <c r="O11" s="691"/>
      <c r="P11" s="514"/>
      <c r="Q11" s="529"/>
      <c r="R11" s="509"/>
      <c r="S11" s="1437"/>
      <c r="T11" s="526" t="s">
        <v>486</v>
      </c>
      <c r="U11" s="521"/>
      <c r="V11" s="521"/>
      <c r="W11" s="754"/>
      <c r="X11" s="754"/>
      <c r="Y11" s="754"/>
      <c r="Z11" s="754"/>
      <c r="AA11" s="754"/>
      <c r="AB11" s="521"/>
      <c r="AC11" s="521"/>
      <c r="AD11" s="521"/>
      <c r="AE11" s="521"/>
      <c r="AF11" s="520"/>
      <c r="AG11" s="521"/>
      <c r="AH11" s="754"/>
      <c r="AI11" s="754"/>
      <c r="AJ11" s="754"/>
      <c r="AK11" s="754"/>
      <c r="AL11" s="754"/>
      <c r="AM11" s="521"/>
      <c r="AN11" s="521"/>
      <c r="AO11" s="521"/>
      <c r="AP11" s="521"/>
      <c r="AQ11" s="520"/>
      <c r="AR11" s="521"/>
      <c r="AS11" s="457"/>
      <c r="AU11" s="654"/>
      <c r="AV11" s="654" t="str">
        <f>IF(T11="","",T11)</f>
        <v>Добавить наименование признака дифференциации</v>
      </c>
      <c r="AW11" s="654"/>
      <c r="AX11" s="654"/>
    </row>
    <row s="8702" customFormat="1" customHeight="1" ht="14.25" hidden="1">
      <c r="A12" s="1502"/>
      <c r="B12" s="1502"/>
      <c r="C12" s="1473"/>
      <c r="D12" s="1473"/>
      <c r="E12" s="2321"/>
      <c r="F12" s="2320"/>
      <c r="G12" s="1473"/>
      <c r="H12" s="1473"/>
      <c r="I12" s="1473"/>
      <c r="J12" s="1473"/>
      <c r="K12" s="1473"/>
      <c r="L12" s="1653"/>
      <c r="M12" s="1480"/>
      <c r="N12" s="1480"/>
      <c r="P12" s="1475"/>
      <c r="Q12" s="1476"/>
      <c r="R12" s="1475"/>
      <c r="S12" s="1481"/>
      <c r="T12" s="1484" t="s">
        <v>251</v>
      </c>
      <c r="U12" s="1483"/>
      <c r="V12" s="1483"/>
      <c r="W12" s="1483"/>
      <c r="X12" s="1483"/>
      <c r="Y12" s="1483"/>
      <c r="Z12" s="1483"/>
      <c r="AA12" s="1483"/>
      <c r="AB12" s="1483"/>
      <c r="AC12" s="1483"/>
      <c r="AD12" s="1483"/>
      <c r="AE12" s="1483"/>
      <c r="AF12" s="1483"/>
      <c r="AG12" s="1483"/>
      <c r="AH12" s="1483"/>
      <c r="AI12" s="1483"/>
      <c r="AJ12" s="1483"/>
      <c r="AK12" s="1483"/>
      <c r="AL12" s="1483"/>
      <c r="AM12" s="1483"/>
      <c r="AN12" s="1483"/>
      <c r="AO12" s="1483"/>
      <c r="AP12" s="1483"/>
      <c r="AQ12" s="1483"/>
      <c r="AR12" s="1483"/>
      <c r="AS12" s="1483"/>
      <c r="AU12" s="943"/>
      <c r="AV12" s="943" t="str">
        <f>IF(T12="","",T12)</f>
        <v>Добавить централизованную систему для дифференциации</v>
      </c>
      <c r="AW12" s="943"/>
      <c r="AX12" s="943"/>
    </row>
    <row s="8794" customFormat="1" customHeight="1" ht="14.25" hidden="1">
      <c r="A13" s="1502"/>
      <c r="B13" s="1502"/>
      <c r="C13" s="1502"/>
      <c r="D13" s="1502"/>
      <c r="E13" s="2320"/>
      <c r="F13" s="1502"/>
      <c r="G13" s="1502"/>
      <c r="H13" s="1502"/>
      <c r="I13" s="1502"/>
      <c r="J13" s="1502"/>
      <c r="K13" s="1502"/>
      <c r="L13" s="1505"/>
      <c r="M13" s="1480"/>
      <c r="N13" s="1480"/>
      <c r="O13" s="672"/>
      <c r="P13" s="534"/>
      <c r="Q13" s="1503"/>
      <c r="R13" s="534"/>
      <c r="S13" s="1481"/>
      <c r="T13" s="1484" t="s">
        <v>252</v>
      </c>
      <c r="U13" s="1483"/>
      <c r="V13" s="1483"/>
      <c r="W13" s="1483"/>
      <c r="X13" s="1483"/>
      <c r="Y13" s="1483"/>
      <c r="Z13" s="1483"/>
      <c r="AA13" s="1483"/>
      <c r="AB13" s="1483"/>
      <c r="AC13" s="1483"/>
      <c r="AD13" s="1483"/>
      <c r="AE13" s="1483"/>
      <c r="AF13" s="1483"/>
      <c r="AG13" s="1483"/>
      <c r="AH13" s="1483"/>
      <c r="AI13" s="1483"/>
      <c r="AJ13" s="1483"/>
      <c r="AK13" s="1483"/>
      <c r="AL13" s="1483"/>
      <c r="AM13" s="1483"/>
      <c r="AN13" s="1483"/>
      <c r="AO13" s="1483"/>
      <c r="AP13" s="1483"/>
      <c r="AQ13" s="1483"/>
      <c r="AR13" s="1483"/>
      <c r="AS13" s="1483"/>
      <c r="AU13" s="654"/>
      <c r="AV13" s="654" t="str">
        <f>IF(T13="","",T13)</f>
        <v>Добавить территорию для дифференциации</v>
      </c>
      <c r="AW13" s="654"/>
      <c r="AX13" s="654"/>
    </row>
    <row customHeight="1" ht="14.25" hidden="1">
      <c r="AF14" s="481"/>
      <c r="AQ14" s="481"/>
    </row>
    <row customHeight="1" ht="14.25" hidden="1">
      <c r="AG15" s="1519"/>
      <c r="AH15" s="1519"/>
      <c r="AI15" s="1519"/>
      <c r="AJ15" s="1519"/>
      <c r="AK15" s="1519"/>
      <c r="AL15" s="1519"/>
      <c r="AM15" s="1520"/>
      <c r="AN15" s="2318"/>
      <c r="AO15" s="2317" t="s">
        <v>64</v>
      </c>
      <c r="AP15" s="2318"/>
      <c r="AQ15" s="2317" t="s">
        <v>64</v>
      </c>
    </row>
    <row customHeight="1" ht="14.25" hidden="1">
      <c r="AG16" s="1519"/>
      <c r="AH16" s="1519"/>
      <c r="AI16" s="1519"/>
      <c r="AJ16" s="1519"/>
      <c r="AK16" s="1519"/>
      <c r="AL16" s="1519"/>
      <c r="AM16" s="482" t="str">
        <f>AN15&amp;"-"&amp;AP15</f>
        <v>-</v>
      </c>
      <c r="AN16" s="2317"/>
      <c r="AO16" s="2317"/>
      <c r="AP16" s="2317"/>
      <c r="AQ16" s="2317"/>
    </row>
    <row customHeight="1" ht="14.25" hidden="1">
      <c r="AQ17" s="481"/>
    </row>
    <row s="8721" customFormat="1" customHeight="1" ht="22.5" hidden="1">
      <c r="L18" s="1637"/>
      <c r="M18" s="1521"/>
      <c r="N18" s="1521"/>
      <c r="O18" s="1526" t="s">
        <v>415</v>
      </c>
      <c r="P18" s="1521"/>
      <c r="Q18" s="1530"/>
      <c r="R18" s="1530"/>
      <c r="S18" s="883"/>
      <c r="W18" s="1525"/>
      <c r="X18" s="1525"/>
      <c r="Y18" s="1525"/>
      <c r="Z18" s="1525"/>
      <c r="AA18" s="1525"/>
      <c r="AC18" s="1526"/>
      <c r="AE18" s="1526"/>
      <c r="AF18" s="1525"/>
      <c r="AH18" s="1525"/>
      <c r="AI18" s="1525"/>
      <c r="AJ18" s="1525"/>
      <c r="AK18" s="1525"/>
      <c r="AL18" s="1525"/>
      <c r="AN18" s="1526"/>
      <c r="AP18" s="1526"/>
      <c r="AQ18" s="1525"/>
      <c r="AT18" s="665"/>
      <c r="AU18" s="665"/>
      <c r="AV18" s="665"/>
      <c r="AW18" s="665"/>
      <c r="AX18" s="665"/>
    </row>
    <row s="8721" customFormat="1" customHeight="1" ht="14.25" hidden="1">
      <c r="L19" s="1637"/>
      <c r="M19" s="1521"/>
      <c r="N19" s="1521"/>
      <c r="O19" s="1521"/>
      <c r="P19" s="1521"/>
      <c r="Q19" s="1530"/>
      <c r="R19" s="1530"/>
      <c r="S19" s="883"/>
      <c r="W19" s="1525"/>
      <c r="X19" s="1525"/>
      <c r="Y19" s="1525"/>
      <c r="Z19" s="1525"/>
      <c r="AA19" s="1525"/>
      <c r="AF19" s="1525"/>
      <c r="AH19" s="1525"/>
      <c r="AI19" s="1525"/>
      <c r="AJ19" s="1525"/>
      <c r="AK19" s="1525"/>
      <c r="AL19" s="1525"/>
      <c r="AQ19" s="1525"/>
      <c r="AT19" s="665"/>
      <c r="AU19" s="665"/>
      <c r="AV19" s="665"/>
      <c r="AW19" s="665"/>
      <c r="AX19" s="665"/>
    </row>
    <row s="8721" customFormat="1" customHeight="1" ht="12" hidden="1">
      <c r="L20" s="1637"/>
      <c r="M20" s="1521"/>
      <c r="N20" s="1521"/>
      <c r="O20" s="1523" t="s">
        <v>416</v>
      </c>
      <c r="P20" s="1521"/>
      <c r="Q20" s="1601"/>
      <c r="R20" s="1601"/>
      <c r="S20" s="883"/>
      <c r="T20" s="1316" t="s">
        <v>417</v>
      </c>
      <c r="W20" s="1525"/>
      <c r="X20" s="1525"/>
      <c r="Y20" s="1525"/>
      <c r="Z20" s="1525"/>
      <c r="AA20" s="1525"/>
      <c r="AD20" s="340" t="s">
        <v>418</v>
      </c>
      <c r="AF20" s="340" t="s">
        <v>419</v>
      </c>
      <c r="AG20" s="1316" t="s">
        <v>417</v>
      </c>
      <c r="AH20" s="1525"/>
      <c r="AI20" s="1525"/>
      <c r="AJ20" s="1525"/>
      <c r="AK20" s="1525"/>
      <c r="AL20" s="1525"/>
      <c r="AO20" s="340" t="s">
        <v>420</v>
      </c>
      <c r="AQ20" s="340" t="s">
        <v>419</v>
      </c>
    </row>
    <row customHeight="1" ht="14.25" hidden="1">
      <c r="O21" s="1523"/>
    </row>
    <row customHeight="1" ht="14.25" hidden="1">
      <c r="O22" s="1523"/>
    </row>
    <row customHeight="1" ht="14.25">
      <c r="Q23" s="530"/>
      <c r="R23" s="530"/>
      <c r="S23" s="1434"/>
      <c r="T23" s="517"/>
      <c r="U23" s="517"/>
      <c r="V23" s="663"/>
      <c r="W23" s="1794"/>
      <c r="X23" s="1794"/>
      <c r="Y23" s="1794"/>
      <c r="Z23" s="1794"/>
      <c r="AA23" s="1794"/>
      <c r="AB23" s="663"/>
      <c r="AC23" s="663"/>
      <c r="AD23" s="663"/>
      <c r="AE23" s="663"/>
      <c r="AF23" s="663"/>
      <c r="AG23" s="663"/>
      <c r="AH23" s="1794"/>
      <c r="AI23" s="1794"/>
      <c r="AJ23" s="1794"/>
      <c r="AK23" s="1794"/>
      <c r="AL23" s="1794"/>
      <c r="AM23" s="663"/>
      <c r="AN23" s="663"/>
      <c r="AO23" s="663"/>
      <c r="AP23" s="663"/>
      <c r="AQ23" s="663"/>
    </row>
    <row customHeight="1" ht="24.75">
      <c r="Q24" s="530"/>
      <c r="R24" s="530"/>
      <c r="S24" s="2353" t="str">
        <f>IF(TEMPLATE_GROUP="P",PT_P_FORM_HOTVSNA_4_NAME_FORM,PT_R_FORM_HOTVSNA_16_NAME_FORM)</f>
        <v>Форма 2. Информация о тарифах в сфере горячего водоснабжения на товары (услуги) организации горячего водоснабжения, подлежащих регулированию</v>
      </c>
      <c r="T24" s="2353"/>
      <c r="U24" s="2353"/>
      <c r="V24" s="2353"/>
      <c r="W24" s="2353"/>
      <c r="X24" s="2353"/>
      <c r="Y24" s="2353"/>
      <c r="Z24" s="2353"/>
      <c r="AA24" s="2353"/>
      <c r="AB24" s="2353"/>
      <c r="AC24" s="2353"/>
      <c r="AD24" s="2353"/>
      <c r="AE24" s="2353"/>
      <c r="AF24" s="2353"/>
      <c r="AG24" s="2353"/>
      <c r="AH24" s="2353"/>
      <c r="AI24" s="2353"/>
      <c r="AJ24" s="2353"/>
      <c r="AK24" s="2353"/>
      <c r="AL24" s="2353"/>
      <c r="AM24" s="2353"/>
      <c r="AN24" s="2353"/>
      <c r="AO24" s="2353"/>
      <c r="AP24" s="2353"/>
      <c r="AQ24" s="1401"/>
    </row>
    <row customHeight="1" ht="14.25">
      <c r="Q25" s="530"/>
      <c r="R25" s="530"/>
      <c r="S25" s="2354" t="str">
        <f>IF(org=0,"Не определено",org)</f>
        <v>АО "Теплокоммунэнерго"</v>
      </c>
      <c r="T25" s="2354"/>
      <c r="U25" s="2354"/>
      <c r="V25" s="2354"/>
      <c r="W25" s="2354"/>
      <c r="X25" s="2354"/>
      <c r="Y25" s="2354"/>
      <c r="Z25" s="2354"/>
      <c r="AA25" s="2354"/>
      <c r="AB25" s="2354"/>
      <c r="AC25" s="2354"/>
      <c r="AD25" s="2354"/>
      <c r="AE25" s="2354"/>
      <c r="AF25" s="2354"/>
      <c r="AG25" s="2354"/>
      <c r="AH25" s="2354"/>
      <c r="AI25" s="2354"/>
      <c r="AJ25" s="2354"/>
      <c r="AK25" s="2354"/>
      <c r="AL25" s="2354"/>
      <c r="AM25" s="2354"/>
      <c r="AN25" s="2354"/>
      <c r="AO25" s="2354"/>
      <c r="AP25" s="2354"/>
      <c r="AQ25" s="1401"/>
    </row>
    <row customHeight="1" ht="14.25">
      <c r="Q26" s="530"/>
      <c r="R26" s="530"/>
      <c r="S26" s="1434"/>
      <c r="T26" s="517"/>
      <c r="U26" s="517"/>
      <c r="V26" s="476"/>
      <c r="W26" s="476"/>
      <c r="X26" s="476"/>
      <c r="Y26" s="476"/>
      <c r="Z26" s="476"/>
      <c r="AA26" s="476"/>
      <c r="AB26" s="476"/>
      <c r="AC26" s="476"/>
      <c r="AD26" s="476"/>
      <c r="AE26" s="476"/>
      <c r="AF26" s="476"/>
      <c r="AG26" s="476"/>
      <c r="AH26" s="476"/>
      <c r="AI26" s="476"/>
      <c r="AJ26" s="476"/>
      <c r="AK26" s="476"/>
      <c r="AL26" s="476"/>
      <c r="AM26" s="476"/>
      <c r="AN26" s="476"/>
      <c r="AO26" s="476"/>
      <c r="AP26" s="476"/>
      <c r="AQ26" s="476"/>
      <c r="AR26" s="663"/>
    </row>
    <row s="8735" customFormat="1" customHeight="1" ht="25.5">
      <c r="A27" s="1527"/>
      <c r="B27" s="1527"/>
      <c r="C27" s="1527"/>
      <c r="D27" s="1527"/>
      <c r="E27" s="1527"/>
      <c r="F27" s="1527"/>
      <c r="G27" s="1527"/>
      <c r="H27" s="1527"/>
      <c r="I27" s="1527"/>
      <c r="J27" s="1527"/>
      <c r="K27" s="1527"/>
      <c r="L27" s="1528"/>
      <c r="M27" s="1527"/>
      <c r="N27" s="1527"/>
      <c r="O27" s="1527"/>
      <c r="S27" s="2311" t="s">
        <v>38</v>
      </c>
      <c r="T27" s="2311"/>
      <c r="U27" s="1531"/>
      <c r="V27" s="2313" t="str">
        <f>IF(TITLE_NAME_OR_PR_CHANGE="",IF(TITLE_NAME_OR_PR="","",TITLE_NAME_OR_PR),TITLE_NAME_OR_PR_CHANGE)</f>
        <v>Региональная служба по тарифам Ростовской области</v>
      </c>
      <c r="W27" s="2313"/>
      <c r="X27" s="2313"/>
      <c r="Y27" s="2313"/>
      <c r="Z27" s="2313"/>
      <c r="AA27" s="2313"/>
      <c r="AB27" s="2313"/>
      <c r="AC27" s="2313"/>
      <c r="AD27" s="2313"/>
      <c r="AE27" s="2313"/>
      <c r="AF27" s="480"/>
      <c r="AG27" s="2313" t="str">
        <f>IF(TITLE_NAME_OR_PR_CHANGE="",IF(TITLE_NAME_OR_PR="","",TITLE_NAME_OR_PR),TITLE_NAME_OR_PR_CHANGE)</f>
        <v>Региональная служба по тарифам Ростовской области</v>
      </c>
      <c r="AH27" s="2313"/>
      <c r="AI27" s="2313"/>
      <c r="AJ27" s="2313"/>
      <c r="AK27" s="2313"/>
      <c r="AL27" s="2313"/>
      <c r="AM27" s="2313"/>
      <c r="AN27" s="2313"/>
      <c r="AO27" s="2313"/>
      <c r="AP27" s="2313"/>
      <c r="AQ27" s="480"/>
      <c r="AR27" s="480"/>
      <c r="AS27" s="434"/>
      <c r="AT27" s="522"/>
      <c r="AU27" s="522"/>
      <c r="AV27" s="522"/>
      <c r="AW27" s="522"/>
      <c r="AX27" s="522"/>
    </row>
    <row s="8735" customFormat="1" customHeight="1" ht="18.75">
      <c r="A28" s="1527"/>
      <c r="B28" s="1527"/>
      <c r="C28" s="1527"/>
      <c r="D28" s="1527"/>
      <c r="E28" s="1527"/>
      <c r="F28" s="1527"/>
      <c r="G28" s="1527"/>
      <c r="H28" s="1527"/>
      <c r="I28" s="1527"/>
      <c r="J28" s="1527"/>
      <c r="K28" s="1527"/>
      <c r="L28" s="1528"/>
      <c r="M28" s="1527"/>
      <c r="N28" s="1527"/>
      <c r="O28" s="1527"/>
      <c r="S28" s="2311" t="s">
        <v>421</v>
      </c>
      <c r="T28" s="2311"/>
      <c r="U28" s="1531"/>
      <c r="V28" s="2312" t="str">
        <f>IF(TITLE_DATE_PR_CHANGE="",IF(TITLE_DATE_PR="","",TITLE_DATE_PR),TITLE_DATE_PR_CHANGE)</f>
        <v>45279</v>
      </c>
      <c r="W28" s="2312"/>
      <c r="X28" s="2312"/>
      <c r="Y28" s="2312"/>
      <c r="Z28" s="2312"/>
      <c r="AA28" s="2312"/>
      <c r="AB28" s="2312"/>
      <c r="AC28" s="2312"/>
      <c r="AD28" s="2312"/>
      <c r="AE28" s="2312"/>
      <c r="AF28" s="480"/>
      <c r="AG28" s="2312" t="str">
        <f>IF(TITLE_DATE_PR_CHANGE="",IF(TITLE_DATE_PR="","",TITLE_DATE_PR),TITLE_DATE_PR_CHANGE)</f>
        <v>45279</v>
      </c>
      <c r="AH28" s="2312"/>
      <c r="AI28" s="2312"/>
      <c r="AJ28" s="2312"/>
      <c r="AK28" s="2312"/>
      <c r="AL28" s="2312"/>
      <c r="AM28" s="2312"/>
      <c r="AN28" s="2312"/>
      <c r="AO28" s="2312"/>
      <c r="AP28" s="2312"/>
      <c r="AQ28" s="480"/>
      <c r="AR28" s="480"/>
      <c r="AS28" s="434"/>
      <c r="AT28" s="522"/>
      <c r="AU28" s="522"/>
      <c r="AV28" s="522"/>
      <c r="AW28" s="522"/>
      <c r="AX28" s="522"/>
    </row>
    <row s="8735" customFormat="1" customHeight="1" ht="18.75">
      <c r="A29" s="1527"/>
      <c r="B29" s="1527"/>
      <c r="C29" s="1527"/>
      <c r="D29" s="1527"/>
      <c r="E29" s="1527"/>
      <c r="F29" s="1527"/>
      <c r="G29" s="1527"/>
      <c r="H29" s="1527"/>
      <c r="I29" s="1527"/>
      <c r="J29" s="1527"/>
      <c r="K29" s="1527"/>
      <c r="L29" s="1528"/>
      <c r="M29" s="1527"/>
      <c r="N29" s="1527"/>
      <c r="O29" s="1527"/>
      <c r="S29" s="2311" t="s">
        <v>422</v>
      </c>
      <c r="T29" s="2311"/>
      <c r="U29" s="1531"/>
      <c r="V29" s="2313" t="str">
        <f>IF(TITLE_NUMBER_PR_CHANGE="",IF(TITLE_NUMBER_PR="","",TITLE_NUMBER_PR),TITLE_NUMBER_PR_CHANGE)</f>
        <v>877</v>
      </c>
      <c r="W29" s="2313"/>
      <c r="X29" s="2313"/>
      <c r="Y29" s="2313"/>
      <c r="Z29" s="2313"/>
      <c r="AA29" s="2313"/>
      <c r="AB29" s="2313"/>
      <c r="AC29" s="2313"/>
      <c r="AD29" s="2313"/>
      <c r="AE29" s="2313"/>
      <c r="AF29" s="480"/>
      <c r="AG29" s="2313" t="str">
        <f>IF(TITLE_NUMBER_PR_CHANGE="",IF(TITLE_NUMBER_PR="","",TITLE_NUMBER_PR),TITLE_NUMBER_PR_CHANGE)</f>
        <v>877</v>
      </c>
      <c r="AH29" s="2313"/>
      <c r="AI29" s="2313"/>
      <c r="AJ29" s="2313"/>
      <c r="AK29" s="2313"/>
      <c r="AL29" s="2313"/>
      <c r="AM29" s="2313"/>
      <c r="AN29" s="2313"/>
      <c r="AO29" s="2313"/>
      <c r="AP29" s="2313"/>
      <c r="AQ29" s="480"/>
      <c r="AR29" s="480"/>
      <c r="AS29" s="434"/>
      <c r="AT29" s="522"/>
      <c r="AU29" s="522"/>
      <c r="AV29" s="522"/>
      <c r="AW29" s="522"/>
      <c r="AX29" s="522"/>
    </row>
    <row s="8735" customFormat="1" customHeight="1" ht="18.75">
      <c r="A30" s="1527"/>
      <c r="B30" s="1527"/>
      <c r="C30" s="1527"/>
      <c r="D30" s="1527"/>
      <c r="E30" s="1527"/>
      <c r="F30" s="1527"/>
      <c r="G30" s="1527"/>
      <c r="H30" s="1527"/>
      <c r="I30" s="1527"/>
      <c r="J30" s="1527"/>
      <c r="K30" s="1527"/>
      <c r="L30" s="1528"/>
      <c r="M30" s="1527"/>
      <c r="N30" s="1527"/>
      <c r="O30" s="1527"/>
      <c r="S30" s="2311" t="s">
        <v>40</v>
      </c>
      <c r="T30" s="2311"/>
      <c r="U30" s="1531"/>
      <c r="V30" s="2313" t="str">
        <f>IF(TITLE_IST_PUB_CHANGE="",IF(TITLE_IST_PUB="","",TITLE_IST_PUB),TITLE_IST_PUB_CHANGE)</f>
        <v>Официальный портал правовой информации Ростовской области</v>
      </c>
      <c r="W30" s="2313"/>
      <c r="X30" s="2313"/>
      <c r="Y30" s="2313"/>
      <c r="Z30" s="2313"/>
      <c r="AA30" s="2313"/>
      <c r="AB30" s="2313"/>
      <c r="AC30" s="2313"/>
      <c r="AD30" s="2313"/>
      <c r="AE30" s="2313"/>
      <c r="AF30" s="480"/>
      <c r="AG30" s="2313" t="str">
        <f>IF(TITLE_IST_PUB_CHANGE="",IF(TITLE_IST_PUB="","",TITLE_IST_PUB),TITLE_IST_PUB_CHANGE)</f>
        <v>Официальный портал правовой информации Ростовской области</v>
      </c>
      <c r="AH30" s="2313"/>
      <c r="AI30" s="2313"/>
      <c r="AJ30" s="2313"/>
      <c r="AK30" s="2313"/>
      <c r="AL30" s="2313"/>
      <c r="AM30" s="2313"/>
      <c r="AN30" s="2313"/>
      <c r="AO30" s="2313"/>
      <c r="AP30" s="2313"/>
      <c r="AQ30" s="480"/>
      <c r="AR30" s="480"/>
      <c r="AS30" s="434"/>
      <c r="AT30" s="522"/>
      <c r="AU30" s="522"/>
      <c r="AV30" s="522"/>
      <c r="AW30" s="522"/>
      <c r="AX30" s="522"/>
    </row>
    <row customHeight="1" ht="14.25" hidden="1">
      <c r="Q31" s="530"/>
      <c r="R31" s="530"/>
      <c r="S31" s="1434"/>
      <c r="T31" s="517"/>
      <c r="U31" s="517"/>
      <c r="V31" s="476"/>
      <c r="W31" s="476"/>
      <c r="X31" s="476"/>
      <c r="Y31" s="476"/>
      <c r="Z31" s="476"/>
      <c r="AA31" s="476"/>
      <c r="AB31" s="476"/>
      <c r="AC31" s="476"/>
      <c r="AD31" s="476"/>
      <c r="AE31" s="476"/>
      <c r="AF31" s="476"/>
      <c r="AG31" s="476"/>
      <c r="AH31" s="476"/>
      <c r="AI31" s="476"/>
      <c r="AJ31" s="476"/>
      <c r="AK31" s="476"/>
      <c r="AL31" s="476"/>
      <c r="AM31" s="476"/>
      <c r="AN31" s="476"/>
      <c r="AO31" s="476"/>
      <c r="AP31" s="476"/>
      <c r="AQ31" s="476"/>
      <c r="AR31" s="663"/>
    </row>
    <row s="8735" customFormat="1" customHeight="1" ht="18.75" hidden="1">
      <c r="A32" s="1527"/>
      <c r="B32" s="1527"/>
      <c r="C32" s="1527"/>
      <c r="D32" s="1527"/>
      <c r="E32" s="1527"/>
      <c r="F32" s="1527"/>
      <c r="G32" s="1527"/>
      <c r="H32" s="1527"/>
      <c r="I32" s="1527"/>
      <c r="J32" s="1527"/>
      <c r="K32" s="1527"/>
      <c r="L32" s="1528"/>
      <c r="M32" s="1527"/>
      <c r="N32" s="1527"/>
      <c r="O32" s="1527"/>
      <c r="S32" s="2311" t="s">
        <v>423</v>
      </c>
      <c r="T32" s="2311"/>
      <c r="U32" s="1531"/>
      <c r="V32" s="2312" t="str">
        <f>IF(TITLE_DATE_PR_CHANGE="",IF(TITLE_DATE_PR="","",TITLE_DATE_PR),TITLE_DATE_PR_CHANGE)</f>
        <v>45279</v>
      </c>
      <c r="W32" s="2312"/>
      <c r="X32" s="2312"/>
      <c r="Y32" s="2312"/>
      <c r="Z32" s="2312"/>
      <c r="AA32" s="2312"/>
      <c r="AB32" s="2312"/>
      <c r="AC32" s="2312"/>
      <c r="AD32" s="2312"/>
      <c r="AE32" s="2312"/>
      <c r="AF32" s="480"/>
      <c r="AG32" s="2312" t="str">
        <f>IF(TITLE_DATE_PR_CHANGE="",IF(TITLE_DATE_PR="","",TITLE_DATE_PR),TITLE_DATE_PR_CHANGE)</f>
        <v>45279</v>
      </c>
      <c r="AH32" s="2312"/>
      <c r="AI32" s="2312"/>
      <c r="AJ32" s="2312"/>
      <c r="AK32" s="2312"/>
      <c r="AL32" s="2312"/>
      <c r="AM32" s="2312"/>
      <c r="AN32" s="2312"/>
      <c r="AO32" s="2312"/>
      <c r="AP32" s="2312"/>
      <c r="AQ32" s="480"/>
      <c r="AR32" s="480"/>
      <c r="AS32" s="434"/>
      <c r="AT32" s="522"/>
      <c r="AU32" s="522"/>
      <c r="AV32" s="522"/>
      <c r="AW32" s="522"/>
      <c r="AX32" s="522"/>
    </row>
    <row s="8735" customFormat="1" customHeight="1" ht="18.75" hidden="1">
      <c r="A33" s="1527"/>
      <c r="B33" s="1527"/>
      <c r="C33" s="1527"/>
      <c r="D33" s="1527"/>
      <c r="E33" s="1527"/>
      <c r="F33" s="1527"/>
      <c r="G33" s="1527"/>
      <c r="H33" s="1527"/>
      <c r="I33" s="1527"/>
      <c r="J33" s="1527"/>
      <c r="K33" s="1527"/>
      <c r="L33" s="1528"/>
      <c r="M33" s="1527"/>
      <c r="N33" s="1527"/>
      <c r="O33" s="1527"/>
      <c r="S33" s="2311" t="s">
        <v>424</v>
      </c>
      <c r="T33" s="2311"/>
      <c r="U33" s="1531"/>
      <c r="V33" s="2313" t="str">
        <f>IF(TITLE_NUMBER_PR_CHANGE="",IF(TITLE_NUMBER_PR="","",TITLE_NUMBER_PR),TITLE_NUMBER_PR_CHANGE)</f>
        <v>877</v>
      </c>
      <c r="W33" s="2313"/>
      <c r="X33" s="2313"/>
      <c r="Y33" s="2313"/>
      <c r="Z33" s="2313"/>
      <c r="AA33" s="2313"/>
      <c r="AB33" s="2313"/>
      <c r="AC33" s="2313"/>
      <c r="AD33" s="2313"/>
      <c r="AE33" s="2313"/>
      <c r="AF33" s="480"/>
      <c r="AG33" s="2313" t="str">
        <f>IF(TITLE_NUMBER_PR_CHANGE="",IF(TITLE_NUMBER_PR="","",TITLE_NUMBER_PR),TITLE_NUMBER_PR_CHANGE)</f>
        <v>877</v>
      </c>
      <c r="AH33" s="2313"/>
      <c r="AI33" s="2313"/>
      <c r="AJ33" s="2313"/>
      <c r="AK33" s="2313"/>
      <c r="AL33" s="2313"/>
      <c r="AM33" s="2313"/>
      <c r="AN33" s="2313"/>
      <c r="AO33" s="2313"/>
      <c r="AP33" s="2313"/>
      <c r="AQ33" s="480"/>
      <c r="AR33" s="480"/>
      <c r="AS33" s="434"/>
      <c r="AT33" s="522"/>
      <c r="AU33" s="522"/>
      <c r="AV33" s="522"/>
      <c r="AW33" s="522"/>
      <c r="AX33" s="522"/>
    </row>
    <row s="8735" customFormat="1" customHeight="1" ht="0.75">
      <c r="A34" s="1527"/>
      <c r="B34" s="1527"/>
      <c r="C34" s="1527"/>
      <c r="D34" s="1527"/>
      <c r="E34" s="1527"/>
      <c r="F34" s="1527"/>
      <c r="G34" s="1527"/>
      <c r="H34" s="1527"/>
      <c r="I34" s="1527"/>
      <c r="J34" s="1527"/>
      <c r="K34" s="1527"/>
      <c r="L34" s="1528"/>
      <c r="M34" s="1527"/>
      <c r="N34" s="1527"/>
      <c r="O34" s="1527"/>
      <c r="S34" s="477"/>
      <c r="T34" s="477"/>
      <c r="U34" s="1647"/>
      <c r="V34" s="480"/>
      <c r="W34" s="1794"/>
      <c r="X34" s="1794"/>
      <c r="Y34" s="1794"/>
      <c r="Z34" s="1794"/>
      <c r="AA34" s="1794"/>
      <c r="AB34" s="480"/>
      <c r="AC34" s="480"/>
      <c r="AD34" s="480"/>
      <c r="AE34" s="480"/>
      <c r="AF34" s="432" t="s">
        <v>425</v>
      </c>
      <c r="AG34" s="480"/>
      <c r="AH34" s="1794"/>
      <c r="AI34" s="1794"/>
      <c r="AJ34" s="1794"/>
      <c r="AK34" s="1794"/>
      <c r="AL34" s="1794"/>
      <c r="AM34" s="480"/>
      <c r="AN34" s="480"/>
      <c r="AO34" s="480"/>
      <c r="AP34" s="480"/>
      <c r="AQ34" s="432" t="s">
        <v>425</v>
      </c>
      <c r="AT34" s="522"/>
      <c r="AU34" s="522"/>
      <c r="AV34" s="522"/>
      <c r="AW34" s="522"/>
      <c r="AX34" s="522"/>
    </row>
    <row customHeight="1" ht="14.25">
      <c r="Q35" s="530"/>
      <c r="R35" s="530"/>
      <c r="S35" s="1434"/>
      <c r="T35" s="517"/>
      <c r="U35" s="1402"/>
      <c r="V35" s="2337"/>
      <c r="W35" s="2337"/>
      <c r="X35" s="2337"/>
      <c r="Y35" s="2337"/>
      <c r="Z35" s="2337"/>
      <c r="AA35" s="2337"/>
      <c r="AB35" s="2337"/>
      <c r="AC35" s="2337"/>
      <c r="AD35" s="2337"/>
      <c r="AE35" s="2337"/>
      <c r="AF35" s="2337"/>
      <c r="AG35" s="2337"/>
      <c r="AH35" s="2337"/>
      <c r="AI35" s="2337"/>
      <c r="AJ35" s="2337"/>
      <c r="AK35" s="2337"/>
      <c r="AL35" s="2337"/>
      <c r="AM35" s="2337"/>
      <c r="AN35" s="2337"/>
      <c r="AO35" s="2337"/>
      <c r="AP35" s="2337"/>
      <c r="AQ35" s="2337"/>
    </row>
    <row customHeight="1" ht="14.25">
      <c r="Q36" s="530"/>
      <c r="R36" s="530"/>
      <c r="S36" s="2185" t="s">
        <v>300</v>
      </c>
      <c r="T36" s="2185"/>
      <c r="U36" s="2185"/>
      <c r="V36" s="2185"/>
      <c r="W36" s="2185"/>
      <c r="X36" s="2185"/>
      <c r="Y36" s="2185"/>
      <c r="Z36" s="2185"/>
      <c r="AA36" s="2185"/>
      <c r="AB36" s="2185"/>
      <c r="AC36" s="2185"/>
      <c r="AD36" s="2185"/>
      <c r="AE36" s="2185"/>
      <c r="AF36" s="2185"/>
      <c r="AG36" s="2185"/>
      <c r="AH36" s="2185"/>
      <c r="AI36" s="2185"/>
      <c r="AJ36" s="2185"/>
      <c r="AK36" s="2185"/>
      <c r="AL36" s="2185"/>
      <c r="AM36" s="2185"/>
      <c r="AN36" s="2185"/>
      <c r="AO36" s="2185"/>
      <c r="AP36" s="2185"/>
      <c r="AQ36" s="2185"/>
      <c r="AR36" s="2185"/>
      <c r="AS36" s="2185" t="s">
        <v>301</v>
      </c>
    </row>
    <row customHeight="1" ht="14.25">
      <c r="Q37" s="530"/>
      <c r="R37" s="530"/>
      <c r="S37" s="2338" t="s">
        <v>85</v>
      </c>
      <c r="T37" s="2275" t="s">
        <v>426</v>
      </c>
      <c r="U37" s="455"/>
      <c r="V37" s="2339" t="s">
        <v>427</v>
      </c>
      <c r="W37" s="2340"/>
      <c r="X37" s="2340"/>
      <c r="Y37" s="2340"/>
      <c r="Z37" s="2340"/>
      <c r="AA37" s="2340"/>
      <c r="AB37" s="2340"/>
      <c r="AC37" s="2340"/>
      <c r="AD37" s="2340"/>
      <c r="AE37" s="2341"/>
      <c r="AF37" s="2342" t="s">
        <v>428</v>
      </c>
      <c r="AG37" s="2339" t="s">
        <v>427</v>
      </c>
      <c r="AH37" s="2340"/>
      <c r="AI37" s="2340"/>
      <c r="AJ37" s="2340"/>
      <c r="AK37" s="2340"/>
      <c r="AL37" s="2340"/>
      <c r="AM37" s="2340"/>
      <c r="AN37" s="2340"/>
      <c r="AO37" s="2340"/>
      <c r="AP37" s="2341"/>
      <c r="AQ37" s="2342" t="s">
        <v>429</v>
      </c>
      <c r="AR37" s="2345" t="s">
        <v>430</v>
      </c>
      <c r="AS37" s="2185"/>
    </row>
    <row s="8849" customFormat="1" customHeight="1" ht="18.75">
      <c r="A38" s="1525"/>
      <c r="B38" s="1525"/>
      <c r="C38" s="1525"/>
      <c r="D38" s="1525"/>
      <c r="E38" s="1525"/>
      <c r="F38" s="1525"/>
      <c r="G38" s="1525"/>
      <c r="H38" s="1525"/>
      <c r="I38" s="1525"/>
      <c r="J38" s="1525"/>
      <c r="K38" s="1525"/>
      <c r="L38" s="2141"/>
      <c r="M38" s="1521"/>
      <c r="N38" s="1521"/>
      <c r="O38" s="1521"/>
      <c r="P38" s="2142"/>
      <c r="Q38" s="530"/>
      <c r="R38" s="530"/>
      <c r="S38" s="2338"/>
      <c r="T38" s="2275"/>
      <c r="U38" s="1186"/>
      <c r="V38" s="2425" t="s">
        <v>530</v>
      </c>
      <c r="W38" s="2424" t="s">
        <v>531</v>
      </c>
      <c r="X38" s="2424"/>
      <c r="Y38" s="2424"/>
      <c r="Z38" s="2424" t="s">
        <v>532</v>
      </c>
      <c r="AA38" s="2424"/>
      <c r="AB38" s="2424"/>
      <c r="AC38" s="2359" t="s">
        <v>434</v>
      </c>
      <c r="AD38" s="2377"/>
      <c r="AE38" s="2378"/>
      <c r="AF38" s="2343"/>
      <c r="AG38" s="2425" t="s">
        <v>530</v>
      </c>
      <c r="AH38" s="2424" t="s">
        <v>531</v>
      </c>
      <c r="AI38" s="2424"/>
      <c r="AJ38" s="2424"/>
      <c r="AK38" s="2424" t="s">
        <v>532</v>
      </c>
      <c r="AL38" s="2424"/>
      <c r="AM38" s="2424"/>
      <c r="AN38" s="2359" t="s">
        <v>434</v>
      </c>
      <c r="AO38" s="2377"/>
      <c r="AP38" s="2378"/>
      <c r="AQ38" s="2343"/>
      <c r="AR38" s="2346"/>
      <c r="AS38" s="2185"/>
      <c r="AT38" s="1795"/>
      <c r="AU38" s="1795"/>
      <c r="AV38" s="1795"/>
      <c r="AW38" s="1795"/>
      <c r="AX38" s="1795"/>
    </row>
    <row customHeight="1" ht="18.75">
      <c r="Q39" s="530"/>
      <c r="R39" s="530"/>
      <c r="S39" s="2338"/>
      <c r="T39" s="2275"/>
      <c r="U39" s="1186"/>
      <c r="V39" s="2425"/>
      <c r="W39" s="2424" t="s">
        <v>533</v>
      </c>
      <c r="X39" s="2424" t="s">
        <v>534</v>
      </c>
      <c r="Y39" s="2424"/>
      <c r="Z39" s="2424" t="s">
        <v>535</v>
      </c>
      <c r="AA39" s="2424" t="s">
        <v>534</v>
      </c>
      <c r="AB39" s="2424"/>
      <c r="AC39" s="2360"/>
      <c r="AD39" s="2379"/>
      <c r="AE39" s="2380"/>
      <c r="AF39" s="2343"/>
      <c r="AG39" s="2425"/>
      <c r="AH39" s="2424" t="s">
        <v>533</v>
      </c>
      <c r="AI39" s="2424" t="s">
        <v>534</v>
      </c>
      <c r="AJ39" s="2424"/>
      <c r="AK39" s="2424" t="s">
        <v>535</v>
      </c>
      <c r="AL39" s="2424" t="s">
        <v>534</v>
      </c>
      <c r="AM39" s="2424"/>
      <c r="AN39" s="2360"/>
      <c r="AO39" s="2379"/>
      <c r="AP39" s="2380"/>
      <c r="AQ39" s="2343"/>
      <c r="AR39" s="2346"/>
      <c r="AS39" s="2185"/>
    </row>
    <row customHeight="1" ht="59.25">
      <c r="A40" s="1529"/>
      <c r="B40" s="1529" t="s">
        <v>132</v>
      </c>
      <c r="C40" s="1529" t="s">
        <v>133</v>
      </c>
      <c r="D40" s="1529" t="s">
        <v>134</v>
      </c>
      <c r="E40" s="1523" t="s">
        <v>435</v>
      </c>
      <c r="F40" s="1523" t="s">
        <v>436</v>
      </c>
      <c r="G40" s="1523" t="s">
        <v>437</v>
      </c>
      <c r="H40" s="1523"/>
      <c r="I40" s="1523" t="s">
        <v>488</v>
      </c>
      <c r="J40" s="1523" t="s">
        <v>440</v>
      </c>
      <c r="K40" s="1523" t="s">
        <v>489</v>
      </c>
      <c r="L40" s="1523" t="s">
        <v>416</v>
      </c>
      <c r="Q40" s="530"/>
      <c r="R40" s="530"/>
      <c r="S40" s="2338"/>
      <c r="T40" s="2275"/>
      <c r="U40" s="456"/>
      <c r="V40" s="2425"/>
      <c r="W40" s="2424"/>
      <c r="X40" s="2144" t="s">
        <v>536</v>
      </c>
      <c r="Y40" s="2144" t="s">
        <v>537</v>
      </c>
      <c r="Z40" s="2424"/>
      <c r="AA40" s="2144" t="s">
        <v>538</v>
      </c>
      <c r="AB40" s="2144" t="s">
        <v>539</v>
      </c>
      <c r="AC40" s="1648" t="s">
        <v>444</v>
      </c>
      <c r="AD40" s="2334" t="s">
        <v>445</v>
      </c>
      <c r="AE40" s="2335"/>
      <c r="AF40" s="2344"/>
      <c r="AG40" s="2425"/>
      <c r="AH40" s="2424"/>
      <c r="AI40" s="2144" t="s">
        <v>536</v>
      </c>
      <c r="AJ40" s="2144" t="s">
        <v>537</v>
      </c>
      <c r="AK40" s="2424"/>
      <c r="AL40" s="2144" t="s">
        <v>538</v>
      </c>
      <c r="AM40" s="2144" t="s">
        <v>539</v>
      </c>
      <c r="AN40" s="1648" t="s">
        <v>444</v>
      </c>
      <c r="AO40" s="2334" t="s">
        <v>445</v>
      </c>
      <c r="AP40" s="2335"/>
      <c r="AQ40" s="2344"/>
      <c r="AR40" s="2347"/>
      <c r="AS40" s="2185"/>
    </row>
    <row s="8552" customFormat="1" customHeight="1" ht="11.25" hidden="1">
      <c r="A41" s="1529"/>
      <c r="B41" s="1529"/>
      <c r="C41" s="1529"/>
      <c r="D41" s="1529"/>
      <c r="E41" s="1529"/>
      <c r="F41" s="1529"/>
      <c r="G41" s="1529"/>
      <c r="H41" s="1529"/>
      <c r="I41" s="1529"/>
      <c r="J41" s="1529"/>
      <c r="K41" s="1529"/>
      <c r="L41" s="1523"/>
      <c r="M41" s="1521"/>
      <c r="N41" s="1521"/>
      <c r="O41" s="1521"/>
      <c r="P41" s="1404"/>
      <c r="Q41" s="1405"/>
      <c r="R41" s="1412">
        <v>1</v>
      </c>
      <c r="S41" s="1436" t="s">
        <v>106</v>
      </c>
      <c r="T41" s="1413" t="s">
        <v>107</v>
      </c>
      <c r="U41" s="1403" t="str">
        <f>OFFSET(U41,0,-1)</f>
        <v>2</v>
      </c>
      <c r="V41" s="1641">
        <f>OFFSET(V41,0,-1)+1</f>
        <v>3</v>
      </c>
      <c r="W41" s="2140"/>
      <c r="X41" s="2140"/>
      <c r="Y41" s="2140"/>
      <c r="Z41" s="2140"/>
      <c r="AA41" s="2140"/>
      <c r="AB41" s="1641">
        <f>OFFSET(AB41,0,-1)+1</f>
        <v>1</v>
      </c>
      <c r="AC41" s="1641">
        <f>OFFSET(AC41,0,-1)+1</f>
        <v>2</v>
      </c>
      <c r="AD41" s="2336">
        <f>OFFSET(AD41,0,-1)+1</f>
        <v>3</v>
      </c>
      <c r="AE41" s="2336"/>
      <c r="AF41" s="1641">
        <f>OFFSET(AF41,0,-2)+1</f>
        <v>4</v>
      </c>
      <c r="AG41" s="1641">
        <f>OFFSET(AG41,0,-1)+1</f>
        <v>5</v>
      </c>
      <c r="AH41" s="2140"/>
      <c r="AI41" s="2140"/>
      <c r="AJ41" s="2140"/>
      <c r="AK41" s="2140"/>
      <c r="AL41" s="2140"/>
      <c r="AM41" s="1641">
        <f>OFFSET(AM41,0,-1)+1</f>
        <v>1</v>
      </c>
      <c r="AN41" s="1641">
        <f>OFFSET(AN41,0,-1)+1</f>
        <v>2</v>
      </c>
      <c r="AO41" s="2336">
        <f>OFFSET(AO41,0,-1)+1</f>
        <v>3</v>
      </c>
      <c r="AP41" s="2336"/>
      <c r="AQ41" s="1641">
        <f>OFFSET(AQ41,0,-2)+1</f>
        <v>4</v>
      </c>
      <c r="AR41" s="1403">
        <f>OFFSET(AR41,0,-1)</f>
        <v>4</v>
      </c>
      <c r="AS41" s="1641">
        <f>OFFSET(AS41,0,-1)+1</f>
        <v>5</v>
      </c>
      <c r="AT41" s="665"/>
      <c r="AU41" s="665"/>
      <c r="AV41" s="665"/>
      <c r="AW41" s="665"/>
      <c r="AX41" s="665"/>
    </row>
    <row customHeight="1" ht="23.25">
      <c r="A42" s="1522" t="s">
        <v>256</v>
      </c>
      <c r="B42" s="1522"/>
      <c r="C42" s="1522"/>
      <c r="D42" s="1522"/>
      <c r="E42" s="2320">
        <v>1</v>
      </c>
      <c r="F42" s="1522"/>
      <c r="G42" s="1522"/>
      <c r="H42" s="1522"/>
      <c r="I42" s="1522"/>
      <c r="J42" s="1522"/>
      <c r="K42" s="1522"/>
      <c r="L42" s="1523"/>
      <c r="M42" s="1524"/>
      <c r="N42" s="1524"/>
      <c r="O42" s="1524"/>
      <c r="P42" s="515"/>
      <c r="Q42" s="514"/>
      <c r="R42" s="509"/>
      <c r="S42" s="1652">
        <f>INDEX(PT_DIFFERENTIATION_NUM_NTAR,MATCH(A42,PT_DIFFERENTIATION_NTAR_ID,0))</f>
        <v>0</v>
      </c>
      <c r="T42" s="452" t="s">
        <v>120</v>
      </c>
      <c r="U42" s="454"/>
      <c r="V42" s="2314"/>
      <c r="W42" s="2315"/>
      <c r="X42" s="2315"/>
      <c r="Y42" s="2315"/>
      <c r="Z42" s="2315"/>
      <c r="AA42" s="2315"/>
      <c r="AB42" s="2315"/>
      <c r="AC42" s="2315"/>
      <c r="AD42" s="2315"/>
      <c r="AE42" s="2315"/>
      <c r="AF42" s="2316"/>
      <c r="AG42" s="2314" t="str">
        <f>INDEX(PT_DIFFERENTIATION_NTAR,MATCH(A42,PT_DIFFERENTIATION_NTAR_ID,0))</f>
        <v/>
      </c>
      <c r="AH42" s="2315"/>
      <c r="AI42" s="2315"/>
      <c r="AJ42" s="2315"/>
      <c r="AK42" s="2315"/>
      <c r="AL42" s="2315"/>
      <c r="AM42" s="2315"/>
      <c r="AN42" s="2315"/>
      <c r="AO42" s="2315"/>
      <c r="AP42" s="2315"/>
      <c r="AQ42" s="2315"/>
      <c r="AR42" s="2316"/>
      <c r="AS42" s="1416"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U42" s="654"/>
      <c r="AV42" s="654" t="str">
        <f>IF(T42="","",T42)</f>
        <v>Наименование тарифа</v>
      </c>
      <c r="AW42" s="654"/>
      <c r="AX42" s="654"/>
    </row>
    <row customHeight="1" ht="23.25">
      <c r="A43" s="1522" t="s">
        <v>256</v>
      </c>
      <c r="B43" s="1522" t="s">
        <v>257</v>
      </c>
      <c r="C43" s="1522"/>
      <c r="D43" s="1522"/>
      <c r="E43" s="2321"/>
      <c r="F43" s="2320">
        <v>1</v>
      </c>
      <c r="G43" s="1522"/>
      <c r="H43" s="1522"/>
      <c r="I43" s="1522"/>
      <c r="J43" s="1522"/>
      <c r="K43" s="1522"/>
      <c r="L43" s="1523"/>
      <c r="M43" s="1524"/>
      <c r="N43" s="1524"/>
      <c r="O43" s="1524"/>
      <c r="P43" s="1646"/>
      <c r="Q43" s="506"/>
      <c r="R43" s="507"/>
      <c r="S43" s="1652" t="str">
        <f>INDEX(PT_DIFFERENTIATION_NUM_TER,MATCH(B43,PT_DIFFERENTIATION_TER_ID,0))</f>
        <v>.</v>
      </c>
      <c r="T43" s="462" t="s">
        <v>397</v>
      </c>
      <c r="U43" s="454"/>
      <c r="V43" s="2314"/>
      <c r="W43" s="2315"/>
      <c r="X43" s="2315"/>
      <c r="Y43" s="2315"/>
      <c r="Z43" s="2315"/>
      <c r="AA43" s="2315"/>
      <c r="AB43" s="2315"/>
      <c r="AC43" s="2315"/>
      <c r="AD43" s="2315"/>
      <c r="AE43" s="2315"/>
      <c r="AF43" s="2316"/>
      <c r="AG43" s="2314" t="str">
        <f>INDEX(PT_DIFFERENTIATION_TER,MATCH(B43,PT_DIFFERENTIATION_TER_ID,0))</f>
        <v/>
      </c>
      <c r="AH43" s="2315"/>
      <c r="AI43" s="2315"/>
      <c r="AJ43" s="2315"/>
      <c r="AK43" s="2315"/>
      <c r="AL43" s="2315"/>
      <c r="AM43" s="2315"/>
      <c r="AN43" s="2315"/>
      <c r="AO43" s="2315"/>
      <c r="AP43" s="2315"/>
      <c r="AQ43" s="2315"/>
      <c r="AR43" s="2316"/>
      <c r="AS43" s="1416" t="s">
        <v>398</v>
      </c>
      <c r="AU43" s="654"/>
      <c r="AV43" s="654" t="str">
        <f>IF(T43="","",T43)</f>
        <v>Территория действия тарифа</v>
      </c>
      <c r="AW43" s="654"/>
      <c r="AX43" s="654"/>
    </row>
    <row customHeight="1" ht="23.25">
      <c r="A44" s="1522" t="s">
        <v>256</v>
      </c>
      <c r="B44" s="1522" t="s">
        <v>257</v>
      </c>
      <c r="C44" s="1522" t="s">
        <v>258</v>
      </c>
      <c r="D44" s="1522"/>
      <c r="E44" s="2321"/>
      <c r="F44" s="2321"/>
      <c r="G44" s="2320">
        <v>1</v>
      </c>
      <c r="H44" s="1522"/>
      <c r="I44" s="1522"/>
      <c r="J44" s="1522"/>
      <c r="K44" s="1522"/>
      <c r="L44" s="1523"/>
      <c r="M44" s="1524"/>
      <c r="N44" s="1524"/>
      <c r="O44" s="1524"/>
      <c r="P44" s="508"/>
      <c r="Q44" s="506"/>
      <c r="R44" s="507"/>
      <c r="S44" s="1652" t="str">
        <f>INDEX(PT_DIFFERENTIATION_NUM_CS,MATCH(C44,PT_DIFFERENTIATION_CS_ID,0))</f>
        <v>..</v>
      </c>
      <c r="T44" s="463" t="s">
        <v>528</v>
      </c>
      <c r="U44" s="454"/>
      <c r="V44" s="2314"/>
      <c r="W44" s="2315"/>
      <c r="X44" s="2315"/>
      <c r="Y44" s="2315"/>
      <c r="Z44" s="2315"/>
      <c r="AA44" s="2315"/>
      <c r="AB44" s="2315"/>
      <c r="AC44" s="2315"/>
      <c r="AD44" s="2315"/>
      <c r="AE44" s="2315"/>
      <c r="AF44" s="2316"/>
      <c r="AG44" s="2314" t="str">
        <f>INDEX(PT_DIFFERENTIATION_CS,MATCH(C44,PT_DIFFERENTIATION_CS_ID,0))</f>
        <v/>
      </c>
      <c r="AH44" s="2315"/>
      <c r="AI44" s="2315"/>
      <c r="AJ44" s="2315"/>
      <c r="AK44" s="2315"/>
      <c r="AL44" s="2315"/>
      <c r="AM44" s="2315"/>
      <c r="AN44" s="2315"/>
      <c r="AO44" s="2315"/>
      <c r="AP44" s="2315"/>
      <c r="AQ44" s="2315"/>
      <c r="AR44" s="2316"/>
      <c r="AS44" s="1416" t="s">
        <v>529</v>
      </c>
      <c r="AU44" s="654"/>
      <c r="AV44" s="654" t="str">
        <f>IF(T44="","",T44)</f>
        <v>Наименование централизованной системы горячего водоснабжения</v>
      </c>
      <c r="AW44" s="654"/>
      <c r="AX44" s="654"/>
    </row>
    <row customHeight="1" ht="23.25">
      <c r="A45" s="1522" t="s">
        <v>256</v>
      </c>
      <c r="B45" s="1522" t="s">
        <v>257</v>
      </c>
      <c r="C45" s="1522" t="s">
        <v>258</v>
      </c>
      <c r="D45" s="1522" t="s">
        <v>544</v>
      </c>
      <c r="E45" s="2321"/>
      <c r="F45" s="2321"/>
      <c r="G45" s="2321"/>
      <c r="H45" s="2321"/>
      <c r="I45" s="2322" t="str">
        <f>S44&amp;".1"</f>
        <v>...1</v>
      </c>
      <c r="J45" s="1522"/>
      <c r="K45" s="1522"/>
      <c r="L45" s="1523"/>
      <c r="P45" s="2324">
        <v>1</v>
      </c>
      <c r="Q45" s="1640"/>
      <c r="R45" s="510"/>
      <c r="S45" s="1652" t="str">
        <f>$I45</f>
        <v>...1</v>
      </c>
      <c r="T45" s="439" t="s">
        <v>481</v>
      </c>
      <c r="U45" s="454"/>
      <c r="V45" s="2407"/>
      <c r="W45" s="2408"/>
      <c r="X45" s="2408"/>
      <c r="Y45" s="2408"/>
      <c r="Z45" s="2408"/>
      <c r="AA45" s="2408"/>
      <c r="AB45" s="2408"/>
      <c r="AC45" s="2408"/>
      <c r="AD45" s="2408"/>
      <c r="AE45" s="2408"/>
      <c r="AF45" s="2409"/>
      <c r="AG45" s="2410"/>
      <c r="AH45" s="2411"/>
      <c r="AI45" s="2411"/>
      <c r="AJ45" s="2411"/>
      <c r="AK45" s="2411"/>
      <c r="AL45" s="2411"/>
      <c r="AM45" s="2411"/>
      <c r="AN45" s="2411"/>
      <c r="AO45" s="2411"/>
      <c r="AP45" s="2411"/>
      <c r="AQ45" s="2411"/>
      <c r="AR45" s="2412"/>
      <c r="AS45" s="1416" t="s">
        <v>482</v>
      </c>
      <c r="AU45" s="654"/>
      <c r="AV45" s="654" t="str">
        <f>IF(T45="","",T45)</f>
        <v>Наименование признака дифференциации</v>
      </c>
      <c r="AW45" s="654"/>
      <c r="AX45" s="654"/>
    </row>
    <row customHeight="1" ht="23.25">
      <c r="A46" s="1522" t="s">
        <v>256</v>
      </c>
      <c r="B46" s="1522" t="s">
        <v>257</v>
      </c>
      <c r="C46" s="1522" t="s">
        <v>258</v>
      </c>
      <c r="D46" s="1522" t="s">
        <v>544</v>
      </c>
      <c r="E46" s="2321"/>
      <c r="F46" s="2321"/>
      <c r="G46" s="2321"/>
      <c r="H46" s="2321"/>
      <c r="I46" s="2323"/>
      <c r="J46" s="2322" t="str">
        <f>I45&amp;".1"</f>
        <v>...1.1</v>
      </c>
      <c r="K46" s="1522"/>
      <c r="L46" s="1523" t="s">
        <v>406</v>
      </c>
      <c r="P46" s="2324"/>
      <c r="Q46" s="2324">
        <v>1</v>
      </c>
      <c r="R46" s="511"/>
      <c r="S46" s="1652" t="str">
        <f>$J46</f>
        <v>...1.1</v>
      </c>
      <c r="T46" s="440" t="s">
        <v>407</v>
      </c>
      <c r="U46" s="454"/>
      <c r="V46" s="2308"/>
      <c r="W46" s="2309"/>
      <c r="X46" s="2309"/>
      <c r="Y46" s="2309"/>
      <c r="Z46" s="2309"/>
      <c r="AA46" s="2309"/>
      <c r="AB46" s="2309"/>
      <c r="AC46" s="2309"/>
      <c r="AD46" s="2309"/>
      <c r="AE46" s="2309"/>
      <c r="AF46" s="2310"/>
      <c r="AG46" s="2308"/>
      <c r="AH46" s="2309"/>
      <c r="AI46" s="2309"/>
      <c r="AJ46" s="2309"/>
      <c r="AK46" s="2309"/>
      <c r="AL46" s="2309"/>
      <c r="AM46" s="2309"/>
      <c r="AN46" s="2309"/>
      <c r="AO46" s="2309"/>
      <c r="AP46" s="2309"/>
      <c r="AQ46" s="2309"/>
      <c r="AR46" s="2310"/>
      <c r="AS46" s="1466" t="s">
        <v>483</v>
      </c>
      <c r="AU46" s="654"/>
      <c r="AV46" s="654" t="str">
        <f>IF(T46="","",T46)</f>
        <v>Группа потребителей</v>
      </c>
      <c r="AW46" s="654"/>
      <c r="AX46" s="654"/>
    </row>
    <row customHeight="1" ht="23.25">
      <c r="A47" s="1522" t="s">
        <v>256</v>
      </c>
      <c r="B47" s="1522" t="s">
        <v>257</v>
      </c>
      <c r="C47" s="1522" t="s">
        <v>258</v>
      </c>
      <c r="D47" s="1522" t="s">
        <v>544</v>
      </c>
      <c r="E47" s="2321"/>
      <c r="F47" s="2321"/>
      <c r="G47" s="2321"/>
      <c r="H47" s="2321"/>
      <c r="I47" s="2323"/>
      <c r="J47" s="2323"/>
      <c r="K47" s="2322" t="str">
        <f>J46&amp;".1"</f>
        <v>...1.1.1</v>
      </c>
      <c r="L47" s="1523"/>
      <c r="P47" s="2324"/>
      <c r="Q47" s="2324"/>
      <c r="R47" s="511">
        <v>1</v>
      </c>
      <c r="S47" s="1652" t="str">
        <f>$K47</f>
        <v>...1.1.1</v>
      </c>
      <c r="T47" s="1596"/>
      <c r="U47" s="454"/>
      <c r="V47" s="1519"/>
      <c r="W47" s="1519"/>
      <c r="X47" s="1519"/>
      <c r="Y47" s="1519"/>
      <c r="Z47" s="1519"/>
      <c r="AA47" s="1519"/>
      <c r="AB47" s="1520"/>
      <c r="AC47" s="2318"/>
      <c r="AD47" s="2317" t="s">
        <v>64</v>
      </c>
      <c r="AE47" s="2318"/>
      <c r="AF47" s="2317" t="s">
        <v>64</v>
      </c>
      <c r="AG47" s="905"/>
      <c r="AH47" s="905"/>
      <c r="AI47" s="905"/>
      <c r="AJ47" s="905"/>
      <c r="AK47" s="905"/>
      <c r="AL47" s="905"/>
      <c r="AM47" s="1415"/>
      <c r="AN47" s="2325"/>
      <c r="AO47" s="2195" t="s">
        <v>64</v>
      </c>
      <c r="AP47" s="2327"/>
      <c r="AQ47" s="2195" t="s">
        <v>54</v>
      </c>
      <c r="AR47" s="1597"/>
      <c r="AS47" s="241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665">
        <f>STRCHECKDATE(V48:AR48)</f>
      </c>
      <c r="AU47" s="654"/>
      <c r="AV47" s="654" t="str">
        <f>IF(T47="","",T47)</f>
        <v/>
      </c>
      <c r="AW47" s="654"/>
      <c r="AX47" s="654"/>
    </row>
    <row customHeight="1" ht="0">
      <c r="A48" s="1522" t="s">
        <v>256</v>
      </c>
      <c r="B48" s="1522" t="s">
        <v>257</v>
      </c>
      <c r="C48" s="1522" t="s">
        <v>258</v>
      </c>
      <c r="D48" s="1522" t="s">
        <v>544</v>
      </c>
      <c r="E48" s="2321"/>
      <c r="F48" s="2321"/>
      <c r="G48" s="2321"/>
      <c r="H48" s="2321"/>
      <c r="I48" s="2323"/>
      <c r="J48" s="2323"/>
      <c r="K48" s="2322"/>
      <c r="L48" s="1523"/>
      <c r="P48" s="2324"/>
      <c r="Q48" s="2324"/>
      <c r="R48" s="511"/>
      <c r="S48" s="1649"/>
      <c r="T48" s="454"/>
      <c r="U48" s="454"/>
      <c r="V48" s="1519"/>
      <c r="W48" s="1519"/>
      <c r="X48" s="1519"/>
      <c r="Y48" s="1519"/>
      <c r="Z48" s="1519"/>
      <c r="AA48" s="1519"/>
      <c r="AB48" s="482" t="str">
        <f>AC47&amp;"-"&amp;AE47</f>
        <v>-</v>
      </c>
      <c r="AC48" s="2317"/>
      <c r="AD48" s="2317"/>
      <c r="AE48" s="2317"/>
      <c r="AF48" s="2317"/>
      <c r="AG48" s="479"/>
      <c r="AH48" s="479"/>
      <c r="AI48" s="479"/>
      <c r="AJ48" s="479"/>
      <c r="AK48" s="479"/>
      <c r="AL48" s="479"/>
      <c r="AM48" s="482" t="str">
        <f>AN47&amp;"-"&amp;AP47</f>
        <v>-</v>
      </c>
      <c r="AN48" s="2326"/>
      <c r="AO48" s="2195"/>
      <c r="AP48" s="2328"/>
      <c r="AQ48" s="2195"/>
      <c r="AR48" s="1598"/>
      <c r="AS48" s="2413"/>
      <c r="AU48" s="654"/>
      <c r="AV48" s="654" t="str">
        <f>IF(T48="","",T48)</f>
        <v/>
      </c>
      <c r="AW48" s="654"/>
      <c r="AX48" s="654"/>
    </row>
    <row customHeight="1" ht="21">
      <c r="A49" s="1522" t="s">
        <v>256</v>
      </c>
      <c r="B49" s="1522" t="s">
        <v>257</v>
      </c>
      <c r="C49" s="1522" t="s">
        <v>258</v>
      </c>
      <c r="D49" s="1522" t="s">
        <v>544</v>
      </c>
      <c r="E49" s="2321"/>
      <c r="F49" s="2321"/>
      <c r="G49" s="2321"/>
      <c r="H49" s="2321"/>
      <c r="I49" s="2323"/>
      <c r="J49" s="2322"/>
      <c r="K49" s="1522"/>
      <c r="L49" s="1523"/>
      <c r="P49" s="2324"/>
      <c r="Q49" s="2324"/>
      <c r="R49" s="510"/>
      <c r="S49" s="1437"/>
      <c r="T49" s="441" t="s">
        <v>484</v>
      </c>
      <c r="U49" s="521"/>
      <c r="V49" s="521"/>
      <c r="W49" s="754"/>
      <c r="X49" s="754"/>
      <c r="Y49" s="754"/>
      <c r="Z49" s="754"/>
      <c r="AA49" s="754"/>
      <c r="AB49" s="521"/>
      <c r="AC49" s="521"/>
      <c r="AD49" s="521"/>
      <c r="AE49" s="521"/>
      <c r="AF49" s="521"/>
      <c r="AG49" s="521"/>
      <c r="AH49" s="754"/>
      <c r="AI49" s="754"/>
      <c r="AJ49" s="754"/>
      <c r="AK49" s="754"/>
      <c r="AL49" s="754"/>
      <c r="AM49" s="521"/>
      <c r="AN49" s="521"/>
      <c r="AO49" s="521"/>
      <c r="AP49" s="521"/>
      <c r="AQ49" s="521"/>
      <c r="AR49" s="521"/>
      <c r="AS49" s="1416" t="s">
        <v>485</v>
      </c>
      <c r="AU49" s="654"/>
      <c r="AV49" s="654" t="str">
        <f>IF(T49="","",T49)</f>
        <v>Добавить значение признака дифференциации</v>
      </c>
      <c r="AW49" s="654"/>
      <c r="AX49" s="654"/>
    </row>
    <row customHeight="1" ht="21">
      <c r="A50" s="1522" t="s">
        <v>256</v>
      </c>
      <c r="B50" s="1522" t="s">
        <v>257</v>
      </c>
      <c r="C50" s="1522" t="s">
        <v>258</v>
      </c>
      <c r="D50" s="1522" t="s">
        <v>544</v>
      </c>
      <c r="E50" s="2321"/>
      <c r="F50" s="2321"/>
      <c r="G50" s="2321"/>
      <c r="H50" s="2321"/>
      <c r="I50" s="2322"/>
      <c r="J50" s="1522"/>
      <c r="K50" s="1522"/>
      <c r="L50" s="1523"/>
      <c r="P50" s="2324"/>
      <c r="Q50" s="1640"/>
      <c r="R50" s="510"/>
      <c r="S50" s="1437"/>
      <c r="T50" s="519" t="s">
        <v>412</v>
      </c>
      <c r="U50" s="521"/>
      <c r="V50" s="521"/>
      <c r="W50" s="754"/>
      <c r="X50" s="754"/>
      <c r="Y50" s="754"/>
      <c r="Z50" s="754"/>
      <c r="AA50" s="754"/>
      <c r="AB50" s="521"/>
      <c r="AC50" s="521"/>
      <c r="AD50" s="521"/>
      <c r="AE50" s="521"/>
      <c r="AF50" s="520"/>
      <c r="AG50" s="521"/>
      <c r="AH50" s="754"/>
      <c r="AI50" s="754"/>
      <c r="AJ50" s="754"/>
      <c r="AK50" s="754"/>
      <c r="AL50" s="754"/>
      <c r="AM50" s="521"/>
      <c r="AN50" s="521"/>
      <c r="AO50" s="521"/>
      <c r="AP50" s="521"/>
      <c r="AQ50" s="520"/>
      <c r="AR50" s="521"/>
      <c r="AS50" s="1599"/>
      <c r="AU50" s="654"/>
      <c r="AV50" s="654" t="str">
        <f>IF(T50="","",T50)</f>
        <v>Добавить группу потребителей</v>
      </c>
      <c r="AW50" s="654"/>
      <c r="AX50" s="654"/>
    </row>
    <row customHeight="1" ht="21">
      <c r="A51" s="1522" t="s">
        <v>256</v>
      </c>
      <c r="B51" s="1522" t="s">
        <v>257</v>
      </c>
      <c r="C51" s="1522" t="s">
        <v>258</v>
      </c>
      <c r="D51" s="1522" t="s">
        <v>544</v>
      </c>
      <c r="E51" s="2321"/>
      <c r="F51" s="2321"/>
      <c r="G51" s="2321"/>
      <c r="H51" s="2320"/>
      <c r="I51" s="1522"/>
      <c r="J51" s="1522"/>
      <c r="K51" s="1522"/>
      <c r="L51" s="1523"/>
      <c r="M51" s="1524"/>
      <c r="N51" s="1524"/>
      <c r="O51" s="691"/>
      <c r="P51" s="514"/>
      <c r="Q51" s="529"/>
      <c r="R51" s="509"/>
      <c r="S51" s="1437"/>
      <c r="T51" s="526" t="s">
        <v>486</v>
      </c>
      <c r="U51" s="521"/>
      <c r="V51" s="521"/>
      <c r="W51" s="754"/>
      <c r="X51" s="754"/>
      <c r="Y51" s="754"/>
      <c r="Z51" s="754"/>
      <c r="AA51" s="754"/>
      <c r="AB51" s="521"/>
      <c r="AC51" s="521"/>
      <c r="AD51" s="521"/>
      <c r="AE51" s="521"/>
      <c r="AF51" s="520"/>
      <c r="AG51" s="521"/>
      <c r="AH51" s="754"/>
      <c r="AI51" s="754"/>
      <c r="AJ51" s="754"/>
      <c r="AK51" s="754"/>
      <c r="AL51" s="754"/>
      <c r="AM51" s="521"/>
      <c r="AN51" s="521"/>
      <c r="AO51" s="521"/>
      <c r="AP51" s="521"/>
      <c r="AQ51" s="520"/>
      <c r="AR51" s="521"/>
      <c r="AS51" s="457"/>
      <c r="AU51" s="654"/>
      <c r="AV51" s="654" t="str">
        <f>IF(T51="","",T51)</f>
        <v>Добавить наименование признака дифференциации</v>
      </c>
      <c r="AW51" s="654"/>
      <c r="AX51" s="654"/>
    </row>
    <row s="8702" customFormat="1" customHeight="1" ht="0">
      <c r="A52" s="1502" t="s">
        <v>256</v>
      </c>
      <c r="B52" s="1502" t="s">
        <v>257</v>
      </c>
      <c r="C52" s="1473"/>
      <c r="D52" s="1473"/>
      <c r="E52" s="2321"/>
      <c r="F52" s="2320"/>
      <c r="G52" s="1473"/>
      <c r="H52" s="1473"/>
      <c r="I52" s="1473"/>
      <c r="J52" s="1473"/>
      <c r="K52" s="1473"/>
      <c r="L52" s="1653"/>
      <c r="M52" s="1480"/>
      <c r="N52" s="1480"/>
      <c r="P52" s="1475"/>
      <c r="Q52" s="1476"/>
      <c r="R52" s="1475"/>
      <c r="S52" s="1481"/>
      <c r="T52" s="1484" t="s">
        <v>251</v>
      </c>
      <c r="U52" s="1483"/>
      <c r="V52" s="1483"/>
      <c r="W52" s="1483"/>
      <c r="X52" s="1483"/>
      <c r="Y52" s="1483"/>
      <c r="Z52" s="1483"/>
      <c r="AA52" s="1483"/>
      <c r="AB52" s="1483"/>
      <c r="AC52" s="1483"/>
      <c r="AD52" s="1483"/>
      <c r="AE52" s="1483"/>
      <c r="AF52" s="1483"/>
      <c r="AG52" s="1483"/>
      <c r="AH52" s="1483"/>
      <c r="AI52" s="1483"/>
      <c r="AJ52" s="1483"/>
      <c r="AK52" s="1483"/>
      <c r="AL52" s="1483"/>
      <c r="AM52" s="1483"/>
      <c r="AN52" s="1483"/>
      <c r="AO52" s="1483"/>
      <c r="AP52" s="1483"/>
      <c r="AQ52" s="1483"/>
      <c r="AR52" s="1483"/>
      <c r="AS52" s="1483"/>
      <c r="AU52" s="943"/>
      <c r="AV52" s="943" t="str">
        <f>IF(T52="","",T52)</f>
        <v>Добавить централизованную систему для дифференциации</v>
      </c>
      <c r="AW52" s="943"/>
      <c r="AX52" s="943"/>
    </row>
    <row s="8794" customFormat="1" customHeight="1" ht="0">
      <c r="A53" s="1502" t="s">
        <v>256</v>
      </c>
      <c r="B53" s="1502"/>
      <c r="C53" s="1502"/>
      <c r="D53" s="1502"/>
      <c r="E53" s="2320"/>
      <c r="F53" s="1502"/>
      <c r="G53" s="1502"/>
      <c r="H53" s="1502"/>
      <c r="I53" s="1502"/>
      <c r="J53" s="1502"/>
      <c r="K53" s="1502"/>
      <c r="L53" s="1505"/>
      <c r="M53" s="1480"/>
      <c r="N53" s="1480"/>
      <c r="O53" s="672"/>
      <c r="P53" s="534"/>
      <c r="Q53" s="1503"/>
      <c r="R53" s="534"/>
      <c r="S53" s="1481"/>
      <c r="T53" s="1484" t="s">
        <v>252</v>
      </c>
      <c r="U53" s="1483"/>
      <c r="V53" s="1483"/>
      <c r="W53" s="1483"/>
      <c r="X53" s="1483"/>
      <c r="Y53" s="1483"/>
      <c r="Z53" s="1483"/>
      <c r="AA53" s="1483"/>
      <c r="AB53" s="1483"/>
      <c r="AC53" s="1483"/>
      <c r="AD53" s="1483"/>
      <c r="AE53" s="1483"/>
      <c r="AF53" s="1483"/>
      <c r="AG53" s="1483"/>
      <c r="AH53" s="1483"/>
      <c r="AI53" s="1483"/>
      <c r="AJ53" s="1483"/>
      <c r="AK53" s="1483"/>
      <c r="AL53" s="1483"/>
      <c r="AM53" s="1483"/>
      <c r="AN53" s="1483"/>
      <c r="AO53" s="1483"/>
      <c r="AP53" s="1483"/>
      <c r="AQ53" s="1483"/>
      <c r="AR53" s="1483"/>
      <c r="AS53" s="1483"/>
      <c r="AU53" s="654"/>
      <c r="AV53" s="654" t="str">
        <f>IF(T53="","",T53)</f>
        <v>Добавить территорию для дифференциации</v>
      </c>
      <c r="AW53" s="654"/>
      <c r="AX53" s="654"/>
    </row>
    <row s="8702" customFormat="1" customHeight="1" ht="0">
      <c r="A54" s="1473"/>
      <c r="B54" s="1473"/>
      <c r="C54" s="1473"/>
      <c r="D54" s="1473"/>
      <c r="E54" s="1502"/>
      <c r="F54" s="1473"/>
      <c r="G54" s="1473"/>
      <c r="H54" s="1473"/>
      <c r="I54" s="1473"/>
      <c r="J54" s="1473"/>
      <c r="K54" s="1473"/>
      <c r="L54" s="1653"/>
      <c r="M54" s="1480"/>
      <c r="N54" s="1480"/>
      <c r="P54" s="1475"/>
      <c r="Q54" s="1476"/>
      <c r="R54" s="1475"/>
      <c r="S54" s="1481"/>
      <c r="T54" s="1484" t="s">
        <v>253</v>
      </c>
      <c r="U54" s="1483"/>
      <c r="V54" s="1483"/>
      <c r="W54" s="1483"/>
      <c r="X54" s="1483"/>
      <c r="Y54" s="1483"/>
      <c r="Z54" s="1483"/>
      <c r="AA54" s="1483"/>
      <c r="AB54" s="1483"/>
      <c r="AC54" s="1483"/>
      <c r="AD54" s="1483"/>
      <c r="AE54" s="1483"/>
      <c r="AF54" s="1483"/>
      <c r="AG54" s="1483"/>
      <c r="AH54" s="1483"/>
      <c r="AI54" s="1483"/>
      <c r="AJ54" s="1483"/>
      <c r="AK54" s="1483"/>
      <c r="AL54" s="1483"/>
      <c r="AM54" s="1483"/>
      <c r="AN54" s="1483"/>
      <c r="AO54" s="1483"/>
      <c r="AP54" s="1483"/>
      <c r="AQ54" s="1483"/>
      <c r="AR54" s="1483"/>
      <c r="AS54" s="1483"/>
      <c r="AU54" s="943"/>
      <c r="AV54" s="943" t="str">
        <f>IF(T54="","",T54)</f>
        <v>Добавить наименование тарифа</v>
      </c>
      <c r="AW54" s="943"/>
      <c r="AX54" s="943"/>
    </row>
    <row customHeight="1" ht="11.25">
      <c r="M55" s="1316"/>
      <c r="N55" s="1316"/>
      <c r="O55" s="691"/>
      <c r="P55" s="1311"/>
      <c r="Q55" s="1311"/>
      <c r="R55" s="1311"/>
      <c r="S55" s="1311"/>
      <c r="AT55" s="1311"/>
      <c r="AU55" s="1311"/>
      <c r="AV55" s="1311"/>
      <c r="AW55" s="1311"/>
      <c r="AX55" s="1311"/>
    </row>
    <row customHeight="1" ht="14.25">
      <c r="O56" s="691"/>
      <c r="S56" s="1411"/>
      <c r="T56" s="2319"/>
      <c r="U56" s="2319"/>
      <c r="V56" s="2319"/>
      <c r="W56" s="2319"/>
      <c r="X56" s="2319"/>
      <c r="Y56" s="2319"/>
      <c r="Z56" s="2319"/>
      <c r="AA56" s="2319"/>
      <c r="AB56" s="2319"/>
      <c r="AC56" s="2319"/>
      <c r="AD56" s="2319"/>
      <c r="AE56" s="2319"/>
      <c r="AF56" s="2319"/>
      <c r="AG56" s="2319"/>
      <c r="AH56" s="2319"/>
      <c r="AI56" s="2319"/>
      <c r="AJ56" s="2319"/>
      <c r="AK56" s="2319"/>
      <c r="AL56" s="2319"/>
      <c r="AM56" s="2319"/>
      <c r="AN56" s="2319"/>
      <c r="AO56" s="2319"/>
      <c r="AP56" s="2319"/>
      <c r="AQ56" s="2319"/>
      <c r="AR56" s="2319"/>
      <c r="AS56" s="2319"/>
    </row>
    <row customHeight="1" ht="14.25">
      <c r="O57" s="691"/>
    </row>
    <row customHeight="1" ht="14.25">
      <c r="O58" s="691"/>
      <c r="S58" s="1411"/>
      <c r="T58" s="2319"/>
      <c r="U58" s="2319"/>
      <c r="V58" s="2319"/>
      <c r="W58" s="2319"/>
      <c r="X58" s="2319"/>
      <c r="Y58" s="2319"/>
      <c r="Z58" s="2319"/>
      <c r="AA58" s="2319"/>
      <c r="AB58" s="2319"/>
      <c r="AC58" s="2319"/>
      <c r="AD58" s="2319"/>
      <c r="AE58" s="2319"/>
      <c r="AF58" s="2319"/>
      <c r="AG58" s="2319"/>
      <c r="AH58" s="2319"/>
      <c r="AI58" s="2319"/>
      <c r="AJ58" s="2319"/>
      <c r="AK58" s="2319"/>
      <c r="AL58" s="2319"/>
      <c r="AM58" s="2319"/>
      <c r="AN58" s="2319"/>
      <c r="AO58" s="2319"/>
      <c r="AP58" s="2319"/>
      <c r="AQ58" s="2319"/>
      <c r="AR58" s="2319"/>
      <c r="AS58" s="2319"/>
    </row>
  </sheetData>
  <sheetProtection formatColumns="0" formatRows="0" autoFilter="0" sort="0" insertRows="0" insertColumns="1" deleteRows="0" deleteColumns="0"/>
  <mergeCells count="113">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 ref="AS7:AS8"/>
    <mergeCell ref="AN15:AN16"/>
    <mergeCell ref="AO15:AO16"/>
    <mergeCell ref="AP15:AP16"/>
    <mergeCell ref="AQ15:AQ16"/>
    <mergeCell ref="AD7:AD8"/>
    <mergeCell ref="AE7:AE8"/>
    <mergeCell ref="AF7:AF8"/>
    <mergeCell ref="AN7:AN8"/>
    <mergeCell ref="AO7:AO8"/>
    <mergeCell ref="AP7:AP8"/>
    <mergeCell ref="S29:T29"/>
    <mergeCell ref="V29:AE29"/>
    <mergeCell ref="AG29:AP29"/>
    <mergeCell ref="S30:T30"/>
    <mergeCell ref="V30:AE30"/>
    <mergeCell ref="AG30:AP30"/>
    <mergeCell ref="S24:AP24"/>
    <mergeCell ref="S25:AP25"/>
    <mergeCell ref="S27:T27"/>
    <mergeCell ref="V27:AE27"/>
    <mergeCell ref="AG27:AP27"/>
    <mergeCell ref="S28:T28"/>
    <mergeCell ref="V28:AE28"/>
    <mergeCell ref="AG28:AP28"/>
    <mergeCell ref="S37:S40"/>
    <mergeCell ref="T37:T40"/>
    <mergeCell ref="V37:AE37"/>
    <mergeCell ref="AF37:AF40"/>
    <mergeCell ref="AG37:AP37"/>
    <mergeCell ref="AQ37:AQ40"/>
    <mergeCell ref="S32:T32"/>
    <mergeCell ref="V32:AE32"/>
    <mergeCell ref="AG32:AP32"/>
    <mergeCell ref="S33:T33"/>
    <mergeCell ref="V33:AE33"/>
    <mergeCell ref="AG33:AP33"/>
    <mergeCell ref="AD40:AE40"/>
    <mergeCell ref="AO40:AP40"/>
    <mergeCell ref="V35:AF35"/>
    <mergeCell ref="AG35:AQ35"/>
    <mergeCell ref="S36:AR36"/>
    <mergeCell ref="AA39:AB39"/>
    <mergeCell ref="AN38:AP39"/>
    <mergeCell ref="AC38:AE39"/>
    <mergeCell ref="AH38:AJ38"/>
    <mergeCell ref="AK38:AM38"/>
    <mergeCell ref="AH39:AH40"/>
    <mergeCell ref="AI39:AJ39"/>
    <mergeCell ref="K47:K48"/>
    <mergeCell ref="AC47:AC48"/>
    <mergeCell ref="AD47:AD48"/>
    <mergeCell ref="AE47:AE48"/>
    <mergeCell ref="AF47:AF48"/>
    <mergeCell ref="AN47:AN48"/>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AS47:AS48"/>
    <mergeCell ref="T56:AS56"/>
    <mergeCell ref="T58:AS58"/>
    <mergeCell ref="V46:AF46"/>
    <mergeCell ref="AG46:AR46"/>
    <mergeCell ref="AO47:AO48"/>
    <mergeCell ref="AP47:AP48"/>
    <mergeCell ref="AQ47:AQ48"/>
    <mergeCell ref="AS36:AS40"/>
    <mergeCell ref="AR37:AR40"/>
    <mergeCell ref="AL39:AM39"/>
    <mergeCell ref="V38:V40"/>
    <mergeCell ref="W38:Y38"/>
    <mergeCell ref="Z38:AB38"/>
    <mergeCell ref="W39:W40"/>
    <mergeCell ref="X39:Y39"/>
    <mergeCell ref="Z39:Z40"/>
    <mergeCell ref="AG38:AG40"/>
    <mergeCell ref="AK39:AK40"/>
  </mergeCells>
  <dataValidations count="8">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formula1>kind_of_cons</formula1>
    </dataValidation>
    <dataValidation allowBlank="1" sqref="S131117:AS131123 S196653:AS196659 S262189:AS262195 S327725:AS327731 S393261:AS393267 S458797:AS458803 S524333:AS524339 S589869:AS589875 S655405:AS655411 S720941:AS720947 S786477:AS786483 S852013:AS852019 S917549:AS917555 S983085:AS983091 S65581:AS65587"/>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dataValidation type="list" allowBlank="1" showInputMessage="1" showErrorMessage="1" errorTitle="Ошибка" error="Выберите значение из списка" sqref="T65579 T131115 T196651 T262187 T327723 T393259 T458795 T524331 T589867 T655403 T720939 T786475 T852011 T917547 T983083">
      <formula1>kind_of_heat_transfer</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formula1>900</formula1>
    </dataValidation>
    <dataValidation type="list" allowBlank="1" showInputMessage="1" showErrorMessage="1" errorTitle="Ошибка" error="Выберите значение из списка" sqref="V983081:AA983081 V65577:AA65577 V131113:AA131113 V196649:AA196649 V262185:AA262185 V327721:AA327721 V393257:AA393257 V458793:AA458793 V524329:AA524329 V589865:AA589865 V655401:AA655401 V720937:AA720937 V786473:AA786473 V852009:AA852009 V917545:AA917545 AG983081:AL983081 AG65577:AL65577 AG131113:AL131113 AG196649:AL196649 AG262185:AL262185 AG327721:AL327721 AG393257:AL393257 AG458793:AL458793 AG524329:AL524329 AG589865:AL589865 AG655401:AL655401 AG720937:AL720937 AG786473:AL786473 AG852009:AL852009 AG917545:AL917545">
      <formula1>kind_of_scheme_in</formula1>
    </dataValidation>
    <dataValidation allowBlank="1" promptTitle="checkPeriodRange" sqref="AB65580 AB131116 AB196652 AB262188 AB327724 AB393260 AB458796 AB524332 AB589868 AB655404 AB720940 AB786476 AB852012 AB917548 AB983084 AM16 AM65580 AM131116 AM196652 AM262188 AM327724 AM393260 AM458796 AM524332 AM589868 AM655404 AM720940 AM786476 AM852012 AM917548 AM983084 AM48 AM8 AB8 AB48"/>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15AFD52-645C-16A7-3D47-50FD383C669B}" mc:Ignorable="x14ac xr xr2 xr3">
  <sheetPr>
    <tabColor theme="6" tint="0.4"/>
  </sheetPr>
  <dimension ref="A1:BH68"/>
  <sheetViews>
    <sheetView topLeftCell="A1" showGridLines="0" zoomScale="90" workbookViewId="0">
      <selection activeCell="A1" sqref="A1"/>
    </sheetView>
  </sheetViews>
  <sheetFormatPr defaultColWidth="10.57421875" customHeight="1" defaultRowHeight="14.25"/>
  <cols>
    <col min="1" max="1" style="8721" width="11.57421875" hidden="1" customWidth="1"/>
    <col min="2" max="2" style="8721" width="11.00390625" hidden="1" customWidth="1"/>
    <col min="3" max="3" style="8721" width="10.57421875" hidden="1"/>
    <col min="4" max="4" style="8721" width="12.8515625" hidden="1" customWidth="1"/>
    <col min="5" max="5" style="8721" width="10.00390625" hidden="1" customWidth="1"/>
    <col min="6" max="6" style="8721" width="8.7109375" hidden="1" customWidth="1"/>
    <col min="7" max="7" style="8721" width="7.57421875" hidden="1" customWidth="1"/>
    <col min="8" max="8" style="8721" width="11.421875" hidden="1" customWidth="1"/>
    <col min="9" max="9" style="8721" width="12.00390625" hidden="1" customWidth="1"/>
    <col min="10" max="10" style="8721" width="9.8515625" hidden="1" customWidth="1"/>
    <col min="11" max="11" style="8721" width="11.421875" hidden="1" customWidth="1"/>
    <col min="12" max="12" style="9072" width="19.140625" hidden="1" customWidth="1"/>
    <col min="13" max="14" style="8803" width="12.28125" hidden="1" customWidth="1"/>
    <col min="15" max="15" style="8803" width="23.421875" hidden="1" customWidth="1"/>
    <col min="16" max="16" style="8803" width="3.7109375" hidden="1" customWidth="1"/>
    <col min="17" max="17" style="8976" width="3.7109375" hidden="1" customWidth="1"/>
    <col min="18" max="18" style="8805" width="3.7109375" customWidth="1"/>
    <col min="19" max="19" style="8806" width="12.7109375" customWidth="1"/>
    <col min="20" max="20" style="8807" width="32.00390625" customWidth="1"/>
    <col min="21" max="21" style="8807" width="0.140625" customWidth="1"/>
    <col min="22" max="25" style="8807" width="21.7109375" hidden="1" customWidth="1"/>
    <col min="26" max="26" style="8807" width="11.7109375" hidden="1" customWidth="1"/>
    <col min="27" max="27" style="8807" width="3.7109375" hidden="1" customWidth="1"/>
    <col min="28" max="28" style="8807" width="11.7109375" hidden="1" customWidth="1"/>
    <col min="29" max="29" style="8807" width="8.57421875" hidden="1" customWidth="1"/>
    <col min="30" max="32" style="8807" width="3.7109375" customWidth="1"/>
    <col min="33" max="33" style="8807" width="24.7109375" customWidth="1"/>
    <col min="34" max="36" style="8807" width="3.7109375" customWidth="1"/>
    <col min="37" max="37" style="8807" width="24.7109375" customWidth="1"/>
    <col min="38" max="40" style="8807" width="3.7109375" customWidth="1"/>
    <col min="41" max="41" style="8807" width="18.8515625" customWidth="1"/>
    <col min="42" max="44" style="8807" width="3.7109375" customWidth="1"/>
    <col min="45" max="45" style="8807" width="18.8515625" customWidth="1"/>
    <col min="46" max="49" style="8807" width="21.7109375" customWidth="1"/>
    <col min="50" max="50" style="8807" width="11.7109375" customWidth="1"/>
    <col min="51" max="51" style="8807" width="3.7109375" customWidth="1"/>
    <col min="52" max="52" style="8807" width="11.7109375" customWidth="1"/>
    <col min="53" max="53" style="8807" width="8.57421875" hidden="1" customWidth="1"/>
    <col min="54" max="54" style="8807" width="4.7109375" customWidth="1"/>
    <col min="55" max="55" style="8807" width="115.7109375" customWidth="1"/>
    <col min="56" max="57" style="8794" width="10.57421875"/>
    <col min="58" max="58" style="8794" width="11.140625" customWidth="1"/>
    <col min="59" max="60" style="8794" width="10.57421875"/>
  </cols>
  <sheetData>
    <row customHeight="1" ht="14.25" hidden="1">
      <c r="W1" s="481"/>
      <c r="Y1" s="481"/>
      <c r="Z1" s="481"/>
      <c r="AW1" s="481"/>
      <c r="AX1" s="481"/>
    </row>
    <row customHeight="1" ht="21" hidden="1">
      <c r="A2" s="1522"/>
      <c r="B2" s="1522"/>
      <c r="C2" s="1522"/>
      <c r="D2" s="1522"/>
      <c r="E2" s="2320">
        <v>1</v>
      </c>
      <c r="F2" s="1522"/>
      <c r="G2" s="1522"/>
      <c r="H2" s="1522"/>
      <c r="I2" s="1522"/>
      <c r="J2" s="1522"/>
      <c r="K2" s="1522"/>
      <c r="L2" s="1523"/>
      <c r="M2" s="1524"/>
      <c r="N2" s="1524"/>
      <c r="O2" s="1524"/>
      <c r="P2" s="1568"/>
      <c r="Q2" s="1027"/>
      <c r="R2" s="509"/>
      <c r="S2" s="1652">
        <f>INDEX(PT_DIFFERENTIATION_NUM_NTAR,MATCH(A2,PT_DIFFERENTIATION_NTAR_ID,0))</f>
      </c>
      <c r="T2" s="452" t="s">
        <v>120</v>
      </c>
      <c r="U2" s="454"/>
      <c r="V2" s="2315"/>
      <c r="W2" s="2315"/>
      <c r="X2" s="2315"/>
      <c r="Y2" s="2315"/>
      <c r="Z2" s="2315"/>
      <c r="AA2" s="2315"/>
      <c r="AB2" s="2315"/>
      <c r="AC2" s="2316"/>
      <c r="AD2" s="2314">
        <f>INDEX(PT_DIFFERENTIATION_NTAR,MATCH(A2,PT_DIFFERENTIATION_NTAR_ID,0))</f>
      </c>
      <c r="AE2" s="2315"/>
      <c r="AF2" s="2315"/>
      <c r="AG2" s="2315"/>
      <c r="AH2" s="2315"/>
      <c r="AI2" s="2315"/>
      <c r="AJ2" s="2315"/>
      <c r="AK2" s="2315"/>
      <c r="AL2" s="2315"/>
      <c r="AM2" s="2315"/>
      <c r="AN2" s="2315"/>
      <c r="AO2" s="2315"/>
      <c r="AP2" s="2315"/>
      <c r="AQ2" s="2315"/>
      <c r="AR2" s="2315"/>
      <c r="AS2" s="2315"/>
      <c r="AT2" s="2315"/>
      <c r="AU2" s="2315"/>
      <c r="AV2" s="2315"/>
      <c r="AW2" s="2315"/>
      <c r="AX2" s="2315"/>
      <c r="AY2" s="2315"/>
      <c r="AZ2" s="2315"/>
      <c r="BA2" s="2315"/>
      <c r="BB2" s="2316"/>
      <c r="BC2" s="1416"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BE2" s="654"/>
      <c r="BF2" s="654" t="str">
        <f>IF(T2="","",T2)</f>
        <v>Наименование тарифа</v>
      </c>
      <c r="BG2" s="654"/>
      <c r="BH2" s="654"/>
    </row>
    <row customHeight="1" ht="21" hidden="1">
      <c r="A3" s="1522"/>
      <c r="B3" s="1522"/>
      <c r="C3" s="1522"/>
      <c r="D3" s="1522"/>
      <c r="E3" s="2321"/>
      <c r="F3" s="2320">
        <v>1</v>
      </c>
      <c r="G3" s="1522"/>
      <c r="H3" s="1522"/>
      <c r="I3" s="1522"/>
      <c r="J3" s="1522"/>
      <c r="K3" s="1522"/>
      <c r="L3" s="1523"/>
      <c r="M3" s="1524"/>
      <c r="N3" s="1524"/>
      <c r="O3" s="1524"/>
      <c r="P3" s="1569"/>
      <c r="Q3" s="1570"/>
      <c r="R3" s="507"/>
      <c r="S3" s="1652">
        <f>INDEX(PT_DIFFERENTIATION_NUM_TER,MATCH(B3,PT_DIFFERENTIATION_TER_ID,0))</f>
      </c>
      <c r="T3" s="462" t="s">
        <v>397</v>
      </c>
      <c r="U3" s="454"/>
      <c r="V3" s="2315"/>
      <c r="W3" s="2315"/>
      <c r="X3" s="2315"/>
      <c r="Y3" s="2315"/>
      <c r="Z3" s="2315"/>
      <c r="AA3" s="2315"/>
      <c r="AB3" s="2315"/>
      <c r="AC3" s="2316"/>
      <c r="AD3" s="2314">
        <f>INDEX(PT_DIFFERENTIATION_TER,MATCH(B3,PT_DIFFERENTIATION_TER_ID,0))</f>
      </c>
      <c r="AE3" s="2315"/>
      <c r="AF3" s="2315"/>
      <c r="AG3" s="2315"/>
      <c r="AH3" s="2315"/>
      <c r="AI3" s="2315"/>
      <c r="AJ3" s="2315"/>
      <c r="AK3" s="2315"/>
      <c r="AL3" s="2315"/>
      <c r="AM3" s="2315"/>
      <c r="AN3" s="2315"/>
      <c r="AO3" s="2315"/>
      <c r="AP3" s="2315"/>
      <c r="AQ3" s="2315"/>
      <c r="AR3" s="2315"/>
      <c r="AS3" s="2315"/>
      <c r="AT3" s="2315"/>
      <c r="AU3" s="2315"/>
      <c r="AV3" s="2315"/>
      <c r="AW3" s="2315"/>
      <c r="AX3" s="2315"/>
      <c r="AY3" s="2315"/>
      <c r="AZ3" s="2315"/>
      <c r="BA3" s="2315"/>
      <c r="BB3" s="2316"/>
      <c r="BC3" s="1416" t="s">
        <v>398</v>
      </c>
      <c r="BE3" s="654"/>
      <c r="BF3" s="654" t="str">
        <f>IF(T3="","",T3)</f>
        <v>Территория действия тарифа</v>
      </c>
      <c r="BG3" s="654"/>
      <c r="BH3" s="654"/>
    </row>
    <row customHeight="1" ht="33.75" hidden="1">
      <c r="A4" s="1522"/>
      <c r="B4" s="1522"/>
      <c r="C4" s="1522"/>
      <c r="D4" s="1522"/>
      <c r="E4" s="2321"/>
      <c r="F4" s="2321"/>
      <c r="G4" s="2320">
        <v>1</v>
      </c>
      <c r="H4" s="1522"/>
      <c r="I4" s="1522"/>
      <c r="J4" s="1522"/>
      <c r="K4" s="1522"/>
      <c r="L4" s="1523"/>
      <c r="M4" s="1524"/>
      <c r="N4" s="1524"/>
      <c r="O4" s="1524"/>
      <c r="P4" s="1571"/>
      <c r="Q4" s="1570"/>
      <c r="R4" s="507"/>
      <c r="S4" s="1652">
        <f>INDEX(PT_DIFFERENTIATION_NUM_CS,MATCH(C4,PT_DIFFERENTIATION_CS_ID,0))</f>
      </c>
      <c r="T4" s="463" t="s">
        <v>528</v>
      </c>
      <c r="U4" s="454"/>
      <c r="V4" s="2315"/>
      <c r="W4" s="2315"/>
      <c r="X4" s="2315"/>
      <c r="Y4" s="2315"/>
      <c r="Z4" s="2315"/>
      <c r="AA4" s="2315"/>
      <c r="AB4" s="2315"/>
      <c r="AC4" s="2316"/>
      <c r="AD4" s="2314">
        <f>INDEX(PT_DIFFERENTIATION_CS,MATCH(C4,PT_DIFFERENTIATION_CS_ID,0))</f>
      </c>
      <c r="AE4" s="2315"/>
      <c r="AF4" s="2315"/>
      <c r="AG4" s="2315"/>
      <c r="AH4" s="2315"/>
      <c r="AI4" s="2315"/>
      <c r="AJ4" s="2315"/>
      <c r="AK4" s="2315"/>
      <c r="AL4" s="2315"/>
      <c r="AM4" s="2315"/>
      <c r="AN4" s="2315"/>
      <c r="AO4" s="2315"/>
      <c r="AP4" s="2315"/>
      <c r="AQ4" s="2315"/>
      <c r="AR4" s="2315"/>
      <c r="AS4" s="2315"/>
      <c r="AT4" s="2315"/>
      <c r="AU4" s="2315"/>
      <c r="AV4" s="2315"/>
      <c r="AW4" s="2315"/>
      <c r="AX4" s="2315"/>
      <c r="AY4" s="2315"/>
      <c r="AZ4" s="2315"/>
      <c r="BA4" s="2315"/>
      <c r="BB4" s="2316"/>
      <c r="BC4" s="1416" t="s">
        <v>529</v>
      </c>
      <c r="BE4" s="654"/>
      <c r="BF4" s="654" t="str">
        <f>IF(T4="","",T4)</f>
        <v>Наименование централизованной системы горячего водоснабжения</v>
      </c>
      <c r="BG4" s="654"/>
      <c r="BH4" s="654"/>
    </row>
    <row s="8794" customFormat="1" customHeight="1" ht="14.25" hidden="1">
      <c r="A5" s="1502"/>
      <c r="B5" s="1502"/>
      <c r="C5" s="1502"/>
      <c r="D5" s="1502"/>
      <c r="E5" s="2321"/>
      <c r="F5" s="2321"/>
      <c r="G5" s="2321"/>
      <c r="H5" s="2320">
        <v>1</v>
      </c>
      <c r="I5" s="1502"/>
      <c r="J5" s="1502"/>
      <c r="K5" s="1502"/>
      <c r="L5" s="1505"/>
      <c r="M5" s="1474"/>
      <c r="N5" s="1474"/>
      <c r="O5" s="1474"/>
      <c r="P5" s="1656"/>
      <c r="Q5" s="1657"/>
      <c r="R5" s="511"/>
      <c r="S5" s="1197"/>
      <c r="T5" s="1658"/>
      <c r="U5" s="1543"/>
      <c r="V5" s="2363"/>
      <c r="W5" s="2363"/>
      <c r="X5" s="2363"/>
      <c r="Y5" s="2363"/>
      <c r="Z5" s="2363"/>
      <c r="AA5" s="2363"/>
      <c r="AB5" s="2363"/>
      <c r="AC5" s="2364"/>
      <c r="AD5" s="2362"/>
      <c r="AE5" s="2363"/>
      <c r="AF5" s="2363"/>
      <c r="AG5" s="2363"/>
      <c r="AH5" s="2363"/>
      <c r="AI5" s="2363"/>
      <c r="AJ5" s="2363"/>
      <c r="AK5" s="2363"/>
      <c r="AL5" s="2363"/>
      <c r="AM5" s="2363"/>
      <c r="AN5" s="2363"/>
      <c r="AO5" s="2363"/>
      <c r="AP5" s="2363"/>
      <c r="AQ5" s="2363"/>
      <c r="AR5" s="2363"/>
      <c r="AS5" s="2363"/>
      <c r="AT5" s="2363"/>
      <c r="AU5" s="2363"/>
      <c r="AV5" s="2363"/>
      <c r="AW5" s="2363"/>
      <c r="AX5" s="2363"/>
      <c r="AY5" s="2363"/>
      <c r="AZ5" s="2363"/>
      <c r="BA5" s="2363"/>
      <c r="BB5" s="2364"/>
      <c r="BC5" s="1544" t="s">
        <v>402</v>
      </c>
      <c r="BE5" s="654"/>
      <c r="BF5" s="654" t="str">
        <f>IF(T5="","",T5)</f>
        <v/>
      </c>
      <c r="BG5" s="654"/>
      <c r="BH5" s="654"/>
    </row>
    <row s="8794" customFormat="1" customHeight="1" ht="14.25" hidden="1">
      <c r="A6" s="1502"/>
      <c r="B6" s="1502"/>
      <c r="C6" s="1502"/>
      <c r="D6" s="1502"/>
      <c r="E6" s="2321"/>
      <c r="F6" s="2321"/>
      <c r="G6" s="2321"/>
      <c r="H6" s="2321"/>
      <c r="I6" s="2322" t="str">
        <f>S5&amp;".1"</f>
        <v>.1</v>
      </c>
      <c r="J6" s="1502"/>
      <c r="K6" s="1502"/>
      <c r="L6" s="1505" t="s">
        <v>403</v>
      </c>
      <c r="M6" s="664"/>
      <c r="N6" s="664"/>
      <c r="O6" s="664"/>
      <c r="P6" s="2324">
        <v>1</v>
      </c>
      <c r="Q6" s="1640"/>
      <c r="R6" s="510"/>
      <c r="S6" s="1197"/>
      <c r="T6" s="1542"/>
      <c r="U6" s="1543"/>
      <c r="V6" s="2363"/>
      <c r="W6" s="2363"/>
      <c r="X6" s="2363"/>
      <c r="Y6" s="2363"/>
      <c r="Z6" s="2363"/>
      <c r="AA6" s="2363"/>
      <c r="AB6" s="2363"/>
      <c r="AC6" s="2364"/>
      <c r="AD6" s="2362"/>
      <c r="AE6" s="2363"/>
      <c r="AF6" s="2363"/>
      <c r="AG6" s="2363"/>
      <c r="AH6" s="2363"/>
      <c r="AI6" s="2363"/>
      <c r="AJ6" s="2363"/>
      <c r="AK6" s="2363"/>
      <c r="AL6" s="2363"/>
      <c r="AM6" s="2363"/>
      <c r="AN6" s="2363"/>
      <c r="AO6" s="2363"/>
      <c r="AP6" s="2363"/>
      <c r="AQ6" s="2363"/>
      <c r="AR6" s="2363"/>
      <c r="AS6" s="2363"/>
      <c r="AT6" s="2363"/>
      <c r="AU6" s="2363"/>
      <c r="AV6" s="2363"/>
      <c r="AW6" s="2363"/>
      <c r="AX6" s="2363"/>
      <c r="AY6" s="2363"/>
      <c r="AZ6" s="2363"/>
      <c r="BA6" s="2363"/>
      <c r="BB6" s="2364"/>
      <c r="BC6" s="1544"/>
      <c r="BE6" s="654"/>
      <c r="BF6" s="654" t="str">
        <f>IF(T6="","",T6)</f>
        <v/>
      </c>
      <c r="BG6" s="654"/>
      <c r="BH6" s="654"/>
    </row>
    <row s="8794" customFormat="1" customHeight="1" ht="14.25" hidden="1">
      <c r="A7" s="1502"/>
      <c r="B7" s="1502"/>
      <c r="C7" s="1502"/>
      <c r="D7" s="1502"/>
      <c r="E7" s="2321"/>
      <c r="F7" s="2321"/>
      <c r="G7" s="2321"/>
      <c r="H7" s="2321"/>
      <c r="I7" s="2323"/>
      <c r="J7" s="2322" t="str">
        <f>S5&amp;".1"</f>
        <v>.1</v>
      </c>
      <c r="K7" s="1502"/>
      <c r="L7" s="1505"/>
      <c r="M7" s="664"/>
      <c r="N7" s="664"/>
      <c r="O7" s="664"/>
      <c r="P7" s="2324"/>
      <c r="Q7" s="2324">
        <v>1</v>
      </c>
      <c r="R7" s="511"/>
      <c r="S7" s="1197"/>
      <c r="T7" s="1558"/>
      <c r="U7" s="1543"/>
      <c r="V7" s="2363"/>
      <c r="W7" s="2363"/>
      <c r="X7" s="2363"/>
      <c r="Y7" s="2363"/>
      <c r="Z7" s="2363"/>
      <c r="AA7" s="2363"/>
      <c r="AB7" s="2363"/>
      <c r="AC7" s="2364"/>
      <c r="AD7" s="2362"/>
      <c r="AE7" s="2363"/>
      <c r="AF7" s="2363"/>
      <c r="AG7" s="2363"/>
      <c r="AH7" s="2363"/>
      <c r="AI7" s="2363"/>
      <c r="AJ7" s="2363"/>
      <c r="AK7" s="2363"/>
      <c r="AL7" s="2363"/>
      <c r="AM7" s="2363"/>
      <c r="AN7" s="2363"/>
      <c r="AO7" s="2363"/>
      <c r="AP7" s="2363"/>
      <c r="AQ7" s="2363"/>
      <c r="AR7" s="2363"/>
      <c r="AS7" s="2363"/>
      <c r="AT7" s="2363"/>
      <c r="AU7" s="2363"/>
      <c r="AV7" s="2363"/>
      <c r="AW7" s="2363"/>
      <c r="AX7" s="2363"/>
      <c r="AY7" s="2363"/>
      <c r="AZ7" s="2363"/>
      <c r="BA7" s="2363"/>
      <c r="BB7" s="2364"/>
      <c r="BC7" s="1544"/>
      <c r="BE7" s="654"/>
      <c r="BF7" s="654" t="str">
        <f>IF(T7="","",T7)</f>
        <v/>
      </c>
      <c r="BG7" s="654"/>
      <c r="BH7" s="654"/>
    </row>
    <row customHeight="1" ht="11.25" hidden="1">
      <c r="A8" s="1522"/>
      <c r="B8" s="1522"/>
      <c r="C8" s="1522"/>
      <c r="D8" s="1522"/>
      <c r="E8" s="2321"/>
      <c r="F8" s="2321"/>
      <c r="G8" s="2321"/>
      <c r="H8" s="2321"/>
      <c r="I8" s="2323"/>
      <c r="J8" s="2323"/>
      <c r="K8" s="2322">
        <f>S4&amp;".1"</f>
      </c>
      <c r="L8" s="1523"/>
      <c r="P8" s="2324"/>
      <c r="Q8" s="2324"/>
      <c r="R8" s="2400">
        <v>1</v>
      </c>
      <c r="S8" s="2397">
        <f>$K8</f>
      </c>
      <c r="T8" s="2417"/>
      <c r="U8" s="454"/>
      <c r="V8" s="905"/>
      <c r="W8" s="1415"/>
      <c r="X8" s="905"/>
      <c r="Y8" s="1415"/>
      <c r="Z8" s="1893"/>
      <c r="AA8" s="1628" t="s">
        <v>64</v>
      </c>
      <c r="AB8" s="1893"/>
      <c r="AC8" s="1628" t="s">
        <v>64</v>
      </c>
      <c r="AD8" s="2258" t="s">
        <v>64</v>
      </c>
      <c r="AE8" s="2393"/>
      <c r="AF8" s="2271">
        <v>1</v>
      </c>
      <c r="AG8" s="2416"/>
      <c r="AH8" s="2195" t="s">
        <v>64</v>
      </c>
      <c r="AI8" s="2393"/>
      <c r="AJ8" s="2271">
        <v>1</v>
      </c>
      <c r="AK8" s="2415" t="s">
        <v>24</v>
      </c>
      <c r="AL8" s="2195" t="s">
        <v>64</v>
      </c>
      <c r="AM8" s="2243"/>
      <c r="AN8" s="2271">
        <v>1</v>
      </c>
      <c r="AO8" s="2420"/>
      <c r="AP8" s="2421" t="s">
        <v>64</v>
      </c>
      <c r="AQ8" s="465"/>
      <c r="AR8" s="1645">
        <v>1</v>
      </c>
      <c r="AS8" s="1651" t="s">
        <v>24</v>
      </c>
      <c r="AT8" s="905"/>
      <c r="AU8" s="1415"/>
      <c r="AV8" s="905"/>
      <c r="AW8" s="1415"/>
      <c r="AX8" s="1893"/>
      <c r="AY8" s="1628" t="s">
        <v>64</v>
      </c>
      <c r="AZ8" s="1893"/>
      <c r="BA8" s="1628" t="s">
        <v>64</v>
      </c>
      <c r="BB8" s="1507"/>
      <c r="BC8" s="2350" t="s">
        <v>499</v>
      </c>
      <c r="BE8" s="654"/>
      <c r="BF8" s="654" t="str">
        <f>IF(T8="","",T8)</f>
        <v/>
      </c>
      <c r="BG8" s="654"/>
      <c r="BH8" s="654"/>
    </row>
    <row customHeight="1" ht="11.25" hidden="1">
      <c r="A9" s="1522"/>
      <c r="B9" s="1522"/>
      <c r="C9" s="1522"/>
      <c r="D9" s="1522"/>
      <c r="E9" s="2321"/>
      <c r="F9" s="2321"/>
      <c r="G9" s="2321"/>
      <c r="H9" s="2321"/>
      <c r="I9" s="2323"/>
      <c r="J9" s="2323"/>
      <c r="K9" s="2322"/>
      <c r="L9" s="1523"/>
      <c r="P9" s="2324"/>
      <c r="Q9" s="2324"/>
      <c r="R9" s="2400"/>
      <c r="S9" s="2398"/>
      <c r="T9" s="2418"/>
      <c r="U9" s="454"/>
      <c r="V9" s="1552"/>
      <c r="W9" s="1655"/>
      <c r="X9" s="1552"/>
      <c r="Y9" s="1655"/>
      <c r="Z9" s="1552"/>
      <c r="AA9" s="1552"/>
      <c r="AB9" s="1552"/>
      <c r="AC9" s="1552"/>
      <c r="AD9" s="2259"/>
      <c r="AE9" s="2393"/>
      <c r="AF9" s="2271"/>
      <c r="AG9" s="2416"/>
      <c r="AH9" s="2195"/>
      <c r="AI9" s="2393"/>
      <c r="AJ9" s="2271"/>
      <c r="AK9" s="2415"/>
      <c r="AL9" s="2195"/>
      <c r="AM9" s="2251"/>
      <c r="AN9" s="2271"/>
      <c r="AO9" s="2420"/>
      <c r="AP9" s="2422"/>
      <c r="AQ9" s="470"/>
      <c r="AR9" s="570"/>
      <c r="AS9" s="570" t="s">
        <v>500</v>
      </c>
      <c r="AT9" s="1552"/>
      <c r="AU9" s="1655"/>
      <c r="AV9" s="1552"/>
      <c r="AW9" s="1655"/>
      <c r="AX9" s="1552"/>
      <c r="AY9" s="1552"/>
      <c r="AZ9" s="1552"/>
      <c r="BA9" s="1552"/>
      <c r="BB9" s="1556"/>
      <c r="BC9" s="2351"/>
      <c r="BE9" s="654"/>
      <c r="BF9" s="654"/>
      <c r="BG9" s="654"/>
      <c r="BH9" s="654"/>
    </row>
    <row customHeight="1" ht="11.25" hidden="1">
      <c r="A10" s="1522"/>
      <c r="B10" s="1522"/>
      <c r="C10" s="1522"/>
      <c r="D10" s="1522"/>
      <c r="E10" s="2321"/>
      <c r="F10" s="2321"/>
      <c r="G10" s="2321"/>
      <c r="H10" s="2321"/>
      <c r="I10" s="2323"/>
      <c r="J10" s="2323"/>
      <c r="K10" s="2322"/>
      <c r="L10" s="1523"/>
      <c r="P10" s="2324"/>
      <c r="Q10" s="2324"/>
      <c r="R10" s="2400"/>
      <c r="S10" s="2398"/>
      <c r="T10" s="2418"/>
      <c r="U10" s="454"/>
      <c r="V10" s="1552"/>
      <c r="W10" s="1655"/>
      <c r="X10" s="1552"/>
      <c r="Y10" s="1655"/>
      <c r="Z10" s="1552"/>
      <c r="AA10" s="1552"/>
      <c r="AB10" s="1552"/>
      <c r="AC10" s="1552"/>
      <c r="AD10" s="2259"/>
      <c r="AE10" s="2393"/>
      <c r="AF10" s="2271"/>
      <c r="AG10" s="2416"/>
      <c r="AH10" s="2195"/>
      <c r="AI10" s="2393"/>
      <c r="AJ10" s="2271"/>
      <c r="AK10" s="2415"/>
      <c r="AL10" s="2195"/>
      <c r="AM10" s="470"/>
      <c r="AN10" s="1659"/>
      <c r="AO10" s="1659" t="s">
        <v>501</v>
      </c>
      <c r="AP10" s="570"/>
      <c r="AQ10" s="570"/>
      <c r="AR10" s="570"/>
      <c r="AS10" s="1552"/>
      <c r="AT10" s="1552"/>
      <c r="AU10" s="1655"/>
      <c r="AV10" s="1552"/>
      <c r="AW10" s="1655"/>
      <c r="AX10" s="1552"/>
      <c r="AY10" s="1552"/>
      <c r="AZ10" s="1552"/>
      <c r="BA10" s="1552"/>
      <c r="BB10" s="1556"/>
      <c r="BC10" s="2351"/>
      <c r="BE10" s="654"/>
      <c r="BF10" s="654"/>
      <c r="BG10" s="654"/>
      <c r="BH10" s="654"/>
    </row>
    <row customHeight="1" ht="11.25" hidden="1">
      <c r="A11" s="1522"/>
      <c r="B11" s="1522"/>
      <c r="C11" s="1522"/>
      <c r="D11" s="1522"/>
      <c r="E11" s="2321"/>
      <c r="F11" s="2321"/>
      <c r="G11" s="2321"/>
      <c r="H11" s="2321"/>
      <c r="I11" s="2323"/>
      <c r="J11" s="2323"/>
      <c r="K11" s="2322"/>
      <c r="L11" s="1523"/>
      <c r="P11" s="2324"/>
      <c r="Q11" s="2324"/>
      <c r="R11" s="2400"/>
      <c r="S11" s="2398"/>
      <c r="T11" s="2418"/>
      <c r="U11" s="454"/>
      <c r="V11" s="1552"/>
      <c r="W11" s="1655"/>
      <c r="X11" s="1552"/>
      <c r="Y11" s="1655"/>
      <c r="Z11" s="1552"/>
      <c r="AA11" s="1552"/>
      <c r="AB11" s="1552"/>
      <c r="AC11" s="1552"/>
      <c r="AD11" s="2259"/>
      <c r="AE11" s="2393"/>
      <c r="AF11" s="2271"/>
      <c r="AG11" s="2416"/>
      <c r="AH11" s="2195"/>
      <c r="AI11" s="448"/>
      <c r="AJ11" s="569"/>
      <c r="AK11" s="467" t="s">
        <v>502</v>
      </c>
      <c r="AL11" s="1552"/>
      <c r="AM11" s="1552"/>
      <c r="AN11" s="1552"/>
      <c r="AO11" s="1552"/>
      <c r="AP11" s="1552"/>
      <c r="AQ11" s="1552"/>
      <c r="AR11" s="1552"/>
      <c r="AS11" s="1552"/>
      <c r="AT11" s="1552"/>
      <c r="AU11" s="1655"/>
      <c r="AV11" s="1552"/>
      <c r="AW11" s="1655"/>
      <c r="AX11" s="1552"/>
      <c r="AY11" s="1552"/>
      <c r="AZ11" s="1552"/>
      <c r="BA11" s="1552"/>
      <c r="BB11" s="1556"/>
      <c r="BC11" s="2351"/>
      <c r="BE11" s="654"/>
      <c r="BF11" s="654"/>
      <c r="BG11" s="654"/>
      <c r="BH11" s="654"/>
    </row>
    <row customHeight="1" ht="11.25" hidden="1">
      <c r="A12" s="1522"/>
      <c r="B12" s="1522"/>
      <c r="C12" s="1522"/>
      <c r="D12" s="1522"/>
      <c r="E12" s="2321"/>
      <c r="F12" s="2321"/>
      <c r="G12" s="2321"/>
      <c r="H12" s="2321"/>
      <c r="I12" s="2323"/>
      <c r="J12" s="2323"/>
      <c r="K12" s="2322"/>
      <c r="L12" s="1523"/>
      <c r="P12" s="2324"/>
      <c r="Q12" s="2324"/>
      <c r="R12" s="2400"/>
      <c r="S12" s="2399"/>
      <c r="T12" s="2419"/>
      <c r="U12" s="454"/>
      <c r="V12" s="1552"/>
      <c r="W12" s="1553" t="str">
        <f>Z8&amp;"-"&amp;AB8</f>
        <v>-</v>
      </c>
      <c r="X12" s="1552"/>
      <c r="Y12" s="1553" t="str">
        <f>AB8&amp;"-"&amp;AD8</f>
        <v>-да</v>
      </c>
      <c r="Z12" s="1552"/>
      <c r="AA12" s="1552"/>
      <c r="AB12" s="1552"/>
      <c r="AC12" s="1552"/>
      <c r="AD12" s="2200"/>
      <c r="AE12" s="466"/>
      <c r="AF12" s="468"/>
      <c r="AG12" s="570" t="s">
        <v>503</v>
      </c>
      <c r="AH12" s="1552"/>
      <c r="AI12" s="1552"/>
      <c r="AJ12" s="1552"/>
      <c r="AK12" s="1552"/>
      <c r="AL12" s="1552"/>
      <c r="AM12" s="1552"/>
      <c r="AN12" s="1552"/>
      <c r="AO12" s="1552"/>
      <c r="AP12" s="1552"/>
      <c r="AQ12" s="1552"/>
      <c r="AR12" s="1552"/>
      <c r="AS12" s="1552"/>
      <c r="AT12" s="1552"/>
      <c r="AU12" s="1553" t="str">
        <f>AX8&amp;"-"&amp;AZ8</f>
        <v>-</v>
      </c>
      <c r="AV12" s="1552"/>
      <c r="AW12" s="1553" t="str">
        <f>AZ8&amp;"-"&amp;BB8</f>
        <v>-</v>
      </c>
      <c r="AX12" s="1552"/>
      <c r="AY12" s="1552"/>
      <c r="AZ12" s="1552"/>
      <c r="BA12" s="1552"/>
      <c r="BB12" s="1555" t="str">
        <f>BE8&amp;"-"&amp;BG8</f>
        <v>-</v>
      </c>
      <c r="BC12" s="2351"/>
      <c r="BE12" s="654"/>
      <c r="BF12" s="654" t="str">
        <f>IF(T12="","",T12)</f>
        <v/>
      </c>
      <c r="BG12" s="654"/>
      <c r="BH12" s="654"/>
    </row>
    <row customHeight="1" ht="11.25" hidden="1">
      <c r="A13" s="1522"/>
      <c r="B13" s="1522"/>
      <c r="C13" s="1522"/>
      <c r="D13" s="1522"/>
      <c r="E13" s="2321"/>
      <c r="F13" s="2321"/>
      <c r="G13" s="2321"/>
      <c r="H13" s="2321"/>
      <c r="I13" s="2323"/>
      <c r="J13" s="2322"/>
      <c r="K13" s="1522"/>
      <c r="L13" s="1523"/>
      <c r="P13" s="2324"/>
      <c r="Q13" s="2324"/>
      <c r="R13" s="510"/>
      <c r="S13" s="1437"/>
      <c r="T13" s="441" t="s">
        <v>465</v>
      </c>
      <c r="U13" s="521"/>
      <c r="V13" s="521"/>
      <c r="W13" s="521"/>
      <c r="X13" s="521"/>
      <c r="Y13" s="521"/>
      <c r="Z13" s="521"/>
      <c r="AA13" s="521"/>
      <c r="AB13" s="521"/>
      <c r="AC13" s="521"/>
      <c r="AD13" s="1664"/>
      <c r="AE13" s="521"/>
      <c r="AF13" s="521"/>
      <c r="AG13" s="521"/>
      <c r="AH13" s="521"/>
      <c r="AI13" s="521"/>
      <c r="AJ13" s="521"/>
      <c r="AK13" s="521"/>
      <c r="AL13" s="521"/>
      <c r="AM13" s="521"/>
      <c r="AN13" s="521"/>
      <c r="AO13" s="521"/>
      <c r="AP13" s="521"/>
      <c r="AQ13" s="521"/>
      <c r="AR13" s="521"/>
      <c r="AS13" s="521"/>
      <c r="AT13" s="521"/>
      <c r="AU13" s="521"/>
      <c r="AV13" s="521"/>
      <c r="AW13" s="521"/>
      <c r="AX13" s="521"/>
      <c r="AY13" s="521"/>
      <c r="AZ13" s="521"/>
      <c r="BA13" s="521"/>
      <c r="BB13" s="478"/>
      <c r="BC13" s="2352"/>
      <c r="BE13" s="654"/>
      <c r="BF13" s="654" t="str">
        <f>IF(T13="","",T13)</f>
        <v>Добавить строку</v>
      </c>
      <c r="BG13" s="654"/>
      <c r="BH13" s="654"/>
    </row>
    <row s="8794" customFormat="1" customHeight="1" ht="14.25" hidden="1">
      <c r="A14" s="1502"/>
      <c r="B14" s="1502"/>
      <c r="C14" s="1502"/>
      <c r="D14" s="1502"/>
      <c r="E14" s="2321"/>
      <c r="F14" s="2321"/>
      <c r="G14" s="2321"/>
      <c r="H14" s="2321"/>
      <c r="I14" s="2322"/>
      <c r="J14" s="1502"/>
      <c r="K14" s="1502"/>
      <c r="L14" s="1505"/>
      <c r="M14" s="664"/>
      <c r="N14" s="664"/>
      <c r="O14" s="664"/>
      <c r="P14" s="2324"/>
      <c r="Q14" s="1640"/>
      <c r="R14" s="510"/>
      <c r="S14" s="1545"/>
      <c r="T14" s="1546"/>
      <c r="U14" s="1547"/>
      <c r="V14" s="1547"/>
      <c r="W14" s="1547"/>
      <c r="X14" s="1547"/>
      <c r="Y14" s="1547"/>
      <c r="Z14" s="1547"/>
      <c r="AA14" s="1547"/>
      <c r="AB14" s="1547"/>
      <c r="AC14" s="1547"/>
      <c r="AD14" s="1547"/>
      <c r="AE14" s="1547"/>
      <c r="AF14" s="1547"/>
      <c r="AG14" s="1547"/>
      <c r="AH14" s="1547"/>
      <c r="AI14" s="1547"/>
      <c r="AJ14" s="1547"/>
      <c r="AK14" s="1547"/>
      <c r="AL14" s="1547"/>
      <c r="AM14" s="1547"/>
      <c r="AN14" s="1547"/>
      <c r="AO14" s="1547"/>
      <c r="AP14" s="1547"/>
      <c r="AQ14" s="1547"/>
      <c r="AR14" s="1547"/>
      <c r="AS14" s="1547"/>
      <c r="AT14" s="1547"/>
      <c r="AU14" s="1547"/>
      <c r="AV14" s="1547"/>
      <c r="AW14" s="1547"/>
      <c r="AX14" s="1547"/>
      <c r="AY14" s="1547"/>
      <c r="AZ14" s="1547"/>
      <c r="BA14" s="1547"/>
      <c r="BB14" s="1547"/>
      <c r="BC14" s="1548"/>
      <c r="BE14" s="654"/>
      <c r="BF14" s="654" t="str">
        <f>IF(T14="","",T14)</f>
        <v/>
      </c>
      <c r="BG14" s="654"/>
      <c r="BH14" s="654"/>
    </row>
    <row s="8794" customFormat="1" customHeight="1" ht="14.25" hidden="1">
      <c r="A15" s="1502"/>
      <c r="B15" s="1502"/>
      <c r="C15" s="1502"/>
      <c r="D15" s="1502"/>
      <c r="E15" s="2321"/>
      <c r="F15" s="2321"/>
      <c r="G15" s="2321"/>
      <c r="H15" s="2320"/>
      <c r="I15" s="1502"/>
      <c r="J15" s="1502"/>
      <c r="K15" s="1502"/>
      <c r="L15" s="1505"/>
      <c r="M15" s="1474"/>
      <c r="N15" s="1474"/>
      <c r="O15" s="672"/>
      <c r="P15" s="534"/>
      <c r="Q15" s="1503"/>
      <c r="R15" s="1560"/>
      <c r="S15" s="1545"/>
      <c r="T15" s="1546"/>
      <c r="U15" s="1547"/>
      <c r="V15" s="1547"/>
      <c r="W15" s="1547"/>
      <c r="X15" s="1547"/>
      <c r="Y15" s="1547"/>
      <c r="Z15" s="1547"/>
      <c r="AA15" s="1547"/>
      <c r="AB15" s="1547"/>
      <c r="AC15" s="1547"/>
      <c r="AD15" s="1547"/>
      <c r="AE15" s="1547"/>
      <c r="AF15" s="1547"/>
      <c r="AG15" s="1547"/>
      <c r="AH15" s="1547"/>
      <c r="AI15" s="1547"/>
      <c r="AJ15" s="1547"/>
      <c r="AK15" s="1547"/>
      <c r="AL15" s="1547"/>
      <c r="AM15" s="1547"/>
      <c r="AN15" s="1547"/>
      <c r="AO15" s="1547"/>
      <c r="AP15" s="1547"/>
      <c r="AQ15" s="1547"/>
      <c r="AR15" s="1547"/>
      <c r="AS15" s="1547"/>
      <c r="AT15" s="1547"/>
      <c r="AU15" s="1547"/>
      <c r="AV15" s="1547"/>
      <c r="AW15" s="1547"/>
      <c r="AX15" s="1547"/>
      <c r="AY15" s="1547"/>
      <c r="AZ15" s="1547"/>
      <c r="BA15" s="1547"/>
      <c r="BB15" s="1547"/>
      <c r="BC15" s="1548"/>
      <c r="BE15" s="654"/>
      <c r="BF15" s="654" t="str">
        <f>IF(T15="","",T15)</f>
        <v/>
      </c>
      <c r="BG15" s="654"/>
      <c r="BH15" s="654"/>
    </row>
    <row s="8702" customFormat="1" customHeight="1" ht="14.25" hidden="1">
      <c r="A16" s="1502"/>
      <c r="B16" s="1502"/>
      <c r="C16" s="1502"/>
      <c r="D16" s="1473"/>
      <c r="E16" s="2321"/>
      <c r="F16" s="2321"/>
      <c r="G16" s="2320"/>
      <c r="H16" s="1473"/>
      <c r="I16" s="1473"/>
      <c r="J16" s="1473"/>
      <c r="K16" s="1473"/>
      <c r="L16" s="1653"/>
      <c r="M16" s="1474"/>
      <c r="N16" s="1474"/>
      <c r="P16" s="1475"/>
      <c r="Q16" s="1476"/>
      <c r="R16" s="1475"/>
      <c r="S16" s="1481"/>
      <c r="T16" s="1484"/>
      <c r="U16" s="1483"/>
      <c r="V16" s="1483"/>
      <c r="W16" s="1483"/>
      <c r="X16" s="1483"/>
      <c r="Y16" s="1483"/>
      <c r="Z16" s="1483"/>
      <c r="AA16" s="1483"/>
      <c r="AB16" s="1483"/>
      <c r="AC16" s="1483"/>
      <c r="AD16" s="1483"/>
      <c r="AE16" s="1483"/>
      <c r="AF16" s="1483"/>
      <c r="AG16" s="1483"/>
      <c r="AH16" s="1483"/>
      <c r="AI16" s="1483"/>
      <c r="AJ16" s="1483"/>
      <c r="AK16" s="1483"/>
      <c r="AL16" s="1483"/>
      <c r="AM16" s="1483"/>
      <c r="AN16" s="1483"/>
      <c r="AO16" s="1483"/>
      <c r="AP16" s="1483"/>
      <c r="AQ16" s="1483"/>
      <c r="AR16" s="1483"/>
      <c r="AS16" s="1483"/>
      <c r="AT16" s="1483"/>
      <c r="AU16" s="1483"/>
      <c r="AV16" s="1483"/>
      <c r="AW16" s="1483"/>
      <c r="AX16" s="1483"/>
      <c r="AY16" s="1483"/>
      <c r="AZ16" s="1483"/>
      <c r="BA16" s="1483"/>
      <c r="BB16" s="1483"/>
      <c r="BC16" s="1483"/>
      <c r="BE16" s="943"/>
      <c r="BF16" s="943" t="str">
        <f>IF(T16="","",T16)</f>
        <v/>
      </c>
      <c r="BG16" s="943"/>
      <c r="BH16" s="943"/>
    </row>
    <row s="8702" customFormat="1" customHeight="1" ht="14.25" hidden="1">
      <c r="A17" s="1502"/>
      <c r="B17" s="1502"/>
      <c r="C17" s="1473"/>
      <c r="D17" s="1473"/>
      <c r="E17" s="2321"/>
      <c r="F17" s="2320"/>
      <c r="G17" s="1473"/>
      <c r="H17" s="1473"/>
      <c r="I17" s="1473"/>
      <c r="J17" s="1473"/>
      <c r="K17" s="1473"/>
      <c r="L17" s="1653"/>
      <c r="M17" s="1480"/>
      <c r="N17" s="1480"/>
      <c r="P17" s="1475"/>
      <c r="Q17" s="1476"/>
      <c r="R17" s="1475"/>
      <c r="S17" s="1481"/>
      <c r="T17" s="1484" t="s">
        <v>251</v>
      </c>
      <c r="U17" s="1483"/>
      <c r="V17" s="1483"/>
      <c r="W17" s="1483"/>
      <c r="X17" s="1483"/>
      <c r="Y17" s="1483"/>
      <c r="Z17" s="1483"/>
      <c r="AA17" s="1483"/>
      <c r="AB17" s="1483"/>
      <c r="AC17" s="1483"/>
      <c r="AD17" s="1483"/>
      <c r="AE17" s="1483"/>
      <c r="AF17" s="1483"/>
      <c r="AG17" s="1483"/>
      <c r="AH17" s="1483"/>
      <c r="AI17" s="1483"/>
      <c r="AJ17" s="1483"/>
      <c r="AK17" s="1483"/>
      <c r="AL17" s="1483"/>
      <c r="AM17" s="1483"/>
      <c r="AN17" s="1483"/>
      <c r="AO17" s="1483"/>
      <c r="AP17" s="1483"/>
      <c r="AQ17" s="1483"/>
      <c r="AR17" s="1483"/>
      <c r="AS17" s="1483"/>
      <c r="AT17" s="1483"/>
      <c r="AU17" s="1483"/>
      <c r="AV17" s="1483"/>
      <c r="AW17" s="1483"/>
      <c r="AX17" s="1483"/>
      <c r="AY17" s="1483"/>
      <c r="AZ17" s="1483"/>
      <c r="BA17" s="1483"/>
      <c r="BB17" s="1483"/>
      <c r="BC17" s="1483"/>
      <c r="BE17" s="943"/>
      <c r="BF17" s="943" t="str">
        <f>IF(T17="","",T17)</f>
        <v>Добавить централизованную систему для дифференциации</v>
      </c>
      <c r="BG17" s="943"/>
      <c r="BH17" s="943"/>
    </row>
    <row s="8794" customFormat="1" customHeight="1" ht="14.25" hidden="1">
      <c r="A18" s="1502"/>
      <c r="B18" s="1502"/>
      <c r="C18" s="1502"/>
      <c r="D18" s="1502"/>
      <c r="E18" s="2320"/>
      <c r="F18" s="1502"/>
      <c r="G18" s="1502"/>
      <c r="H18" s="1502"/>
      <c r="I18" s="1502"/>
      <c r="J18" s="1502"/>
      <c r="K18" s="1502"/>
      <c r="L18" s="1505"/>
      <c r="M18" s="1480"/>
      <c r="N18" s="1480"/>
      <c r="O18" s="672"/>
      <c r="P18" s="534"/>
      <c r="Q18" s="1503"/>
      <c r="R18" s="534"/>
      <c r="S18" s="1481"/>
      <c r="T18" s="1484" t="s">
        <v>252</v>
      </c>
      <c r="U18" s="1483"/>
      <c r="V18" s="1483"/>
      <c r="W18" s="1483"/>
      <c r="X18" s="1483"/>
      <c r="Y18" s="1483"/>
      <c r="Z18" s="1483"/>
      <c r="AA18" s="1483"/>
      <c r="AB18" s="1483"/>
      <c r="AC18" s="1483"/>
      <c r="AD18" s="1483"/>
      <c r="AE18" s="1483"/>
      <c r="AF18" s="1483"/>
      <c r="AG18" s="1483"/>
      <c r="AH18" s="1483"/>
      <c r="AI18" s="1483"/>
      <c r="AJ18" s="1483"/>
      <c r="AK18" s="1483"/>
      <c r="AL18" s="1483"/>
      <c r="AM18" s="1483"/>
      <c r="AN18" s="1483"/>
      <c r="AO18" s="1483"/>
      <c r="AP18" s="1483"/>
      <c r="AQ18" s="1483"/>
      <c r="AR18" s="1483"/>
      <c r="AS18" s="1483"/>
      <c r="AT18" s="1483"/>
      <c r="AU18" s="1483"/>
      <c r="AV18" s="1483"/>
      <c r="AW18" s="1483"/>
      <c r="AX18" s="1483"/>
      <c r="AY18" s="1483"/>
      <c r="AZ18" s="1483"/>
      <c r="BA18" s="1483"/>
      <c r="BB18" s="1483"/>
      <c r="BC18" s="1483"/>
      <c r="BE18" s="654"/>
      <c r="BF18" s="654" t="str">
        <f>IF(T18="","",T18)</f>
        <v>Добавить территорию для дифференциации</v>
      </c>
      <c r="BG18" s="654"/>
      <c r="BH18" s="654"/>
    </row>
    <row customHeight="1" ht="14.25" hidden="1">
      <c r="AC19" s="481"/>
      <c r="BA19" s="481"/>
    </row>
    <row customHeight="1" ht="14.25" hidden="1">
      <c r="AD20" s="1483" t="s">
        <v>54</v>
      </c>
      <c r="AE20" s="1660"/>
      <c r="AF20" s="702">
        <v>1</v>
      </c>
      <c r="AG20" s="1661"/>
      <c r="AH20" s="1483" t="s">
        <v>54</v>
      </c>
      <c r="AI20" s="1660"/>
      <c r="AJ20" s="702">
        <v>1</v>
      </c>
      <c r="AK20" s="1661"/>
      <c r="AL20" s="1483" t="s">
        <v>54</v>
      </c>
      <c r="AM20" s="1662"/>
      <c r="AN20" s="702">
        <v>1</v>
      </c>
      <c r="AO20" s="1663"/>
      <c r="AP20" s="1483" t="s">
        <v>54</v>
      </c>
      <c r="AQ20" s="1662"/>
      <c r="AR20" s="702">
        <v>1</v>
      </c>
      <c r="AS20" s="1663"/>
      <c r="AT20" s="479"/>
      <c r="AU20" s="538"/>
      <c r="AV20" s="479"/>
      <c r="AW20" s="538"/>
      <c r="AX20" s="1895"/>
      <c r="AY20" s="1644" t="s">
        <v>64</v>
      </c>
      <c r="AZ20" s="1895"/>
      <c r="BA20" s="1644" t="s">
        <v>64</v>
      </c>
    </row>
    <row customHeight="1" ht="14.25" hidden="1">
      <c r="BD21" s="650"/>
      <c r="BE21" s="650"/>
      <c r="BF21" s="650"/>
      <c r="BG21" s="650"/>
      <c r="BH21" s="650"/>
    </row>
    <row customHeight="1" ht="14.25" hidden="1">
      <c r="O22" s="1526" t="s">
        <v>415</v>
      </c>
      <c r="Z22" s="1504"/>
      <c r="AB22" s="1504"/>
      <c r="AC22" s="481"/>
      <c r="AX22" s="1504"/>
      <c r="AZ22" s="1504"/>
      <c r="BA22" s="481"/>
      <c r="BD22" s="650"/>
      <c r="BE22" s="650"/>
      <c r="BF22" s="650"/>
      <c r="BG22" s="650"/>
      <c r="BH22" s="650"/>
    </row>
    <row customHeight="1" ht="14.25" hidden="1">
      <c r="AC23" s="481"/>
      <c r="BA23" s="481"/>
      <c r="BD23" s="650"/>
      <c r="BE23" s="650"/>
      <c r="BF23" s="650"/>
      <c r="BG23" s="650"/>
      <c r="BH23" s="650"/>
    </row>
    <row s="8950" customFormat="1" customHeight="1" ht="14.25" hidden="1">
      <c r="M24" s="1667"/>
      <c r="N24" s="1667"/>
      <c r="O24" s="1668" t="s">
        <v>416</v>
      </c>
      <c r="P24" s="1667"/>
      <c r="Q24" s="1669"/>
      <c r="R24" s="1669"/>
      <c r="AA24" s="1666" t="s">
        <v>418</v>
      </c>
      <c r="AC24" s="1666" t="s">
        <v>419</v>
      </c>
      <c r="AD24" s="1666" t="s">
        <v>466</v>
      </c>
      <c r="AH24" s="1666" t="s">
        <v>466</v>
      </c>
      <c r="AK24" s="1666" t="s">
        <v>504</v>
      </c>
      <c r="AL24" s="1666" t="s">
        <v>466</v>
      </c>
      <c r="AP24" s="1666" t="s">
        <v>466</v>
      </c>
      <c r="AY24" s="1666" t="s">
        <v>418</v>
      </c>
      <c r="BA24" s="1666" t="s">
        <v>419</v>
      </c>
      <c r="BD24" s="1670"/>
      <c r="BE24" s="1670"/>
      <c r="BF24" s="1670"/>
      <c r="BG24" s="1670"/>
      <c r="BH24" s="1670"/>
    </row>
    <row customHeight="1" ht="14.25" hidden="1">
      <c r="O25" s="1523"/>
      <c r="BD25" s="650"/>
      <c r="BE25" s="650"/>
      <c r="BF25" s="650"/>
      <c r="BG25" s="650"/>
      <c r="BH25" s="650"/>
    </row>
    <row customHeight="1" ht="14.25" hidden="1">
      <c r="O26" s="1523"/>
      <c r="BD26" s="650"/>
      <c r="BE26" s="650"/>
      <c r="BF26" s="650"/>
      <c r="BG26" s="650"/>
      <c r="BH26" s="650"/>
    </row>
    <row customHeight="1" ht="14.25">
      <c r="Q27" s="445"/>
      <c r="R27" s="530"/>
      <c r="S27" s="1434"/>
      <c r="T27" s="517"/>
      <c r="U27" s="517"/>
      <c r="V27" s="663"/>
      <c r="W27" s="663"/>
      <c r="X27" s="663"/>
      <c r="Y27" s="663"/>
      <c r="Z27" s="663"/>
      <c r="AA27" s="663"/>
      <c r="AB27" s="663"/>
      <c r="AC27" s="663"/>
      <c r="AD27" s="663"/>
      <c r="AE27" s="663"/>
      <c r="AF27" s="663"/>
      <c r="AG27" s="663"/>
      <c r="AH27" s="663"/>
      <c r="AI27" s="663"/>
      <c r="AJ27" s="663"/>
      <c r="AK27" s="663"/>
      <c r="AL27" s="663"/>
      <c r="AM27" s="663"/>
      <c r="AN27" s="663"/>
      <c r="AO27" s="663"/>
      <c r="AP27" s="663"/>
      <c r="AQ27" s="663"/>
      <c r="AR27" s="663"/>
      <c r="AS27" s="663"/>
      <c r="AT27" s="663"/>
      <c r="AU27" s="663"/>
      <c r="AV27" s="663"/>
      <c r="AW27" s="663"/>
      <c r="AX27" s="663"/>
      <c r="AY27" s="663"/>
      <c r="AZ27" s="663"/>
      <c r="BA27" s="663"/>
    </row>
    <row customHeight="1" ht="14.25">
      <c r="Q28" s="445"/>
      <c r="R28" s="530"/>
      <c r="S28" s="2353" t="str">
        <f>IF(TEMPLATE_GROUP="P",PT_P_FORM_HOTVSNA_5_NAME_FORM,PT_R_FORM_HOTVSNA_17_NAME_FORM)</f>
        <v>Форма 3. Информация об установленных тарифах на подключение (технологическое присоединение) к централизованной системе горячего водоснабжения</v>
      </c>
      <c r="T28" s="2353"/>
      <c r="U28" s="2353"/>
      <c r="V28" s="2353"/>
      <c r="W28" s="2353"/>
      <c r="X28" s="2353"/>
      <c r="Y28" s="2353"/>
      <c r="Z28" s="2353"/>
      <c r="AA28" s="2353"/>
      <c r="AB28" s="2353"/>
      <c r="AC28" s="2353"/>
      <c r="AD28" s="2353"/>
      <c r="AE28" s="2353"/>
      <c r="AF28" s="2353"/>
      <c r="AG28" s="2353"/>
      <c r="AH28" s="2353"/>
      <c r="AI28" s="2353"/>
      <c r="AJ28" s="2353"/>
      <c r="AK28" s="2353"/>
      <c r="AL28" s="2353"/>
      <c r="AM28" s="2353"/>
      <c r="AN28" s="2353"/>
      <c r="AO28" s="2353"/>
      <c r="AP28" s="2353"/>
      <c r="AQ28" s="2353"/>
      <c r="AR28" s="2353"/>
      <c r="AS28" s="2353"/>
      <c r="AT28" s="2353"/>
      <c r="AU28" s="2353"/>
      <c r="AV28" s="2353"/>
      <c r="AW28" s="2353"/>
      <c r="AX28" s="2353"/>
      <c r="AY28" s="2353"/>
      <c r="AZ28" s="2353"/>
      <c r="BA28" s="1401"/>
    </row>
    <row customHeight="1" ht="14.25">
      <c r="Q29" s="445"/>
      <c r="R29" s="530"/>
      <c r="S29" s="2354" t="str">
        <f>IF(org=0,"Не определено",org)</f>
        <v>АО "Теплокоммунэнерго"</v>
      </c>
      <c r="T29" s="2354"/>
      <c r="U29" s="2354"/>
      <c r="V29" s="2354"/>
      <c r="W29" s="2354"/>
      <c r="X29" s="2354"/>
      <c r="Y29" s="2354"/>
      <c r="Z29" s="2354"/>
      <c r="AA29" s="2354"/>
      <c r="AB29" s="2354"/>
      <c r="AC29" s="2354"/>
      <c r="AD29" s="2354"/>
      <c r="AE29" s="2354"/>
      <c r="AF29" s="2354"/>
      <c r="AG29" s="2354"/>
      <c r="AH29" s="2354"/>
      <c r="AI29" s="2354"/>
      <c r="AJ29" s="2354"/>
      <c r="AK29" s="2354"/>
      <c r="AL29" s="2354"/>
      <c r="AM29" s="2354"/>
      <c r="AN29" s="2354"/>
      <c r="AO29" s="2354"/>
      <c r="AP29" s="2354"/>
      <c r="AQ29" s="2354"/>
      <c r="AR29" s="2354"/>
      <c r="AS29" s="2354"/>
      <c r="AT29" s="2354"/>
      <c r="AU29" s="2354"/>
      <c r="AV29" s="2354"/>
      <c r="AW29" s="2354"/>
      <c r="AX29" s="2354"/>
      <c r="AY29" s="2354"/>
      <c r="AZ29" s="2354"/>
      <c r="BA29" s="1401"/>
    </row>
    <row customHeight="1" ht="14.25">
      <c r="Q30" s="445"/>
      <c r="R30" s="530"/>
      <c r="S30" s="1434"/>
      <c r="T30" s="517"/>
      <c r="U30" s="517"/>
      <c r="V30" s="476"/>
      <c r="W30" s="476"/>
      <c r="X30" s="476"/>
      <c r="Y30" s="476"/>
      <c r="Z30" s="476"/>
      <c r="AA30" s="476"/>
      <c r="AB30" s="476"/>
      <c r="AC30" s="476"/>
      <c r="AD30" s="476"/>
      <c r="AE30" s="476"/>
      <c r="AF30" s="476"/>
      <c r="AG30" s="476"/>
      <c r="AH30" s="476"/>
      <c r="AI30" s="476"/>
      <c r="AJ30" s="476"/>
      <c r="AK30" s="476"/>
      <c r="AL30" s="476"/>
      <c r="AM30" s="476"/>
      <c r="AN30" s="476"/>
      <c r="AO30" s="476"/>
      <c r="AP30" s="476"/>
      <c r="AQ30" s="476"/>
      <c r="AR30" s="476"/>
      <c r="AS30" s="476"/>
      <c r="AT30" s="476"/>
      <c r="AU30" s="476"/>
      <c r="AV30" s="476"/>
      <c r="AW30" s="476"/>
      <c r="AX30" s="476"/>
      <c r="AY30" s="476"/>
      <c r="AZ30" s="476"/>
      <c r="BA30" s="476"/>
      <c r="BB30" s="663"/>
    </row>
    <row s="8735" customFormat="1" customHeight="1" ht="25.5">
      <c r="A31" s="1527"/>
      <c r="B31" s="1527"/>
      <c r="C31" s="1527"/>
      <c r="D31" s="1527"/>
      <c r="E31" s="1527"/>
      <c r="F31" s="1527"/>
      <c r="G31" s="1527"/>
      <c r="H31" s="1527"/>
      <c r="I31" s="1527"/>
      <c r="J31" s="1527"/>
      <c r="K31" s="1527"/>
      <c r="L31" s="1528"/>
      <c r="M31" s="1527"/>
      <c r="N31" s="1527"/>
      <c r="O31" s="1527"/>
      <c r="P31" s="1527"/>
      <c r="Q31" s="1527"/>
      <c r="S31" s="2311" t="s">
        <v>38</v>
      </c>
      <c r="T31" s="2311"/>
      <c r="U31" s="1531"/>
      <c r="V31" s="2313" t="str">
        <f>IF(TITLE_NAME_OR_PR_CHANGE="",IF(TITLE_NAME_OR_PR="","",TITLE_NAME_OR_PR),TITLE_NAME_OR_PR_CHANGE)</f>
        <v>Региональная служба по тарифам Ростовской области</v>
      </c>
      <c r="W31" s="2313"/>
      <c r="X31" s="2313"/>
      <c r="Y31" s="2313"/>
      <c r="Z31" s="2313"/>
      <c r="AA31" s="2313"/>
      <c r="AB31" s="2313"/>
      <c r="AC31" s="480"/>
      <c r="AD31" s="2313" t="str">
        <f>IF(TITLE_NAME_OR_PR_CHANGE="",IF(TITLE_NAME_OR_PR="","",TITLE_NAME_OR_PR),TITLE_NAME_OR_PR_CHANGE)</f>
        <v>Региональная служба по тарифам Ростовской области</v>
      </c>
      <c r="AE31" s="2313"/>
      <c r="AF31" s="2313"/>
      <c r="AG31" s="2313"/>
      <c r="AH31" s="2313"/>
      <c r="AI31" s="2313"/>
      <c r="AJ31" s="2313"/>
      <c r="AK31" s="2313"/>
      <c r="AL31" s="2313"/>
      <c r="AM31" s="2313"/>
      <c r="AN31" s="2313"/>
      <c r="AO31" s="2313"/>
      <c r="AP31" s="2313"/>
      <c r="AQ31" s="2313"/>
      <c r="AR31" s="2313"/>
      <c r="AS31" s="2313"/>
      <c r="AT31" s="2313"/>
      <c r="AU31" s="2313"/>
      <c r="AV31" s="2313"/>
      <c r="AW31" s="2313"/>
      <c r="AX31" s="2313"/>
      <c r="AY31" s="2313"/>
      <c r="AZ31" s="2313"/>
      <c r="BA31" s="480"/>
      <c r="BB31" s="480"/>
      <c r="BC31" s="434"/>
      <c r="BD31" s="522"/>
      <c r="BE31" s="522"/>
      <c r="BF31" s="522"/>
      <c r="BG31" s="522"/>
      <c r="BH31" s="522"/>
    </row>
    <row s="8735" customFormat="1" customHeight="1" ht="18.75">
      <c r="A32" s="1527"/>
      <c r="B32" s="1527"/>
      <c r="C32" s="1527"/>
      <c r="D32" s="1527"/>
      <c r="E32" s="1527"/>
      <c r="F32" s="1527"/>
      <c r="G32" s="1527"/>
      <c r="H32" s="1527"/>
      <c r="I32" s="1527"/>
      <c r="J32" s="1527"/>
      <c r="K32" s="1527"/>
      <c r="L32" s="1528"/>
      <c r="M32" s="1527"/>
      <c r="N32" s="1527"/>
      <c r="O32" s="1527"/>
      <c r="P32" s="1527"/>
      <c r="Q32" s="1527"/>
      <c r="S32" s="2311" t="s">
        <v>421</v>
      </c>
      <c r="T32" s="2311"/>
      <c r="U32" s="1531"/>
      <c r="V32" s="2312" t="str">
        <f>IF(TITLE_DATE_PR_CHANGE="",IF(TITLE_DATE_PR="","",TITLE_DATE_PR),TITLE_DATE_PR_CHANGE)</f>
        <v>45279</v>
      </c>
      <c r="W32" s="2312"/>
      <c r="X32" s="2312"/>
      <c r="Y32" s="2312"/>
      <c r="Z32" s="2312"/>
      <c r="AA32" s="2312"/>
      <c r="AB32" s="2312"/>
      <c r="AC32" s="480"/>
      <c r="AD32" s="2312" t="str">
        <f>IF(TITLE_DATE_PR_CHANGE="",IF(TITLE_DATE_PR="","",TITLE_DATE_PR),TITLE_DATE_PR_CHANGE)</f>
        <v>45279</v>
      </c>
      <c r="AE32" s="2312"/>
      <c r="AF32" s="2312"/>
      <c r="AG32" s="2312"/>
      <c r="AH32" s="2312"/>
      <c r="AI32" s="2312"/>
      <c r="AJ32" s="2312"/>
      <c r="AK32" s="2312"/>
      <c r="AL32" s="2312"/>
      <c r="AM32" s="2312"/>
      <c r="AN32" s="2312"/>
      <c r="AO32" s="2312"/>
      <c r="AP32" s="2312"/>
      <c r="AQ32" s="2312"/>
      <c r="AR32" s="2312"/>
      <c r="AS32" s="2312"/>
      <c r="AT32" s="2312"/>
      <c r="AU32" s="2312"/>
      <c r="AV32" s="2312"/>
      <c r="AW32" s="2312"/>
      <c r="AX32" s="2312"/>
      <c r="AY32" s="2312"/>
      <c r="AZ32" s="2312"/>
      <c r="BA32" s="480"/>
      <c r="BB32" s="480"/>
      <c r="BC32" s="434"/>
      <c r="BD32" s="522"/>
      <c r="BE32" s="522"/>
      <c r="BF32" s="522"/>
      <c r="BG32" s="522"/>
      <c r="BH32" s="522"/>
    </row>
    <row s="8735" customFormat="1" customHeight="1" ht="18.75">
      <c r="A33" s="1527"/>
      <c r="B33" s="1527"/>
      <c r="C33" s="1527"/>
      <c r="D33" s="1527"/>
      <c r="E33" s="1527"/>
      <c r="F33" s="1527"/>
      <c r="G33" s="1527"/>
      <c r="H33" s="1527"/>
      <c r="I33" s="1527"/>
      <c r="J33" s="1527"/>
      <c r="K33" s="1527"/>
      <c r="L33" s="1528"/>
      <c r="M33" s="1527"/>
      <c r="N33" s="1527"/>
      <c r="O33" s="1527"/>
      <c r="P33" s="1527"/>
      <c r="Q33" s="1527"/>
      <c r="S33" s="2311" t="s">
        <v>422</v>
      </c>
      <c r="T33" s="2311"/>
      <c r="U33" s="1531"/>
      <c r="V33" s="2313" t="str">
        <f>IF(TITLE_NUMBER_PR_CHANGE="",IF(TITLE_NUMBER_PR="","",TITLE_NUMBER_PR),TITLE_NUMBER_PR_CHANGE)</f>
        <v>877</v>
      </c>
      <c r="W33" s="2313"/>
      <c r="X33" s="2313"/>
      <c r="Y33" s="2313"/>
      <c r="Z33" s="2313"/>
      <c r="AA33" s="2313"/>
      <c r="AB33" s="2313"/>
      <c r="AC33" s="480"/>
      <c r="AD33" s="2313" t="str">
        <f>IF(TITLE_NUMBER_PR_CHANGE="",IF(TITLE_NUMBER_PR="","",TITLE_NUMBER_PR),TITLE_NUMBER_PR_CHANGE)</f>
        <v>877</v>
      </c>
      <c r="AE33" s="2313"/>
      <c r="AF33" s="2313"/>
      <c r="AG33" s="2313"/>
      <c r="AH33" s="2313"/>
      <c r="AI33" s="2313"/>
      <c r="AJ33" s="2313"/>
      <c r="AK33" s="2313"/>
      <c r="AL33" s="2313"/>
      <c r="AM33" s="2313"/>
      <c r="AN33" s="2313"/>
      <c r="AO33" s="2313"/>
      <c r="AP33" s="2313"/>
      <c r="AQ33" s="2313"/>
      <c r="AR33" s="2313"/>
      <c r="AS33" s="2313"/>
      <c r="AT33" s="2313"/>
      <c r="AU33" s="2313"/>
      <c r="AV33" s="2313"/>
      <c r="AW33" s="2313"/>
      <c r="AX33" s="2313"/>
      <c r="AY33" s="2313"/>
      <c r="AZ33" s="2313"/>
      <c r="BA33" s="480"/>
      <c r="BB33" s="480"/>
      <c r="BC33" s="434"/>
      <c r="BD33" s="522"/>
      <c r="BE33" s="522"/>
      <c r="BF33" s="522"/>
      <c r="BG33" s="522"/>
      <c r="BH33" s="522"/>
    </row>
    <row s="8735" customFormat="1" customHeight="1" ht="18.75">
      <c r="A34" s="1527"/>
      <c r="B34" s="1527"/>
      <c r="C34" s="1527"/>
      <c r="D34" s="1527"/>
      <c r="E34" s="1527"/>
      <c r="F34" s="1527"/>
      <c r="G34" s="1527"/>
      <c r="H34" s="1527"/>
      <c r="I34" s="1527"/>
      <c r="J34" s="1527"/>
      <c r="K34" s="1527"/>
      <c r="L34" s="1528"/>
      <c r="M34" s="1527"/>
      <c r="N34" s="1527"/>
      <c r="O34" s="1527"/>
      <c r="P34" s="1527"/>
      <c r="Q34" s="1527"/>
      <c r="S34" s="2311" t="s">
        <v>40</v>
      </c>
      <c r="T34" s="2311"/>
      <c r="U34" s="1531"/>
      <c r="V34" s="2313" t="str">
        <f>IF(TITLE_IST_PUB_CHANGE="",IF(TITLE_IST_PUB="","",TITLE_IST_PUB),TITLE_IST_PUB_CHANGE)</f>
        <v>Официальный портал правовой информации Ростовской области</v>
      </c>
      <c r="W34" s="2313"/>
      <c r="X34" s="2313"/>
      <c r="Y34" s="2313"/>
      <c r="Z34" s="2313"/>
      <c r="AA34" s="2313"/>
      <c r="AB34" s="2313"/>
      <c r="AC34" s="480"/>
      <c r="AD34" s="2313" t="str">
        <f>IF(TITLE_IST_PUB_CHANGE="",IF(TITLE_IST_PUB="","",TITLE_IST_PUB),TITLE_IST_PUB_CHANGE)</f>
        <v>Официальный портал правовой информации Ростовской области</v>
      </c>
      <c r="AE34" s="2313"/>
      <c r="AF34" s="2313"/>
      <c r="AG34" s="2313"/>
      <c r="AH34" s="2313"/>
      <c r="AI34" s="2313"/>
      <c r="AJ34" s="2313"/>
      <c r="AK34" s="2313"/>
      <c r="AL34" s="2313"/>
      <c r="AM34" s="2313"/>
      <c r="AN34" s="2313"/>
      <c r="AO34" s="2313"/>
      <c r="AP34" s="2313"/>
      <c r="AQ34" s="2313"/>
      <c r="AR34" s="2313"/>
      <c r="AS34" s="2313"/>
      <c r="AT34" s="2313"/>
      <c r="AU34" s="2313"/>
      <c r="AV34" s="2313"/>
      <c r="AW34" s="2313"/>
      <c r="AX34" s="2313"/>
      <c r="AY34" s="2313"/>
      <c r="AZ34" s="2313"/>
      <c r="BA34" s="480"/>
      <c r="BB34" s="480"/>
      <c r="BC34" s="434"/>
      <c r="BD34" s="522"/>
      <c r="BE34" s="522"/>
      <c r="BF34" s="522"/>
      <c r="BG34" s="522"/>
      <c r="BH34" s="522"/>
    </row>
    <row customHeight="1" ht="14.25" hidden="1">
      <c r="Q35" s="445"/>
      <c r="R35" s="530"/>
      <c r="S35" s="1434"/>
      <c r="T35" s="517"/>
      <c r="U35" s="517"/>
      <c r="V35" s="476"/>
      <c r="W35" s="476"/>
      <c r="X35" s="476"/>
      <c r="Y35" s="476"/>
      <c r="Z35" s="476"/>
      <c r="AA35" s="476"/>
      <c r="AB35" s="476"/>
      <c r="AC35" s="476"/>
      <c r="AD35" s="476"/>
      <c r="AE35" s="476"/>
      <c r="AF35" s="476"/>
      <c r="AG35" s="476"/>
      <c r="AH35" s="476"/>
      <c r="AI35" s="476"/>
      <c r="AJ35" s="476"/>
      <c r="AK35" s="476"/>
      <c r="AL35" s="476"/>
      <c r="AM35" s="476"/>
      <c r="AN35" s="476"/>
      <c r="AO35" s="476"/>
      <c r="AP35" s="476"/>
      <c r="AQ35" s="476"/>
      <c r="AR35" s="476"/>
      <c r="AS35" s="476"/>
      <c r="AT35" s="476"/>
      <c r="AU35" s="476"/>
      <c r="AV35" s="476"/>
      <c r="AW35" s="476"/>
      <c r="AX35" s="476"/>
      <c r="AY35" s="476"/>
      <c r="AZ35" s="476"/>
      <c r="BA35" s="476"/>
      <c r="BB35" s="663"/>
    </row>
    <row s="8735" customFormat="1" customHeight="1" ht="18.75" hidden="1">
      <c r="A36" s="1527"/>
      <c r="B36" s="1527"/>
      <c r="C36" s="1527"/>
      <c r="D36" s="1527"/>
      <c r="E36" s="1527"/>
      <c r="F36" s="1527"/>
      <c r="G36" s="1527"/>
      <c r="H36" s="1527"/>
      <c r="I36" s="1527"/>
      <c r="J36" s="1527"/>
      <c r="K36" s="1527"/>
      <c r="L36" s="1528"/>
      <c r="M36" s="1527"/>
      <c r="N36" s="1527"/>
      <c r="O36" s="1527"/>
      <c r="P36" s="1527"/>
      <c r="Q36" s="1527"/>
      <c r="S36" s="2311" t="s">
        <v>421</v>
      </c>
      <c r="T36" s="2311"/>
      <c r="U36" s="1531"/>
      <c r="V36" s="2312" t="str">
        <f>IF(TITLE_DATE_PR_CHANGE="",IF(TITLE_DATE_PR="","",TITLE_DATE_PR),TITLE_DATE_PR_CHANGE)</f>
        <v>45279</v>
      </c>
      <c r="W36" s="2312"/>
      <c r="X36" s="2312"/>
      <c r="Y36" s="2312"/>
      <c r="Z36" s="2312"/>
      <c r="AA36" s="2312"/>
      <c r="AB36" s="2312"/>
      <c r="AC36" s="480"/>
      <c r="AD36" s="2312" t="str">
        <f>IF(TITLE_DATE_PR_CHANGE="",IF(TITLE_DATE_PR="","",TITLE_DATE_PR),TITLE_DATE_PR_CHANGE)</f>
        <v>45279</v>
      </c>
      <c r="AE36" s="2312"/>
      <c r="AF36" s="2312"/>
      <c r="AG36" s="2312"/>
      <c r="AH36" s="2312"/>
      <c r="AI36" s="2312"/>
      <c r="AJ36" s="2312"/>
      <c r="AK36" s="2312"/>
      <c r="AL36" s="2312"/>
      <c r="AM36" s="2312"/>
      <c r="AN36" s="2312"/>
      <c r="AO36" s="2312"/>
      <c r="AP36" s="2312"/>
      <c r="AQ36" s="2312"/>
      <c r="AR36" s="2312"/>
      <c r="AS36" s="2312"/>
      <c r="AT36" s="2312"/>
      <c r="AU36" s="2312"/>
      <c r="AV36" s="2312"/>
      <c r="AW36" s="2312"/>
      <c r="AX36" s="2312"/>
      <c r="AY36" s="2312"/>
      <c r="AZ36" s="2312"/>
      <c r="BA36" s="480"/>
      <c r="BB36" s="480"/>
      <c r="BC36" s="434"/>
      <c r="BD36" s="522"/>
      <c r="BE36" s="522"/>
      <c r="BF36" s="522"/>
      <c r="BG36" s="522"/>
      <c r="BH36" s="522"/>
    </row>
    <row s="8735" customFormat="1" customHeight="1" ht="18.75" hidden="1">
      <c r="A37" s="1527"/>
      <c r="B37" s="1527"/>
      <c r="C37" s="1527"/>
      <c r="D37" s="1527"/>
      <c r="E37" s="1527"/>
      <c r="F37" s="1527"/>
      <c r="G37" s="1527"/>
      <c r="H37" s="1527"/>
      <c r="I37" s="1527"/>
      <c r="J37" s="1527"/>
      <c r="K37" s="1527"/>
      <c r="L37" s="1528"/>
      <c r="M37" s="1527"/>
      <c r="N37" s="1527"/>
      <c r="O37" s="1527"/>
      <c r="P37" s="1527"/>
      <c r="Q37" s="1527"/>
      <c r="S37" s="2311" t="s">
        <v>422</v>
      </c>
      <c r="T37" s="2311"/>
      <c r="U37" s="1531"/>
      <c r="V37" s="2313" t="str">
        <f>IF(TITLE_NUMBER_PR_CHANGE="",IF(TITLE_NUMBER_PR="","",TITLE_NUMBER_PR),TITLE_NUMBER_PR_CHANGE)</f>
        <v>877</v>
      </c>
      <c r="W37" s="2313"/>
      <c r="X37" s="2313"/>
      <c r="Y37" s="2313"/>
      <c r="Z37" s="2313"/>
      <c r="AA37" s="2313"/>
      <c r="AB37" s="2313"/>
      <c r="AC37" s="480"/>
      <c r="AD37" s="2313" t="str">
        <f>IF(TITLE_NUMBER_PR_CHANGE="",IF(TITLE_NUMBER_PR="","",TITLE_NUMBER_PR),TITLE_NUMBER_PR_CHANGE)</f>
        <v>877</v>
      </c>
      <c r="AE37" s="2313"/>
      <c r="AF37" s="2313"/>
      <c r="AG37" s="2313"/>
      <c r="AH37" s="2313"/>
      <c r="AI37" s="2313"/>
      <c r="AJ37" s="2313"/>
      <c r="AK37" s="2313"/>
      <c r="AL37" s="2313"/>
      <c r="AM37" s="2313"/>
      <c r="AN37" s="2313"/>
      <c r="AO37" s="2313"/>
      <c r="AP37" s="2313"/>
      <c r="AQ37" s="2313"/>
      <c r="AR37" s="2313"/>
      <c r="AS37" s="2313"/>
      <c r="AT37" s="2313"/>
      <c r="AU37" s="2313"/>
      <c r="AV37" s="2313"/>
      <c r="AW37" s="2313"/>
      <c r="AX37" s="2313"/>
      <c r="AY37" s="2313"/>
      <c r="AZ37" s="2313"/>
      <c r="BA37" s="480"/>
      <c r="BB37" s="480"/>
      <c r="BC37" s="434"/>
      <c r="BD37" s="522"/>
      <c r="BE37" s="522"/>
      <c r="BF37" s="522"/>
      <c r="BG37" s="522"/>
      <c r="BH37" s="522"/>
    </row>
    <row s="8735" customFormat="1" customHeight="1" ht="0">
      <c r="A38" s="1527"/>
      <c r="B38" s="1527"/>
      <c r="C38" s="1527"/>
      <c r="D38" s="1527"/>
      <c r="E38" s="1527"/>
      <c r="F38" s="1527"/>
      <c r="G38" s="1527"/>
      <c r="H38" s="1527"/>
      <c r="I38" s="1527"/>
      <c r="J38" s="1527"/>
      <c r="K38" s="1527"/>
      <c r="L38" s="1528"/>
      <c r="M38" s="1527"/>
      <c r="N38" s="1527"/>
      <c r="O38" s="1527"/>
      <c r="P38" s="1527"/>
      <c r="Q38" s="1527"/>
      <c r="S38" s="477"/>
      <c r="T38" s="477"/>
      <c r="U38" s="1647"/>
      <c r="V38" s="480"/>
      <c r="W38" s="480"/>
      <c r="X38" s="480"/>
      <c r="Y38" s="480"/>
      <c r="Z38" s="480"/>
      <c r="AA38" s="480"/>
      <c r="AB38" s="480"/>
      <c r="AC38" s="432" t="s">
        <v>425</v>
      </c>
      <c r="AD38" s="480"/>
      <c r="AE38" s="480"/>
      <c r="AF38" s="480"/>
      <c r="AG38" s="480"/>
      <c r="AH38" s="480"/>
      <c r="AI38" s="480"/>
      <c r="AJ38" s="480"/>
      <c r="AK38" s="480"/>
      <c r="AL38" s="480"/>
      <c r="AM38" s="480"/>
      <c r="AN38" s="480"/>
      <c r="AO38" s="480"/>
      <c r="AP38" s="480"/>
      <c r="AQ38" s="480"/>
      <c r="AR38" s="480"/>
      <c r="AS38" s="480"/>
      <c r="AT38" s="480"/>
      <c r="AU38" s="480"/>
      <c r="AV38" s="480"/>
      <c r="AW38" s="480"/>
      <c r="AX38" s="480"/>
      <c r="AY38" s="480"/>
      <c r="AZ38" s="480"/>
      <c r="BA38" s="432" t="s">
        <v>425</v>
      </c>
      <c r="BD38" s="522"/>
      <c r="BE38" s="522"/>
      <c r="BF38" s="522"/>
      <c r="BG38" s="522"/>
      <c r="BH38" s="522"/>
    </row>
    <row customHeight="1" ht="14.25">
      <c r="Q39" s="445"/>
      <c r="R39" s="530"/>
      <c r="S39" s="1434"/>
      <c r="T39" s="517"/>
      <c r="U39" s="1402"/>
      <c r="V39" s="2337"/>
      <c r="W39" s="2337"/>
      <c r="X39" s="2337"/>
      <c r="Y39" s="2337"/>
      <c r="Z39" s="2337"/>
      <c r="AA39" s="2337"/>
      <c r="AB39" s="2337"/>
      <c r="AC39" s="2337"/>
      <c r="AD39" s="2337"/>
      <c r="AE39" s="2337"/>
      <c r="AF39" s="2337"/>
      <c r="AG39" s="2337"/>
      <c r="AH39" s="2337"/>
      <c r="AI39" s="2337"/>
      <c r="AJ39" s="2337"/>
      <c r="AK39" s="2337"/>
      <c r="AL39" s="2337"/>
      <c r="AM39" s="2337"/>
      <c r="AN39" s="2337"/>
      <c r="AO39" s="2337"/>
      <c r="AP39" s="2337"/>
      <c r="AQ39" s="2337"/>
      <c r="AR39" s="2337"/>
      <c r="AS39" s="2337"/>
      <c r="AT39" s="2337"/>
      <c r="AU39" s="2337"/>
      <c r="AV39" s="2337"/>
      <c r="AW39" s="2337"/>
      <c r="AX39" s="2337"/>
      <c r="AY39" s="2337"/>
      <c r="AZ39" s="2337"/>
      <c r="BA39" s="2337"/>
    </row>
    <row customHeight="1" ht="14.25">
      <c r="Q40" s="445"/>
      <c r="R40" s="530"/>
      <c r="S40" s="2185" t="s">
        <v>300</v>
      </c>
      <c r="T40" s="2185"/>
      <c r="U40" s="2185"/>
      <c r="V40" s="2185"/>
      <c r="W40" s="2185"/>
      <c r="X40" s="2185"/>
      <c r="Y40" s="2185"/>
      <c r="Z40" s="2185"/>
      <c r="AA40" s="2185"/>
      <c r="AB40" s="2185"/>
      <c r="AC40" s="2185"/>
      <c r="AD40" s="2185"/>
      <c r="AE40" s="2185"/>
      <c r="AF40" s="2185"/>
      <c r="AG40" s="2185"/>
      <c r="AH40" s="2185"/>
      <c r="AI40" s="2185"/>
      <c r="AJ40" s="2185"/>
      <c r="AK40" s="2185"/>
      <c r="AL40" s="2185"/>
      <c r="AM40" s="2185"/>
      <c r="AN40" s="2185"/>
      <c r="AO40" s="2185"/>
      <c r="AP40" s="2185"/>
      <c r="AQ40" s="2185"/>
      <c r="AR40" s="2185"/>
      <c r="AS40" s="2185"/>
      <c r="AT40" s="2185"/>
      <c r="AU40" s="2185"/>
      <c r="AV40" s="2185"/>
      <c r="AW40" s="2185"/>
      <c r="AX40" s="2185"/>
      <c r="AY40" s="2185"/>
      <c r="AZ40" s="2185"/>
      <c r="BA40" s="2185"/>
      <c r="BB40" s="2185"/>
      <c r="BC40" s="2185" t="s">
        <v>301</v>
      </c>
    </row>
    <row customHeight="1" ht="14.25">
      <c r="Q41" s="445"/>
      <c r="R41" s="530"/>
      <c r="S41" s="2338" t="s">
        <v>85</v>
      </c>
      <c r="T41" s="2275" t="s">
        <v>505</v>
      </c>
      <c r="U41" s="455"/>
      <c r="V41" s="2339" t="s">
        <v>427</v>
      </c>
      <c r="W41" s="2340"/>
      <c r="X41" s="2340"/>
      <c r="Y41" s="2340"/>
      <c r="Z41" s="2340"/>
      <c r="AA41" s="2340"/>
      <c r="AB41" s="2341"/>
      <c r="AC41" s="2342" t="s">
        <v>428</v>
      </c>
      <c r="AD41" s="2386" t="s">
        <v>506</v>
      </c>
      <c r="AE41" s="2361"/>
      <c r="AF41" s="2361"/>
      <c r="AG41" s="2387"/>
      <c r="AH41" s="2386" t="s">
        <v>507</v>
      </c>
      <c r="AI41" s="2361"/>
      <c r="AJ41" s="2361"/>
      <c r="AK41" s="2387"/>
      <c r="AL41" s="2386" t="s">
        <v>508</v>
      </c>
      <c r="AM41" s="2361"/>
      <c r="AN41" s="2361"/>
      <c r="AO41" s="2387"/>
      <c r="AP41" s="2386" t="s">
        <v>509</v>
      </c>
      <c r="AQ41" s="2361"/>
      <c r="AR41" s="2361"/>
      <c r="AS41" s="2387"/>
      <c r="AT41" s="2339" t="s">
        <v>427</v>
      </c>
      <c r="AU41" s="2340"/>
      <c r="AV41" s="2340"/>
      <c r="AW41" s="2340"/>
      <c r="AX41" s="2340"/>
      <c r="AY41" s="2340"/>
      <c r="AZ41" s="2341"/>
      <c r="BA41" s="2342" t="s">
        <v>428</v>
      </c>
      <c r="BB41" s="2345" t="s">
        <v>430</v>
      </c>
      <c r="BC41" s="2185"/>
    </row>
    <row customHeight="1" ht="33.75">
      <c r="Q42" s="445"/>
      <c r="R42" s="530"/>
      <c r="S42" s="2338"/>
      <c r="T42" s="2275"/>
      <c r="U42" s="1186"/>
      <c r="V42" s="2243" t="s">
        <v>510</v>
      </c>
      <c r="W42" s="2244"/>
      <c r="X42" s="2243" t="s">
        <v>511</v>
      </c>
      <c r="Y42" s="2244"/>
      <c r="Z42" s="2359" t="s">
        <v>512</v>
      </c>
      <c r="AA42" s="2377"/>
      <c r="AB42" s="2378"/>
      <c r="AC42" s="2343"/>
      <c r="AD42" s="2388"/>
      <c r="AE42" s="2389"/>
      <c r="AF42" s="2389"/>
      <c r="AG42" s="2401"/>
      <c r="AH42" s="2388"/>
      <c r="AI42" s="2389"/>
      <c r="AJ42" s="2389"/>
      <c r="AK42" s="2401"/>
      <c r="AL42" s="2388"/>
      <c r="AM42" s="2389"/>
      <c r="AN42" s="2389"/>
      <c r="AO42" s="2401"/>
      <c r="AP42" s="2388"/>
      <c r="AQ42" s="2389"/>
      <c r="AR42" s="2389"/>
      <c r="AS42" s="2401"/>
      <c r="AT42" s="2243" t="s">
        <v>510</v>
      </c>
      <c r="AU42" s="2244"/>
      <c r="AV42" s="2243" t="s">
        <v>511</v>
      </c>
      <c r="AW42" s="2244"/>
      <c r="AX42" s="2359" t="s">
        <v>512</v>
      </c>
      <c r="AY42" s="2377"/>
      <c r="AZ42" s="2378"/>
      <c r="BA42" s="2343"/>
      <c r="BB42" s="2346"/>
      <c r="BC42" s="2185"/>
    </row>
    <row customHeight="1" ht="14.25">
      <c r="Q43" s="445"/>
      <c r="R43" s="530"/>
      <c r="S43" s="2338"/>
      <c r="T43" s="2275"/>
      <c r="U43" s="1186"/>
      <c r="V43" s="2251"/>
      <c r="W43" s="2252"/>
      <c r="X43" s="2251"/>
      <c r="Y43" s="2252"/>
      <c r="Z43" s="2360"/>
      <c r="AA43" s="2379"/>
      <c r="AB43" s="2380"/>
      <c r="AC43" s="2343"/>
      <c r="AD43" s="2388"/>
      <c r="AE43" s="2389"/>
      <c r="AF43" s="2389"/>
      <c r="AG43" s="2401"/>
      <c r="AH43" s="2388"/>
      <c r="AI43" s="2389"/>
      <c r="AJ43" s="2389"/>
      <c r="AK43" s="2401"/>
      <c r="AL43" s="2388"/>
      <c r="AM43" s="2389"/>
      <c r="AN43" s="2389"/>
      <c r="AO43" s="2401"/>
      <c r="AP43" s="2388"/>
      <c r="AQ43" s="2389"/>
      <c r="AR43" s="2389"/>
      <c r="AS43" s="2401"/>
      <c r="AT43" s="2251"/>
      <c r="AU43" s="2252"/>
      <c r="AV43" s="2251"/>
      <c r="AW43" s="2252"/>
      <c r="AX43" s="2360"/>
      <c r="AY43" s="2379"/>
      <c r="AZ43" s="2380"/>
      <c r="BA43" s="2343"/>
      <c r="BB43" s="2346"/>
      <c r="BC43" s="2185"/>
    </row>
    <row customHeight="1" ht="14.25">
      <c r="A44" s="1529"/>
      <c r="B44" s="1529" t="s">
        <v>132</v>
      </c>
      <c r="C44" s="1529" t="s">
        <v>133</v>
      </c>
      <c r="D44" s="1529" t="s">
        <v>134</v>
      </c>
      <c r="E44" s="1523" t="s">
        <v>435</v>
      </c>
      <c r="F44" s="1523" t="s">
        <v>436</v>
      </c>
      <c r="G44" s="1523" t="s">
        <v>437</v>
      </c>
      <c r="H44" s="1523" t="s">
        <v>438</v>
      </c>
      <c r="I44" s="1523" t="s">
        <v>439</v>
      </c>
      <c r="J44" s="1523" t="s">
        <v>440</v>
      </c>
      <c r="K44" s="1523" t="s">
        <v>441</v>
      </c>
      <c r="L44" s="1523" t="s">
        <v>416</v>
      </c>
      <c r="Q44" s="445"/>
      <c r="R44" s="530"/>
      <c r="S44" s="2338"/>
      <c r="T44" s="2275"/>
      <c r="U44" s="456"/>
      <c r="V44" s="1638" t="s">
        <v>476</v>
      </c>
      <c r="W44" s="1638" t="s">
        <v>477</v>
      </c>
      <c r="X44" s="1638" t="s">
        <v>476</v>
      </c>
      <c r="Y44" s="1638" t="s">
        <v>477</v>
      </c>
      <c r="Z44" s="1648" t="s">
        <v>444</v>
      </c>
      <c r="AA44" s="2334" t="s">
        <v>445</v>
      </c>
      <c r="AB44" s="2335"/>
      <c r="AC44" s="2344"/>
      <c r="AD44" s="2390"/>
      <c r="AE44" s="2391"/>
      <c r="AF44" s="2391"/>
      <c r="AG44" s="2392"/>
      <c r="AH44" s="2390"/>
      <c r="AI44" s="2391"/>
      <c r="AJ44" s="2391"/>
      <c r="AK44" s="2392"/>
      <c r="AL44" s="2390"/>
      <c r="AM44" s="2391"/>
      <c r="AN44" s="2391"/>
      <c r="AO44" s="2392"/>
      <c r="AP44" s="2390"/>
      <c r="AQ44" s="2391"/>
      <c r="AR44" s="2391"/>
      <c r="AS44" s="2392"/>
      <c r="AT44" s="1638" t="s">
        <v>476</v>
      </c>
      <c r="AU44" s="1638" t="s">
        <v>477</v>
      </c>
      <c r="AV44" s="1638" t="s">
        <v>476</v>
      </c>
      <c r="AW44" s="1638" t="s">
        <v>477</v>
      </c>
      <c r="AX44" s="1648" t="s">
        <v>444</v>
      </c>
      <c r="AY44" s="2334" t="s">
        <v>445</v>
      </c>
      <c r="AZ44" s="2335"/>
      <c r="BA44" s="2344"/>
      <c r="BB44" s="2347"/>
      <c r="BC44" s="2185"/>
    </row>
    <row s="8552" customFormat="1" customHeight="1" ht="0">
      <c r="A45" s="1529"/>
      <c r="B45" s="1529"/>
      <c r="C45" s="1529"/>
      <c r="D45" s="1529"/>
      <c r="E45" s="1529"/>
      <c r="F45" s="1529"/>
      <c r="G45" s="1529"/>
      <c r="H45" s="1529"/>
      <c r="I45" s="1529"/>
      <c r="J45" s="1529"/>
      <c r="K45" s="1529"/>
      <c r="L45" s="1523"/>
      <c r="M45" s="1521"/>
      <c r="N45" s="1521"/>
      <c r="O45" s="1521"/>
      <c r="P45" s="664"/>
      <c r="Q45" s="1412"/>
      <c r="R45" s="1412">
        <v>1</v>
      </c>
      <c r="S45" s="1436" t="s">
        <v>106</v>
      </c>
      <c r="T45" s="1413" t="s">
        <v>107</v>
      </c>
      <c r="U45" s="1403" t="str">
        <f>OFFSET(U45,0,-1)</f>
        <v>2</v>
      </c>
      <c r="V45" s="1641">
        <f>OFFSET(V45,0,-1)+1</f>
        <v>3</v>
      </c>
      <c r="W45" s="1641">
        <f>OFFSET(W45,0,-1)+1</f>
        <v>4</v>
      </c>
      <c r="X45" s="1641">
        <f>OFFSET(X45,0,-1)+1</f>
        <v>5</v>
      </c>
      <c r="Y45" s="1641">
        <f>OFFSET(Y45,0,-1)+1</f>
        <v>6</v>
      </c>
      <c r="Z45" s="1641">
        <f>OFFSET(Z45,0,-1)+1</f>
        <v>7</v>
      </c>
      <c r="AA45" s="2336">
        <f>OFFSET(AA45,0,-1)+1</f>
        <v>8</v>
      </c>
      <c r="AB45" s="2336"/>
      <c r="AC45" s="1641">
        <f>OFFSET(AC45,0,-2)+1</f>
        <v>9</v>
      </c>
      <c r="AD45" s="1641">
        <f>OFFSET(AD45,0,-1)+1</f>
        <v>10</v>
      </c>
      <c r="AE45" s="1641"/>
      <c r="AF45" s="1641"/>
      <c r="AG45" s="1641"/>
      <c r="AH45" s="1641"/>
      <c r="AI45" s="1641"/>
      <c r="AJ45" s="1641"/>
      <c r="AK45" s="1641"/>
      <c r="AL45" s="1641"/>
      <c r="AM45" s="1641"/>
      <c r="AN45" s="1641"/>
      <c r="AO45" s="1641"/>
      <c r="AP45" s="1641"/>
      <c r="AQ45" s="1641"/>
      <c r="AR45" s="1641"/>
      <c r="AS45" s="1641"/>
      <c r="AT45" s="1641"/>
      <c r="AU45" s="1641"/>
      <c r="AV45" s="1641"/>
      <c r="AW45" s="1641">
        <f>OFFSET(AW45,0,-1)+1</f>
        <v>1</v>
      </c>
      <c r="AX45" s="1641">
        <f>OFFSET(AX45,0,-1)+1</f>
        <v>2</v>
      </c>
      <c r="AY45" s="2336">
        <f>OFFSET(AY45,0,-1)+1</f>
        <v>3</v>
      </c>
      <c r="AZ45" s="2336"/>
      <c r="BA45" s="1641">
        <f>OFFSET(BA45,0,-2)+1</f>
        <v>4</v>
      </c>
      <c r="BB45" s="1403">
        <f>OFFSET(BB45,0,-1)</f>
        <v>4</v>
      </c>
      <c r="BC45" s="1641">
        <f>OFFSET(BC45,0,-1)+1</f>
        <v>5</v>
      </c>
      <c r="BD45" s="665"/>
      <c r="BE45" s="665"/>
      <c r="BF45" s="665"/>
      <c r="BG45" s="665"/>
      <c r="BH45" s="665"/>
    </row>
    <row customHeight="1" ht="21">
      <c r="A46" s="1522" t="s">
        <v>261</v>
      </c>
      <c r="B46" s="1522"/>
      <c r="C46" s="1522"/>
      <c r="D46" s="1522"/>
      <c r="E46" s="2320">
        <v>1</v>
      </c>
      <c r="F46" s="1522"/>
      <c r="G46" s="1522"/>
      <c r="H46" s="1522"/>
      <c r="I46" s="1522"/>
      <c r="J46" s="1522"/>
      <c r="K46" s="1522"/>
      <c r="L46" s="1523"/>
      <c r="M46" s="1524"/>
      <c r="N46" s="1524"/>
      <c r="O46" s="1524"/>
      <c r="P46" s="1568"/>
      <c r="Q46" s="1027"/>
      <c r="R46" s="509"/>
      <c r="S46" s="1652">
        <f>INDEX(PT_DIFFERENTIATION_NUM_NTAR,MATCH(A46,PT_DIFFERENTIATION_NTAR_ID,0))</f>
        <v>0</v>
      </c>
      <c r="T46" s="452" t="s">
        <v>120</v>
      </c>
      <c r="U46" s="454"/>
      <c r="V46" s="2315"/>
      <c r="W46" s="2315"/>
      <c r="X46" s="2315"/>
      <c r="Y46" s="2315"/>
      <c r="Z46" s="2315"/>
      <c r="AA46" s="2315"/>
      <c r="AB46" s="2315"/>
      <c r="AC46" s="2316"/>
      <c r="AD46" s="2314" t="str">
        <f>INDEX(PT_DIFFERENTIATION_NTAR,MATCH(A46,PT_DIFFERENTIATION_NTAR_ID,0))</f>
        <v/>
      </c>
      <c r="AE46" s="2315"/>
      <c r="AF46" s="2315"/>
      <c r="AG46" s="2315"/>
      <c r="AH46" s="2315"/>
      <c r="AI46" s="2315"/>
      <c r="AJ46" s="2315"/>
      <c r="AK46" s="2315"/>
      <c r="AL46" s="2315"/>
      <c r="AM46" s="2315"/>
      <c r="AN46" s="2315"/>
      <c r="AO46" s="2315"/>
      <c r="AP46" s="2315"/>
      <c r="AQ46" s="2315"/>
      <c r="AR46" s="2315"/>
      <c r="AS46" s="2315"/>
      <c r="AT46" s="2315"/>
      <c r="AU46" s="2315"/>
      <c r="AV46" s="2315"/>
      <c r="AW46" s="2315"/>
      <c r="AX46" s="2315"/>
      <c r="AY46" s="2315"/>
      <c r="AZ46" s="2315"/>
      <c r="BA46" s="2315"/>
      <c r="BB46" s="2316"/>
      <c r="BC46" s="1416"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BE46" s="654"/>
      <c r="BF46" s="654" t="str">
        <f>IF(T46="","",T46)</f>
        <v>Наименование тарифа</v>
      </c>
      <c r="BG46" s="654"/>
      <c r="BH46" s="654"/>
    </row>
    <row customHeight="1" ht="21">
      <c r="A47" s="1522" t="s">
        <v>261</v>
      </c>
      <c r="B47" s="1522" t="s">
        <v>262</v>
      </c>
      <c r="C47" s="1522"/>
      <c r="D47" s="1522"/>
      <c r="E47" s="2321"/>
      <c r="F47" s="2320">
        <v>1</v>
      </c>
      <c r="G47" s="1522"/>
      <c r="H47" s="1522"/>
      <c r="I47" s="1522"/>
      <c r="J47" s="1522"/>
      <c r="K47" s="1522"/>
      <c r="L47" s="1523"/>
      <c r="M47" s="1524"/>
      <c r="N47" s="1524"/>
      <c r="O47" s="1524"/>
      <c r="P47" s="1569"/>
      <c r="Q47" s="1570"/>
      <c r="R47" s="507"/>
      <c r="S47" s="1652" t="str">
        <f>INDEX(PT_DIFFERENTIATION_NUM_TER,MATCH(B47,PT_DIFFERENTIATION_TER_ID,0))</f>
        <v>.</v>
      </c>
      <c r="T47" s="462" t="s">
        <v>397</v>
      </c>
      <c r="U47" s="454"/>
      <c r="V47" s="2315"/>
      <c r="W47" s="2315"/>
      <c r="X47" s="2315"/>
      <c r="Y47" s="2315"/>
      <c r="Z47" s="2315"/>
      <c r="AA47" s="2315"/>
      <c r="AB47" s="2315"/>
      <c r="AC47" s="2316"/>
      <c r="AD47" s="2314" t="str">
        <f>INDEX(PT_DIFFERENTIATION_TER,MATCH(B47,PT_DIFFERENTIATION_TER_ID,0))</f>
        <v/>
      </c>
      <c r="AE47" s="2315"/>
      <c r="AF47" s="2315"/>
      <c r="AG47" s="2315"/>
      <c r="AH47" s="2315"/>
      <c r="AI47" s="2315"/>
      <c r="AJ47" s="2315"/>
      <c r="AK47" s="2315"/>
      <c r="AL47" s="2315"/>
      <c r="AM47" s="2315"/>
      <c r="AN47" s="2315"/>
      <c r="AO47" s="2315"/>
      <c r="AP47" s="2315"/>
      <c r="AQ47" s="2315"/>
      <c r="AR47" s="2315"/>
      <c r="AS47" s="2315"/>
      <c r="AT47" s="2315"/>
      <c r="AU47" s="2315"/>
      <c r="AV47" s="2315"/>
      <c r="AW47" s="2315"/>
      <c r="AX47" s="2315"/>
      <c r="AY47" s="2315"/>
      <c r="AZ47" s="2315"/>
      <c r="BA47" s="2315"/>
      <c r="BB47" s="2316"/>
      <c r="BC47" s="1416" t="s">
        <v>398</v>
      </c>
      <c r="BE47" s="654"/>
      <c r="BF47" s="654" t="str">
        <f>IF(T47="","",T47)</f>
        <v>Территория действия тарифа</v>
      </c>
      <c r="BG47" s="654"/>
      <c r="BH47" s="654"/>
    </row>
    <row customHeight="1" ht="33.75">
      <c r="A48" s="1522" t="s">
        <v>261</v>
      </c>
      <c r="B48" s="1522" t="s">
        <v>262</v>
      </c>
      <c r="C48" s="1522" t="s">
        <v>263</v>
      </c>
      <c r="D48" s="1522"/>
      <c r="E48" s="2321"/>
      <c r="F48" s="2321"/>
      <c r="G48" s="2320">
        <v>1</v>
      </c>
      <c r="H48" s="1522"/>
      <c r="I48" s="1522"/>
      <c r="J48" s="1522"/>
      <c r="K48" s="1522"/>
      <c r="L48" s="1523"/>
      <c r="M48" s="1524"/>
      <c r="N48" s="1524"/>
      <c r="O48" s="1524"/>
      <c r="P48" s="1571"/>
      <c r="Q48" s="1570"/>
      <c r="R48" s="507"/>
      <c r="S48" s="1652" t="str">
        <f>INDEX(PT_DIFFERENTIATION_NUM_CS,MATCH(C48,PT_DIFFERENTIATION_CS_ID,0))</f>
        <v>..</v>
      </c>
      <c r="T48" s="463" t="s">
        <v>528</v>
      </c>
      <c r="U48" s="454"/>
      <c r="V48" s="2315"/>
      <c r="W48" s="2315"/>
      <c r="X48" s="2315"/>
      <c r="Y48" s="2315"/>
      <c r="Z48" s="2315"/>
      <c r="AA48" s="2315"/>
      <c r="AB48" s="2315"/>
      <c r="AC48" s="2316"/>
      <c r="AD48" s="2314" t="str">
        <f>INDEX(PT_DIFFERENTIATION_CS,MATCH(C48,PT_DIFFERENTIATION_CS_ID,0))</f>
        <v/>
      </c>
      <c r="AE48" s="2315"/>
      <c r="AF48" s="2315"/>
      <c r="AG48" s="2315"/>
      <c r="AH48" s="2315"/>
      <c r="AI48" s="2315"/>
      <c r="AJ48" s="2315"/>
      <c r="AK48" s="2315"/>
      <c r="AL48" s="2315"/>
      <c r="AM48" s="2315"/>
      <c r="AN48" s="2315"/>
      <c r="AO48" s="2315"/>
      <c r="AP48" s="2315"/>
      <c r="AQ48" s="2315"/>
      <c r="AR48" s="2315"/>
      <c r="AS48" s="2315"/>
      <c r="AT48" s="2315"/>
      <c r="AU48" s="2315"/>
      <c r="AV48" s="2315"/>
      <c r="AW48" s="2315"/>
      <c r="AX48" s="2315"/>
      <c r="AY48" s="2315"/>
      <c r="AZ48" s="2315"/>
      <c r="BA48" s="2315"/>
      <c r="BB48" s="2316"/>
      <c r="BC48" s="1416" t="s">
        <v>529</v>
      </c>
      <c r="BE48" s="654"/>
      <c r="BF48" s="654" t="str">
        <f>IF(T48="","",T48)</f>
        <v>Наименование централизованной системы горячего водоснабжения</v>
      </c>
      <c r="BG48" s="654"/>
      <c r="BH48" s="654"/>
    </row>
    <row s="8794" customFormat="1" customHeight="1" ht="0">
      <c r="A49" s="1502" t="s">
        <v>261</v>
      </c>
      <c r="B49" s="1502" t="s">
        <v>262</v>
      </c>
      <c r="C49" s="1502" t="s">
        <v>263</v>
      </c>
      <c r="D49" s="1502" t="s">
        <v>545</v>
      </c>
      <c r="E49" s="2321"/>
      <c r="F49" s="2321"/>
      <c r="G49" s="2321"/>
      <c r="H49" s="2320">
        <v>1</v>
      </c>
      <c r="I49" s="1502"/>
      <c r="J49" s="1502"/>
      <c r="K49" s="1502"/>
      <c r="L49" s="1505"/>
      <c r="M49" s="1474"/>
      <c r="N49" s="1474"/>
      <c r="O49" s="1474"/>
      <c r="P49" s="1656"/>
      <c r="Q49" s="1657"/>
      <c r="R49" s="511"/>
      <c r="S49" s="1197"/>
      <c r="T49" s="1658"/>
      <c r="U49" s="1543"/>
      <c r="V49" s="2363"/>
      <c r="W49" s="2363"/>
      <c r="X49" s="2363"/>
      <c r="Y49" s="2363"/>
      <c r="Z49" s="2363"/>
      <c r="AA49" s="2363"/>
      <c r="AB49" s="2363"/>
      <c r="AC49" s="2364"/>
      <c r="AD49" s="2362"/>
      <c r="AE49" s="2363"/>
      <c r="AF49" s="2363"/>
      <c r="AG49" s="2363"/>
      <c r="AH49" s="2363"/>
      <c r="AI49" s="2363"/>
      <c r="AJ49" s="2363"/>
      <c r="AK49" s="2363"/>
      <c r="AL49" s="2363"/>
      <c r="AM49" s="2363"/>
      <c r="AN49" s="2363"/>
      <c r="AO49" s="2363"/>
      <c r="AP49" s="2363"/>
      <c r="AQ49" s="2363"/>
      <c r="AR49" s="2363"/>
      <c r="AS49" s="2363"/>
      <c r="AT49" s="2363"/>
      <c r="AU49" s="2363"/>
      <c r="AV49" s="2363"/>
      <c r="AW49" s="2363"/>
      <c r="AX49" s="2363"/>
      <c r="AY49" s="2363"/>
      <c r="AZ49" s="2363"/>
      <c r="BA49" s="2363"/>
      <c r="BB49" s="2364"/>
      <c r="BC49" s="1544" t="s">
        <v>402</v>
      </c>
      <c r="BE49" s="654"/>
      <c r="BF49" s="654" t="str">
        <f>IF(T49="","",T49)</f>
        <v/>
      </c>
      <c r="BG49" s="654"/>
      <c r="BH49" s="654"/>
    </row>
    <row s="8794" customFormat="1" customHeight="1" ht="0">
      <c r="A50" s="1502" t="s">
        <v>261</v>
      </c>
      <c r="B50" s="1502" t="s">
        <v>262</v>
      </c>
      <c r="C50" s="1502" t="s">
        <v>263</v>
      </c>
      <c r="D50" s="1502" t="s">
        <v>545</v>
      </c>
      <c r="E50" s="2321"/>
      <c r="F50" s="2321"/>
      <c r="G50" s="2321"/>
      <c r="H50" s="2321"/>
      <c r="I50" s="2322" t="str">
        <f>S49&amp;".1"</f>
        <v>.1</v>
      </c>
      <c r="J50" s="1502"/>
      <c r="K50" s="1502"/>
      <c r="L50" s="1505" t="s">
        <v>403</v>
      </c>
      <c r="M50" s="664"/>
      <c r="N50" s="664"/>
      <c r="O50" s="664"/>
      <c r="P50" s="2324">
        <v>1</v>
      </c>
      <c r="Q50" s="1640"/>
      <c r="R50" s="510"/>
      <c r="S50" s="1197"/>
      <c r="T50" s="1542"/>
      <c r="U50" s="1543"/>
      <c r="V50" s="2363"/>
      <c r="W50" s="2363"/>
      <c r="X50" s="2363"/>
      <c r="Y50" s="2363"/>
      <c r="Z50" s="2363"/>
      <c r="AA50" s="2363"/>
      <c r="AB50" s="2363"/>
      <c r="AC50" s="2364"/>
      <c r="AD50" s="2362"/>
      <c r="AE50" s="2363"/>
      <c r="AF50" s="2363"/>
      <c r="AG50" s="2363"/>
      <c r="AH50" s="2363"/>
      <c r="AI50" s="2363"/>
      <c r="AJ50" s="2363"/>
      <c r="AK50" s="2363"/>
      <c r="AL50" s="2363"/>
      <c r="AM50" s="2363"/>
      <c r="AN50" s="2363"/>
      <c r="AO50" s="2363"/>
      <c r="AP50" s="2363"/>
      <c r="AQ50" s="2363"/>
      <c r="AR50" s="2363"/>
      <c r="AS50" s="2363"/>
      <c r="AT50" s="2363"/>
      <c r="AU50" s="2363"/>
      <c r="AV50" s="2363"/>
      <c r="AW50" s="2363"/>
      <c r="AX50" s="2363"/>
      <c r="AY50" s="2363"/>
      <c r="AZ50" s="2363"/>
      <c r="BA50" s="2363"/>
      <c r="BB50" s="2364"/>
      <c r="BC50" s="1544"/>
      <c r="BE50" s="654"/>
      <c r="BF50" s="654" t="str">
        <f>IF(T50="","",T50)</f>
        <v/>
      </c>
      <c r="BG50" s="654"/>
      <c r="BH50" s="654"/>
    </row>
    <row s="8794" customFormat="1" customHeight="1" ht="0">
      <c r="A51" s="1502" t="s">
        <v>261</v>
      </c>
      <c r="B51" s="1502" t="s">
        <v>262</v>
      </c>
      <c r="C51" s="1502" t="s">
        <v>263</v>
      </c>
      <c r="D51" s="1502" t="s">
        <v>545</v>
      </c>
      <c r="E51" s="2321"/>
      <c r="F51" s="2321"/>
      <c r="G51" s="2321"/>
      <c r="H51" s="2321"/>
      <c r="I51" s="2323"/>
      <c r="J51" s="2322" t="str">
        <f>S49&amp;".1"</f>
        <v>.1</v>
      </c>
      <c r="K51" s="1502"/>
      <c r="L51" s="1505"/>
      <c r="M51" s="664"/>
      <c r="N51" s="664"/>
      <c r="O51" s="664"/>
      <c r="P51" s="2324"/>
      <c r="Q51" s="2324">
        <v>1</v>
      </c>
      <c r="R51" s="511"/>
      <c r="S51" s="1197"/>
      <c r="T51" s="1558"/>
      <c r="U51" s="1543"/>
      <c r="V51" s="2363"/>
      <c r="W51" s="2363"/>
      <c r="X51" s="2363"/>
      <c r="Y51" s="2363"/>
      <c r="Z51" s="2363"/>
      <c r="AA51" s="2363"/>
      <c r="AB51" s="2363"/>
      <c r="AC51" s="2364"/>
      <c r="AD51" s="2362"/>
      <c r="AE51" s="2363"/>
      <c r="AF51" s="2363"/>
      <c r="AG51" s="2363"/>
      <c r="AH51" s="2363"/>
      <c r="AI51" s="2363"/>
      <c r="AJ51" s="2363"/>
      <c r="AK51" s="2363"/>
      <c r="AL51" s="2363"/>
      <c r="AM51" s="2363"/>
      <c r="AN51" s="2423"/>
      <c r="AO51" s="2423"/>
      <c r="AP51" s="2363"/>
      <c r="AQ51" s="2363"/>
      <c r="AR51" s="2363"/>
      <c r="AS51" s="2363"/>
      <c r="AT51" s="2363"/>
      <c r="AU51" s="2363"/>
      <c r="AV51" s="2363"/>
      <c r="AW51" s="2363"/>
      <c r="AX51" s="2363"/>
      <c r="AY51" s="2363"/>
      <c r="AZ51" s="2363"/>
      <c r="BA51" s="2363"/>
      <c r="BB51" s="2364"/>
      <c r="BC51" s="1544"/>
      <c r="BE51" s="654"/>
      <c r="BF51" s="654" t="str">
        <f>IF(T51="","",T51)</f>
        <v/>
      </c>
      <c r="BG51" s="654"/>
      <c r="BH51" s="654"/>
    </row>
    <row customHeight="1" ht="11.25">
      <c r="A52" s="1522" t="s">
        <v>261</v>
      </c>
      <c r="B52" s="1522" t="s">
        <v>262</v>
      </c>
      <c r="C52" s="1522" t="s">
        <v>263</v>
      </c>
      <c r="D52" s="1522" t="s">
        <v>545</v>
      </c>
      <c r="E52" s="2321"/>
      <c r="F52" s="2321"/>
      <c r="G52" s="2321"/>
      <c r="H52" s="2321"/>
      <c r="I52" s="2323"/>
      <c r="J52" s="2323"/>
      <c r="K52" s="2322" t="str">
        <f>S48&amp;".1"</f>
        <v>...1</v>
      </c>
      <c r="L52" s="1523"/>
      <c r="P52" s="2324"/>
      <c r="Q52" s="2324"/>
      <c r="R52" s="511">
        <v>1</v>
      </c>
      <c r="S52" s="2397" t="str">
        <f>$K52</f>
        <v>...1</v>
      </c>
      <c r="T52" s="2417"/>
      <c r="U52" s="454"/>
      <c r="V52" s="905"/>
      <c r="W52" s="1415"/>
      <c r="X52" s="905"/>
      <c r="Y52" s="1415"/>
      <c r="Z52" s="1893"/>
      <c r="AA52" s="1628" t="s">
        <v>64</v>
      </c>
      <c r="AB52" s="1893"/>
      <c r="AC52" s="1628" t="s">
        <v>64</v>
      </c>
      <c r="AD52" s="2258" t="s">
        <v>64</v>
      </c>
      <c r="AE52" s="2393"/>
      <c r="AF52" s="2271">
        <v>1</v>
      </c>
      <c r="AG52" s="2416"/>
      <c r="AH52" s="2195" t="s">
        <v>64</v>
      </c>
      <c r="AI52" s="2393"/>
      <c r="AJ52" s="2271">
        <v>1</v>
      </c>
      <c r="AK52" s="2415" t="s">
        <v>24</v>
      </c>
      <c r="AL52" s="2195" t="s">
        <v>64</v>
      </c>
      <c r="AM52" s="2243"/>
      <c r="AN52" s="2271">
        <v>1</v>
      </c>
      <c r="AO52" s="2420"/>
      <c r="AP52" s="2421" t="s">
        <v>64</v>
      </c>
      <c r="AQ52" s="465"/>
      <c r="AR52" s="1645">
        <v>1</v>
      </c>
      <c r="AS52" s="1651" t="s">
        <v>24</v>
      </c>
      <c r="AT52" s="905"/>
      <c r="AU52" s="1415"/>
      <c r="AV52" s="905"/>
      <c r="AW52" s="1415"/>
      <c r="AX52" s="1893"/>
      <c r="AY52" s="1628" t="s">
        <v>64</v>
      </c>
      <c r="AZ52" s="1893"/>
      <c r="BA52" s="1628" t="s">
        <v>64</v>
      </c>
      <c r="BB52" s="1507"/>
      <c r="BC52" s="2350" t="s">
        <v>499</v>
      </c>
      <c r="BE52" s="654"/>
      <c r="BF52" s="654" t="str">
        <f>IF(T52="","",T52)</f>
        <v/>
      </c>
      <c r="BG52" s="654"/>
      <c r="BH52" s="654"/>
    </row>
    <row customHeight="1" ht="11.25">
      <c r="A53" s="1522"/>
      <c r="B53" s="1522"/>
      <c r="C53" s="1522"/>
      <c r="D53" s="1522"/>
      <c r="E53" s="2321"/>
      <c r="F53" s="2321"/>
      <c r="G53" s="2321"/>
      <c r="H53" s="2321"/>
      <c r="I53" s="2323"/>
      <c r="J53" s="2323"/>
      <c r="K53" s="2322"/>
      <c r="L53" s="1523"/>
      <c r="P53" s="2324"/>
      <c r="Q53" s="2324"/>
      <c r="R53" s="511"/>
      <c r="S53" s="2398"/>
      <c r="T53" s="2418"/>
      <c r="U53" s="454"/>
      <c r="V53" s="1552"/>
      <c r="W53" s="1655"/>
      <c r="X53" s="1552"/>
      <c r="Y53" s="1655"/>
      <c r="Z53" s="1552"/>
      <c r="AA53" s="1552"/>
      <c r="AB53" s="1552"/>
      <c r="AC53" s="1552"/>
      <c r="AD53" s="2259"/>
      <c r="AE53" s="2393"/>
      <c r="AF53" s="2271"/>
      <c r="AG53" s="2416"/>
      <c r="AH53" s="2195"/>
      <c r="AI53" s="2393"/>
      <c r="AJ53" s="2271"/>
      <c r="AK53" s="2415"/>
      <c r="AL53" s="2195"/>
      <c r="AM53" s="2251"/>
      <c r="AN53" s="2271"/>
      <c r="AO53" s="2420"/>
      <c r="AP53" s="2422"/>
      <c r="AQ53" s="470"/>
      <c r="AR53" s="570"/>
      <c r="AS53" s="570" t="s">
        <v>500</v>
      </c>
      <c r="AT53" s="1552"/>
      <c r="AU53" s="1655"/>
      <c r="AV53" s="1552"/>
      <c r="AW53" s="1655"/>
      <c r="AX53" s="1552"/>
      <c r="AY53" s="1552"/>
      <c r="AZ53" s="1552"/>
      <c r="BA53" s="1552"/>
      <c r="BB53" s="1556"/>
      <c r="BC53" s="2351"/>
      <c r="BE53" s="654"/>
      <c r="BF53" s="654"/>
      <c r="BG53" s="654"/>
      <c r="BH53" s="654"/>
    </row>
    <row customHeight="1" ht="11.25">
      <c r="A54" s="1522" t="s">
        <v>261</v>
      </c>
      <c r="B54" s="1522"/>
      <c r="C54" s="1522"/>
      <c r="D54" s="1522"/>
      <c r="E54" s="2321"/>
      <c r="F54" s="2321"/>
      <c r="G54" s="2321"/>
      <c r="H54" s="2321"/>
      <c r="I54" s="2323"/>
      <c r="J54" s="2323"/>
      <c r="K54" s="2322"/>
      <c r="L54" s="1523"/>
      <c r="P54" s="2324"/>
      <c r="Q54" s="2324"/>
      <c r="R54" s="511"/>
      <c r="S54" s="2398"/>
      <c r="T54" s="2418"/>
      <c r="U54" s="454"/>
      <c r="V54" s="1552"/>
      <c r="W54" s="1655"/>
      <c r="X54" s="1552"/>
      <c r="Y54" s="1655"/>
      <c r="Z54" s="1552"/>
      <c r="AA54" s="1552"/>
      <c r="AB54" s="1552"/>
      <c r="AC54" s="1552"/>
      <c r="AD54" s="2259"/>
      <c r="AE54" s="2393"/>
      <c r="AF54" s="2271"/>
      <c r="AG54" s="2416"/>
      <c r="AH54" s="2195"/>
      <c r="AI54" s="2393"/>
      <c r="AJ54" s="2271"/>
      <c r="AK54" s="2415"/>
      <c r="AL54" s="2195"/>
      <c r="AM54" s="470"/>
      <c r="AN54" s="1659"/>
      <c r="AO54" s="1659" t="s">
        <v>501</v>
      </c>
      <c r="AP54" s="570"/>
      <c r="AQ54" s="570"/>
      <c r="AR54" s="570"/>
      <c r="AS54" s="1552"/>
      <c r="AT54" s="1552"/>
      <c r="AU54" s="1655"/>
      <c r="AV54" s="1552"/>
      <c r="AW54" s="1655"/>
      <c r="AX54" s="1552"/>
      <c r="AY54" s="1552"/>
      <c r="AZ54" s="1552"/>
      <c r="BA54" s="1552"/>
      <c r="BB54" s="1556"/>
      <c r="BC54" s="2351"/>
      <c r="BE54" s="654"/>
      <c r="BF54" s="654"/>
      <c r="BG54" s="654"/>
      <c r="BH54" s="654"/>
    </row>
    <row customHeight="1" ht="11.25">
      <c r="A55" s="1522" t="s">
        <v>261</v>
      </c>
      <c r="B55" s="1522"/>
      <c r="C55" s="1522"/>
      <c r="D55" s="1522"/>
      <c r="E55" s="2321"/>
      <c r="F55" s="2321"/>
      <c r="G55" s="2321"/>
      <c r="H55" s="2321"/>
      <c r="I55" s="2323"/>
      <c r="J55" s="2323"/>
      <c r="K55" s="2322"/>
      <c r="L55" s="1523"/>
      <c r="P55" s="2324"/>
      <c r="Q55" s="2324"/>
      <c r="R55" s="511"/>
      <c r="S55" s="2398"/>
      <c r="T55" s="2418"/>
      <c r="U55" s="454"/>
      <c r="V55" s="1552"/>
      <c r="W55" s="1655"/>
      <c r="X55" s="1552"/>
      <c r="Y55" s="1655"/>
      <c r="Z55" s="1552"/>
      <c r="AA55" s="1552"/>
      <c r="AB55" s="1552"/>
      <c r="AC55" s="1552"/>
      <c r="AD55" s="2259"/>
      <c r="AE55" s="2393"/>
      <c r="AF55" s="2271"/>
      <c r="AG55" s="2416"/>
      <c r="AH55" s="2195"/>
      <c r="AI55" s="448"/>
      <c r="AJ55" s="569"/>
      <c r="AK55" s="467" t="s">
        <v>502</v>
      </c>
      <c r="AL55" s="1552"/>
      <c r="AM55" s="1552"/>
      <c r="AN55" s="1552"/>
      <c r="AO55" s="1552"/>
      <c r="AP55" s="1552"/>
      <c r="AQ55" s="1552"/>
      <c r="AR55" s="1552"/>
      <c r="AS55" s="1552"/>
      <c r="AT55" s="1552"/>
      <c r="AU55" s="1655"/>
      <c r="AV55" s="1552"/>
      <c r="AW55" s="1655"/>
      <c r="AX55" s="1552"/>
      <c r="AY55" s="1552"/>
      <c r="AZ55" s="1552"/>
      <c r="BA55" s="1552"/>
      <c r="BB55" s="1556"/>
      <c r="BC55" s="2351"/>
      <c r="BE55" s="654"/>
      <c r="BF55" s="654"/>
      <c r="BG55" s="654"/>
      <c r="BH55" s="654"/>
    </row>
    <row customHeight="1" ht="11.25">
      <c r="A56" s="1522" t="s">
        <v>261</v>
      </c>
      <c r="B56" s="1522" t="s">
        <v>262</v>
      </c>
      <c r="C56" s="1522" t="s">
        <v>263</v>
      </c>
      <c r="D56" s="1522" t="s">
        <v>545</v>
      </c>
      <c r="E56" s="2321"/>
      <c r="F56" s="2321"/>
      <c r="G56" s="2321"/>
      <c r="H56" s="2321"/>
      <c r="I56" s="2323"/>
      <c r="J56" s="2323"/>
      <c r="K56" s="2322"/>
      <c r="L56" s="1523"/>
      <c r="P56" s="2324"/>
      <c r="Q56" s="2324"/>
      <c r="R56" s="511"/>
      <c r="S56" s="2399"/>
      <c r="T56" s="2419"/>
      <c r="U56" s="454"/>
      <c r="V56" s="1552"/>
      <c r="W56" s="1553" t="str">
        <f>Z52&amp;"-"&amp;AB52</f>
        <v>-</v>
      </c>
      <c r="X56" s="1552"/>
      <c r="Y56" s="1553" t="str">
        <f>AB52&amp;"-"&amp;AD52</f>
        <v>-да</v>
      </c>
      <c r="Z56" s="1552"/>
      <c r="AA56" s="1552"/>
      <c r="AB56" s="1552"/>
      <c r="AC56" s="1552"/>
      <c r="AD56" s="2200"/>
      <c r="AE56" s="466"/>
      <c r="AF56" s="468"/>
      <c r="AG56" s="570" t="s">
        <v>503</v>
      </c>
      <c r="AH56" s="1552"/>
      <c r="AI56" s="1552"/>
      <c r="AJ56" s="1552"/>
      <c r="AK56" s="1552"/>
      <c r="AL56" s="1552"/>
      <c r="AM56" s="1552"/>
      <c r="AN56" s="1552"/>
      <c r="AO56" s="1552"/>
      <c r="AP56" s="1552"/>
      <c r="AQ56" s="1552"/>
      <c r="AR56" s="1552"/>
      <c r="AS56" s="1552"/>
      <c r="AT56" s="1552"/>
      <c r="AU56" s="1553" t="str">
        <f>AX52&amp;"-"&amp;AZ52</f>
        <v>-</v>
      </c>
      <c r="AV56" s="1552"/>
      <c r="AW56" s="1553" t="str">
        <f>AZ52&amp;"-"&amp;BB52</f>
        <v>-</v>
      </c>
      <c r="AX56" s="1552"/>
      <c r="AY56" s="1552"/>
      <c r="AZ56" s="1552"/>
      <c r="BA56" s="1552"/>
      <c r="BB56" s="1555" t="str">
        <f>BE52&amp;"-"&amp;BG52</f>
        <v>-</v>
      </c>
      <c r="BC56" s="2351"/>
      <c r="BE56" s="654"/>
      <c r="BF56" s="654" t="str">
        <f>IF(T56="","",T56)</f>
        <v/>
      </c>
      <c r="BG56" s="654"/>
      <c r="BH56" s="654"/>
    </row>
    <row customHeight="1" ht="11.25">
      <c r="A57" s="1522" t="s">
        <v>261</v>
      </c>
      <c r="B57" s="1522" t="s">
        <v>262</v>
      </c>
      <c r="C57" s="1522" t="s">
        <v>263</v>
      </c>
      <c r="D57" s="1522" t="s">
        <v>545</v>
      </c>
      <c r="E57" s="2321"/>
      <c r="F57" s="2321"/>
      <c r="G57" s="2321"/>
      <c r="H57" s="2321"/>
      <c r="I57" s="2323"/>
      <c r="J57" s="2322"/>
      <c r="K57" s="1522"/>
      <c r="L57" s="1523"/>
      <c r="P57" s="2324"/>
      <c r="Q57" s="2324"/>
      <c r="R57" s="510"/>
      <c r="S57" s="1437"/>
      <c r="T57" s="441" t="s">
        <v>465</v>
      </c>
      <c r="U57" s="521"/>
      <c r="V57" s="521"/>
      <c r="W57" s="521"/>
      <c r="X57" s="521"/>
      <c r="Y57" s="521"/>
      <c r="Z57" s="521"/>
      <c r="AA57" s="521"/>
      <c r="AB57" s="521"/>
      <c r="AC57" s="478"/>
      <c r="AD57" s="1664"/>
      <c r="AE57" s="521"/>
      <c r="AF57" s="521"/>
      <c r="AG57" s="521"/>
      <c r="AH57" s="521"/>
      <c r="AI57" s="521"/>
      <c r="AJ57" s="521"/>
      <c r="AK57" s="521"/>
      <c r="AL57" s="521"/>
      <c r="AM57" s="521"/>
      <c r="AN57" s="521"/>
      <c r="AO57" s="521"/>
      <c r="AP57" s="521"/>
      <c r="AQ57" s="521"/>
      <c r="AR57" s="521"/>
      <c r="AS57" s="521"/>
      <c r="AT57" s="521"/>
      <c r="AU57" s="521"/>
      <c r="AV57" s="521"/>
      <c r="AW57" s="521"/>
      <c r="AX57" s="521"/>
      <c r="AY57" s="521"/>
      <c r="AZ57" s="521"/>
      <c r="BA57" s="521"/>
      <c r="BB57" s="478"/>
      <c r="BC57" s="2352"/>
      <c r="BE57" s="654"/>
      <c r="BF57" s="654" t="str">
        <f>IF(T57="","",T57)</f>
        <v>Добавить строку</v>
      </c>
      <c r="BG57" s="654"/>
      <c r="BH57" s="654"/>
    </row>
    <row s="8794" customFormat="1" customHeight="1" ht="0">
      <c r="A58" s="1502" t="s">
        <v>261</v>
      </c>
      <c r="B58" s="1502" t="s">
        <v>262</v>
      </c>
      <c r="C58" s="1502" t="s">
        <v>263</v>
      </c>
      <c r="D58" s="1502" t="s">
        <v>545</v>
      </c>
      <c r="E58" s="2321"/>
      <c r="F58" s="2321"/>
      <c r="G58" s="2321"/>
      <c r="H58" s="2321"/>
      <c r="I58" s="2322"/>
      <c r="J58" s="1502"/>
      <c r="K58" s="1502"/>
      <c r="L58" s="1505"/>
      <c r="M58" s="664"/>
      <c r="N58" s="664"/>
      <c r="O58" s="664"/>
      <c r="P58" s="2324"/>
      <c r="Q58" s="1640"/>
      <c r="R58" s="510"/>
      <c r="S58" s="1545"/>
      <c r="T58" s="1546"/>
      <c r="U58" s="1547"/>
      <c r="V58" s="1547"/>
      <c r="W58" s="1547"/>
      <c r="X58" s="1547"/>
      <c r="Y58" s="1547"/>
      <c r="Z58" s="1547"/>
      <c r="AA58" s="1547"/>
      <c r="AB58" s="1547"/>
      <c r="AC58" s="1547"/>
      <c r="AD58" s="1547"/>
      <c r="AE58" s="1547"/>
      <c r="AF58" s="1547"/>
      <c r="AG58" s="1547"/>
      <c r="AH58" s="1547"/>
      <c r="AI58" s="1547"/>
      <c r="AJ58" s="1547"/>
      <c r="AK58" s="1547"/>
      <c r="AL58" s="1547"/>
      <c r="AM58" s="1547"/>
      <c r="AN58" s="1547"/>
      <c r="AO58" s="1547"/>
      <c r="AP58" s="1547"/>
      <c r="AQ58" s="1547"/>
      <c r="AR58" s="1547"/>
      <c r="AS58" s="1547"/>
      <c r="AT58" s="1547"/>
      <c r="AU58" s="1547"/>
      <c r="AV58" s="1547"/>
      <c r="AW58" s="1547"/>
      <c r="AX58" s="1547"/>
      <c r="AY58" s="1547"/>
      <c r="AZ58" s="1547"/>
      <c r="BA58" s="1547"/>
      <c r="BB58" s="1547"/>
      <c r="BC58" s="1548"/>
      <c r="BE58" s="654"/>
      <c r="BF58" s="654" t="str">
        <f>IF(T58="","",T58)</f>
        <v/>
      </c>
      <c r="BG58" s="654"/>
      <c r="BH58" s="654"/>
    </row>
    <row s="8794" customFormat="1" customHeight="1" ht="0">
      <c r="A59" s="1502" t="s">
        <v>261</v>
      </c>
      <c r="B59" s="1502" t="s">
        <v>262</v>
      </c>
      <c r="C59" s="1502" t="s">
        <v>263</v>
      </c>
      <c r="D59" s="1502" t="s">
        <v>545</v>
      </c>
      <c r="E59" s="2321"/>
      <c r="F59" s="2321"/>
      <c r="G59" s="2321"/>
      <c r="H59" s="2320"/>
      <c r="I59" s="1502"/>
      <c r="J59" s="1502"/>
      <c r="K59" s="1502"/>
      <c r="L59" s="1505"/>
      <c r="M59" s="1474"/>
      <c r="N59" s="1474"/>
      <c r="O59" s="672"/>
      <c r="P59" s="534"/>
      <c r="Q59" s="1503"/>
      <c r="R59" s="1560"/>
      <c r="S59" s="1545"/>
      <c r="T59" s="1546"/>
      <c r="U59" s="1547"/>
      <c r="V59" s="1547"/>
      <c r="W59" s="1547"/>
      <c r="X59" s="1547"/>
      <c r="Y59" s="1547"/>
      <c r="Z59" s="1547"/>
      <c r="AA59" s="1547"/>
      <c r="AB59" s="1547"/>
      <c r="AC59" s="1547"/>
      <c r="AD59" s="1547"/>
      <c r="AE59" s="1547"/>
      <c r="AF59" s="1547"/>
      <c r="AG59" s="1547"/>
      <c r="AH59" s="1547"/>
      <c r="AI59" s="1547"/>
      <c r="AJ59" s="1547"/>
      <c r="AK59" s="1547"/>
      <c r="AL59" s="1547"/>
      <c r="AM59" s="1547"/>
      <c r="AN59" s="1547"/>
      <c r="AO59" s="1547"/>
      <c r="AP59" s="1547"/>
      <c r="AQ59" s="1547"/>
      <c r="AR59" s="1547"/>
      <c r="AS59" s="1547"/>
      <c r="AT59" s="1547"/>
      <c r="AU59" s="1547"/>
      <c r="AV59" s="1547"/>
      <c r="AW59" s="1547"/>
      <c r="AX59" s="1547"/>
      <c r="AY59" s="1547"/>
      <c r="AZ59" s="1547"/>
      <c r="BA59" s="1547"/>
      <c r="BB59" s="1547"/>
      <c r="BC59" s="1548"/>
      <c r="BE59" s="654"/>
      <c r="BF59" s="654" t="str">
        <f>IF(T59="","",T59)</f>
        <v/>
      </c>
      <c r="BG59" s="654"/>
      <c r="BH59" s="654"/>
    </row>
    <row s="8702" customFormat="1" customHeight="1" ht="0">
      <c r="A60" s="1502" t="s">
        <v>261</v>
      </c>
      <c r="B60" s="1502" t="s">
        <v>262</v>
      </c>
      <c r="C60" s="1502" t="s">
        <v>263</v>
      </c>
      <c r="D60" s="1473"/>
      <c r="E60" s="2321"/>
      <c r="F60" s="2321"/>
      <c r="G60" s="2320"/>
      <c r="H60" s="1473"/>
      <c r="I60" s="1473"/>
      <c r="J60" s="1473"/>
      <c r="K60" s="1473"/>
      <c r="L60" s="1653"/>
      <c r="M60" s="1474"/>
      <c r="N60" s="1474"/>
      <c r="P60" s="1475"/>
      <c r="Q60" s="1476"/>
      <c r="R60" s="1475"/>
      <c r="S60" s="1481"/>
      <c r="T60" s="1484"/>
      <c r="U60" s="1483"/>
      <c r="V60" s="1483"/>
      <c r="W60" s="1483"/>
      <c r="X60" s="1483"/>
      <c r="Y60" s="1483"/>
      <c r="Z60" s="1483"/>
      <c r="AA60" s="1483"/>
      <c r="AB60" s="1483"/>
      <c r="AC60" s="1483"/>
      <c r="AD60" s="1483"/>
      <c r="AE60" s="1483"/>
      <c r="AF60" s="1483"/>
      <c r="AG60" s="1483"/>
      <c r="AH60" s="1483"/>
      <c r="AI60" s="1483"/>
      <c r="AJ60" s="1483"/>
      <c r="AK60" s="1483"/>
      <c r="AL60" s="1483"/>
      <c r="AM60" s="1483"/>
      <c r="AN60" s="1483"/>
      <c r="AO60" s="1483"/>
      <c r="AP60" s="1483"/>
      <c r="AQ60" s="1483"/>
      <c r="AR60" s="1483"/>
      <c r="AS60" s="1483"/>
      <c r="AT60" s="1483"/>
      <c r="AU60" s="1483"/>
      <c r="AV60" s="1483"/>
      <c r="AW60" s="1483"/>
      <c r="AX60" s="1483"/>
      <c r="AY60" s="1483"/>
      <c r="AZ60" s="1483"/>
      <c r="BA60" s="1483"/>
      <c r="BB60" s="1483"/>
      <c r="BC60" s="1483"/>
      <c r="BE60" s="943"/>
      <c r="BF60" s="943" t="str">
        <f>IF(T60="","",T60)</f>
        <v/>
      </c>
      <c r="BG60" s="943"/>
      <c r="BH60" s="943"/>
    </row>
    <row s="8702" customFormat="1" customHeight="1" ht="0">
      <c r="A61" s="1502" t="s">
        <v>261</v>
      </c>
      <c r="B61" s="1502" t="s">
        <v>262</v>
      </c>
      <c r="C61" s="1473"/>
      <c r="D61" s="1473"/>
      <c r="E61" s="2321"/>
      <c r="F61" s="2320"/>
      <c r="G61" s="1473"/>
      <c r="H61" s="1473"/>
      <c r="I61" s="1473"/>
      <c r="J61" s="1473"/>
      <c r="K61" s="1473"/>
      <c r="L61" s="1653"/>
      <c r="M61" s="1480"/>
      <c r="N61" s="1480"/>
      <c r="P61" s="1475"/>
      <c r="Q61" s="1476"/>
      <c r="R61" s="1475"/>
      <c r="S61" s="1481"/>
      <c r="T61" s="1484" t="s">
        <v>251</v>
      </c>
      <c r="U61" s="1483"/>
      <c r="V61" s="1483"/>
      <c r="W61" s="1483"/>
      <c r="X61" s="1483"/>
      <c r="Y61" s="1483"/>
      <c r="Z61" s="1483"/>
      <c r="AA61" s="1483"/>
      <c r="AB61" s="1483"/>
      <c r="AC61" s="1483"/>
      <c r="AD61" s="1483"/>
      <c r="AE61" s="1483"/>
      <c r="AF61" s="1483"/>
      <c r="AG61" s="1483"/>
      <c r="AH61" s="1483"/>
      <c r="AI61" s="1483"/>
      <c r="AJ61" s="1483"/>
      <c r="AK61" s="1483"/>
      <c r="AL61" s="1483"/>
      <c r="AM61" s="1483"/>
      <c r="AN61" s="1483"/>
      <c r="AO61" s="1483"/>
      <c r="AP61" s="1483"/>
      <c r="AQ61" s="1483"/>
      <c r="AR61" s="1483"/>
      <c r="AS61" s="1483"/>
      <c r="AT61" s="1483"/>
      <c r="AU61" s="1483"/>
      <c r="AV61" s="1483"/>
      <c r="AW61" s="1483"/>
      <c r="AX61" s="1483"/>
      <c r="AY61" s="1483"/>
      <c r="AZ61" s="1483"/>
      <c r="BA61" s="1483"/>
      <c r="BB61" s="1483"/>
      <c r="BC61" s="1483"/>
      <c r="BE61" s="943"/>
      <c r="BF61" s="943" t="str">
        <f>IF(T61="","",T61)</f>
        <v>Добавить централизованную систему для дифференциации</v>
      </c>
      <c r="BG61" s="943"/>
      <c r="BH61" s="943"/>
    </row>
    <row s="8794" customFormat="1" customHeight="1" ht="0">
      <c r="A62" s="1502" t="s">
        <v>261</v>
      </c>
      <c r="B62" s="1502"/>
      <c r="C62" s="1502"/>
      <c r="D62" s="1502"/>
      <c r="E62" s="2320"/>
      <c r="F62" s="1502"/>
      <c r="G62" s="1502"/>
      <c r="H62" s="1502"/>
      <c r="I62" s="1502"/>
      <c r="J62" s="1502"/>
      <c r="K62" s="1502"/>
      <c r="L62" s="1505"/>
      <c r="M62" s="1480"/>
      <c r="N62" s="1480"/>
      <c r="O62" s="672"/>
      <c r="P62" s="534"/>
      <c r="Q62" s="1503"/>
      <c r="R62" s="534"/>
      <c r="S62" s="1481"/>
      <c r="T62" s="1484" t="s">
        <v>252</v>
      </c>
      <c r="U62" s="1483"/>
      <c r="V62" s="1483"/>
      <c r="W62" s="1483"/>
      <c r="X62" s="1483"/>
      <c r="Y62" s="1483"/>
      <c r="Z62" s="1483"/>
      <c r="AA62" s="1483"/>
      <c r="AB62" s="1483"/>
      <c r="AC62" s="1483"/>
      <c r="AD62" s="1483"/>
      <c r="AE62" s="1483"/>
      <c r="AF62" s="1483"/>
      <c r="AG62" s="1483"/>
      <c r="AH62" s="1483"/>
      <c r="AI62" s="1483"/>
      <c r="AJ62" s="1483"/>
      <c r="AK62" s="1483"/>
      <c r="AL62" s="1483"/>
      <c r="AM62" s="1483"/>
      <c r="AN62" s="1483"/>
      <c r="AO62" s="1483"/>
      <c r="AP62" s="1483"/>
      <c r="AQ62" s="1483"/>
      <c r="AR62" s="1483"/>
      <c r="AS62" s="1483"/>
      <c r="AT62" s="1483"/>
      <c r="AU62" s="1483"/>
      <c r="AV62" s="1483"/>
      <c r="AW62" s="1483"/>
      <c r="AX62" s="1483"/>
      <c r="AY62" s="1483"/>
      <c r="AZ62" s="1483"/>
      <c r="BA62" s="1483"/>
      <c r="BB62" s="1483"/>
      <c r="BC62" s="1483"/>
      <c r="BE62" s="654"/>
      <c r="BF62" s="654" t="str">
        <f>IF(T62="","",T62)</f>
        <v>Добавить территорию для дифференциации</v>
      </c>
      <c r="BG62" s="654"/>
      <c r="BH62" s="654"/>
    </row>
    <row s="8702" customFormat="1" customHeight="1" ht="0">
      <c r="A63" s="1473"/>
      <c r="B63" s="1473"/>
      <c r="C63" s="1473"/>
      <c r="D63" s="1473"/>
      <c r="E63" s="1502"/>
      <c r="F63" s="1473"/>
      <c r="G63" s="1473"/>
      <c r="H63" s="1473"/>
      <c r="I63" s="1473"/>
      <c r="J63" s="1473"/>
      <c r="K63" s="1473"/>
      <c r="L63" s="1653"/>
      <c r="M63" s="1480"/>
      <c r="N63" s="1480"/>
      <c r="P63" s="1475"/>
      <c r="Q63" s="1476"/>
      <c r="R63" s="1475"/>
      <c r="S63" s="1481"/>
      <c r="T63" s="1484" t="s">
        <v>253</v>
      </c>
      <c r="U63" s="1483"/>
      <c r="V63" s="1483"/>
      <c r="W63" s="1483"/>
      <c r="X63" s="1483"/>
      <c r="Y63" s="1483"/>
      <c r="Z63" s="1483"/>
      <c r="AA63" s="1483"/>
      <c r="AB63" s="1483"/>
      <c r="AC63" s="1483"/>
      <c r="AD63" s="1483"/>
      <c r="AE63" s="1483"/>
      <c r="AF63" s="1483"/>
      <c r="AG63" s="1483"/>
      <c r="AH63" s="1483"/>
      <c r="AI63" s="1483"/>
      <c r="AJ63" s="1483"/>
      <c r="AK63" s="1483"/>
      <c r="AL63" s="1483"/>
      <c r="AM63" s="1483"/>
      <c r="AN63" s="1483"/>
      <c r="AO63" s="1483"/>
      <c r="AP63" s="1483"/>
      <c r="AQ63" s="1483"/>
      <c r="AR63" s="1483"/>
      <c r="AS63" s="1483"/>
      <c r="AT63" s="1483"/>
      <c r="AU63" s="1483"/>
      <c r="AV63" s="1483"/>
      <c r="AW63" s="1483"/>
      <c r="AX63" s="1483"/>
      <c r="AY63" s="1483"/>
      <c r="AZ63" s="1483"/>
      <c r="BA63" s="1483"/>
      <c r="BB63" s="1483"/>
      <c r="BC63" s="1483"/>
      <c r="BE63" s="943"/>
      <c r="BF63" s="943" t="str">
        <f>IF(T63="","",T63)</f>
        <v>Добавить наименование тарифа</v>
      </c>
      <c r="BG63" s="943"/>
      <c r="BH63" s="943"/>
    </row>
    <row customHeight="1" ht="11.25">
      <c r="M64" s="1316"/>
      <c r="N64" s="1316"/>
      <c r="O64" s="691"/>
      <c r="P64" s="1316"/>
      <c r="Q64" s="1316"/>
      <c r="R64" s="1311"/>
      <c r="S64" s="1311"/>
      <c r="BD64" s="1311"/>
      <c r="BE64" s="1311"/>
      <c r="BF64" s="1311"/>
      <c r="BG64" s="1311"/>
      <c r="BH64" s="1311"/>
    </row>
    <row customHeight="1" ht="18.75">
      <c r="O65" s="691"/>
      <c r="S65" s="1411"/>
      <c r="T65" s="2319"/>
      <c r="U65" s="2319"/>
      <c r="V65" s="2319"/>
      <c r="W65" s="2319"/>
      <c r="X65" s="2319"/>
      <c r="Y65" s="2319"/>
      <c r="Z65" s="2319"/>
      <c r="AA65" s="2319"/>
      <c r="AB65" s="2319"/>
      <c r="AC65" s="2319"/>
      <c r="AD65" s="2319"/>
      <c r="AE65" s="2319"/>
      <c r="AF65" s="2319"/>
      <c r="AG65" s="2319"/>
      <c r="AH65" s="2319"/>
      <c r="AI65" s="2319"/>
      <c r="AJ65" s="2319"/>
      <c r="AK65" s="2319"/>
      <c r="AL65" s="2319"/>
      <c r="AM65" s="2319"/>
      <c r="AN65" s="2319"/>
      <c r="AO65" s="2319"/>
      <c r="AP65" s="2319"/>
      <c r="AQ65" s="2319"/>
      <c r="AR65" s="2319"/>
      <c r="AS65" s="2319"/>
      <c r="AT65" s="2319"/>
      <c r="AU65" s="2319"/>
      <c r="AV65" s="2319"/>
      <c r="AW65" s="2319"/>
      <c r="AX65" s="2319"/>
      <c r="AY65" s="2319"/>
      <c r="AZ65" s="2319"/>
      <c r="BA65" s="2319"/>
      <c r="BB65" s="2319"/>
      <c r="BC65" s="2319"/>
    </row>
    <row customHeight="1" ht="14.25">
      <c r="O66" s="691"/>
      <c r="T66" s="1639"/>
      <c r="U66" s="1639"/>
      <c r="V66" s="1639"/>
      <c r="W66" s="1639"/>
      <c r="X66" s="1639"/>
      <c r="Y66" s="1639"/>
      <c r="Z66" s="1639"/>
      <c r="AA66" s="1639"/>
      <c r="AB66" s="1639"/>
      <c r="AC66" s="1639"/>
      <c r="AD66" s="1639"/>
      <c r="AE66" s="1639"/>
      <c r="AF66" s="1639"/>
      <c r="AG66" s="1639"/>
      <c r="AH66" s="1639"/>
      <c r="AI66" s="1639"/>
      <c r="AJ66" s="1639"/>
      <c r="AK66" s="1639"/>
      <c r="AL66" s="1639"/>
      <c r="AM66" s="1639"/>
      <c r="AN66" s="1639"/>
      <c r="AO66" s="1639"/>
      <c r="AP66" s="1639"/>
      <c r="AQ66" s="1639"/>
      <c r="AR66" s="1639"/>
      <c r="AS66" s="1639"/>
      <c r="AT66" s="1639"/>
      <c r="AU66" s="1639"/>
      <c r="AV66" s="1639"/>
      <c r="AW66" s="1639"/>
      <c r="AX66" s="1639"/>
      <c r="AY66" s="1639"/>
      <c r="AZ66" s="1639"/>
      <c r="BA66" s="1639"/>
      <c r="BB66" s="1639"/>
      <c r="BC66" s="1639"/>
    </row>
    <row customHeight="1" ht="18.75">
      <c r="O67" s="691"/>
      <c r="S67" s="1411"/>
      <c r="T67" s="2319"/>
      <c r="U67" s="2319"/>
      <c r="V67" s="2319"/>
      <c r="W67" s="2319"/>
      <c r="X67" s="2319"/>
      <c r="Y67" s="2319"/>
      <c r="Z67" s="2319"/>
      <c r="AA67" s="2319"/>
      <c r="AB67" s="2319"/>
      <c r="AC67" s="2319"/>
      <c r="AD67" s="2319"/>
      <c r="AE67" s="2319"/>
      <c r="AF67" s="2319"/>
      <c r="AG67" s="2319"/>
      <c r="AH67" s="2319"/>
      <c r="AI67" s="2319"/>
      <c r="AJ67" s="2319"/>
      <c r="AK67" s="2319"/>
      <c r="AL67" s="2319"/>
      <c r="AM67" s="2319"/>
      <c r="AN67" s="2319"/>
      <c r="AO67" s="2319"/>
      <c r="AP67" s="2319"/>
      <c r="AQ67" s="2319"/>
      <c r="AR67" s="2319"/>
      <c r="AS67" s="2319"/>
      <c r="AT67" s="2319"/>
      <c r="AU67" s="2319"/>
      <c r="AV67" s="2319"/>
      <c r="AW67" s="2319"/>
      <c r="AX67" s="2319"/>
      <c r="AY67" s="2319"/>
      <c r="AZ67" s="2319"/>
      <c r="BA67" s="2319"/>
      <c r="BB67" s="2319"/>
      <c r="BC67" s="2319"/>
    </row>
    <row customHeight="1" ht="14.25">
      <c r="O68" s="691"/>
    </row>
  </sheetData>
  <sheetProtection formatColumns="0" formatRows="0" autoFilter="0" sort="0" insertRows="0" insertColumns="1" deleteRows="0" deleteColumns="0"/>
  <mergeCells count="122">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 ref="BC8:BC13"/>
    <mergeCell ref="AF8:AF11"/>
    <mergeCell ref="AG8:AG11"/>
    <mergeCell ref="AH8:AH11"/>
    <mergeCell ref="AI8:AI10"/>
    <mergeCell ref="AJ8:AJ10"/>
    <mergeCell ref="AK8:AK10"/>
    <mergeCell ref="K8:K12"/>
    <mergeCell ref="R8:R12"/>
    <mergeCell ref="S8:S12"/>
    <mergeCell ref="T8:T12"/>
    <mergeCell ref="AD8:AD12"/>
    <mergeCell ref="AE8:AE11"/>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5E3D429-91C1-8F4F-25BE-EEFDEC5E6BE5}" mc:Ignorable="x14ac xr xr2 xr3">
  <sheetPr>
    <tabColor theme="9" tint="-0.25"/>
  </sheetPr>
  <dimension ref="A1:AE302"/>
  <sheetViews>
    <sheetView topLeftCell="A1" showGridLines="0" zoomScale="90" workbookViewId="0">
      <selection activeCell="A1" sqref="A1"/>
    </sheetView>
  </sheetViews>
  <sheetFormatPr defaultColWidth="9.140625" customHeight="1" defaultRowHeight="11.25"/>
  <cols>
    <col min="1" max="1" style="9328" width="10.7109375" hidden="1" customWidth="1"/>
    <col min="2" max="2" style="8721" width="16.8515625" hidden="1" customWidth="1"/>
    <col min="3" max="3" style="8847" width="5.57421875" hidden="1" customWidth="1"/>
    <col min="4" max="4" style="9329" width="3.7109375" customWidth="1"/>
    <col min="5" max="5" style="8849" width="7.7109375" customWidth="1"/>
    <col min="6" max="6" style="8849" width="54.57421875" customWidth="1"/>
    <col min="7" max="7" style="8849" width="10.421875" customWidth="1"/>
    <col min="8" max="8" style="8849" width="40.7109375" hidden="1" customWidth="1"/>
    <col min="9" max="9" style="8849" width="40.7109375" customWidth="1"/>
    <col min="10" max="10" style="8849" width="102.8515625" customWidth="1"/>
    <col min="11" max="11" style="8721" width="9.7109375" customWidth="1"/>
    <col min="12" max="12" style="8847" width="5.28125" customWidth="1"/>
    <col min="13" max="13" style="8847" width="3.7109375" customWidth="1"/>
    <col min="14" max="17" style="8721" width="3.7109375" customWidth="1"/>
    <col min="18" max="18" style="8847" width="10.57421875" customWidth="1"/>
    <col min="19" max="19" style="8721" width="34.7109375" customWidth="1"/>
    <col min="20" max="20" style="8721" width="9.421875" customWidth="1"/>
    <col min="21" max="21" style="9330" width="9.140625"/>
    <col min="22" max="26" style="8721" width="9.140625"/>
    <col min="27" max="31" style="9232" width="9.140625"/>
  </cols>
  <sheetData>
    <row customHeight="1" ht="11.25" hidden="1"/>
    <row customHeight="1" ht="23.25" hidden="1">
      <c r="B2" s="2167"/>
      <c r="C2" s="1323" t="s">
        <v>546</v>
      </c>
      <c r="D2" s="1797"/>
      <c r="E2" s="700">
        <f>B2</f>
        <v>0</v>
      </c>
      <c r="F2" s="701"/>
      <c r="G2" s="1805" t="s">
        <v>547</v>
      </c>
      <c r="H2" s="1805" t="s">
        <v>547</v>
      </c>
      <c r="I2" s="1805" t="s">
        <v>547</v>
      </c>
      <c r="J2" s="443" t="s">
        <v>548</v>
      </c>
      <c r="K2" s="697"/>
    </row>
    <row s="8847" customFormat="1" customHeight="1" ht="0.75" hidden="1">
      <c r="B3" s="2167"/>
      <c r="C3" s="1323"/>
      <c r="D3" s="702"/>
      <c r="E3" s="703"/>
      <c r="F3" s="704" t="s">
        <v>549</v>
      </c>
      <c r="G3" s="705"/>
      <c r="H3" s="705">
        <f>H4*H5+H7</f>
        <v>0</v>
      </c>
      <c r="I3" s="705">
        <f>I4*I5+I6</f>
        <v>0</v>
      </c>
      <c r="J3" s="706"/>
    </row>
    <row customHeight="1" ht="23.25" hidden="1">
      <c r="B4" s="2167"/>
      <c r="C4" s="1323"/>
      <c r="D4" s="1797"/>
      <c r="E4" s="700" t="str">
        <f>B2&amp;".1"</f>
        <v>.1</v>
      </c>
      <c r="F4" s="707" t="s">
        <v>550</v>
      </c>
      <c r="G4" s="708"/>
      <c r="H4" s="695"/>
      <c r="I4" s="695"/>
      <c r="J4" s="443" t="s">
        <v>551</v>
      </c>
      <c r="K4" s="697"/>
    </row>
    <row customHeight="1" ht="18.75" hidden="1">
      <c r="B5" s="2167"/>
      <c r="C5" s="1323"/>
      <c r="D5" s="1797"/>
      <c r="E5" s="700" t="str">
        <f>B2&amp;".2"</f>
        <v>.2</v>
      </c>
      <c r="F5" s="707" t="s">
        <v>552</v>
      </c>
      <c r="G5" s="1805" t="s">
        <v>553</v>
      </c>
      <c r="H5" s="695"/>
      <c r="I5" s="695"/>
      <c r="J5" s="443"/>
      <c r="K5" s="697"/>
    </row>
    <row customHeight="1" ht="18.75" hidden="1">
      <c r="B6" s="2167"/>
      <c r="C6" s="1323"/>
      <c r="D6" s="1797"/>
      <c r="E6" s="700" t="str">
        <f>B2&amp;".3"</f>
        <v>.3</v>
      </c>
      <c r="F6" s="707" t="s">
        <v>554</v>
      </c>
      <c r="G6" s="1805" t="s">
        <v>553</v>
      </c>
      <c r="H6" s="695"/>
      <c r="I6" s="695"/>
      <c r="J6" s="443"/>
      <c r="K6" s="697"/>
    </row>
    <row customHeight="1" ht="18.75" hidden="1">
      <c r="B7" s="2167"/>
      <c r="C7" s="1323"/>
      <c r="D7" s="1797"/>
      <c r="E7" s="700" t="str">
        <f>B2&amp;".4"</f>
        <v>.4</v>
      </c>
      <c r="F7" s="707" t="s">
        <v>555</v>
      </c>
      <c r="G7" s="1805" t="s">
        <v>547</v>
      </c>
      <c r="H7" s="709"/>
      <c r="I7" s="709"/>
      <c r="J7" s="443"/>
      <c r="K7" s="697"/>
    </row>
    <row s="8721" customFormat="1" customHeight="1" ht="11.25" hidden="1">
      <c r="A8" s="1142"/>
      <c r="C8" s="1795"/>
      <c r="D8" s="691"/>
      <c r="H8" s="1316">
        <v>4</v>
      </c>
      <c r="I8" s="1316">
        <v>4</v>
      </c>
      <c r="L8" s="1795"/>
      <c r="M8" s="1795"/>
      <c r="R8" s="1795"/>
    </row>
    <row s="8721" customFormat="1" customHeight="1" ht="22.5" hidden="1">
      <c r="A9" s="1142"/>
      <c r="C9" s="1795"/>
      <c r="D9" s="692"/>
      <c r="E9" s="1807"/>
      <c r="F9" s="694"/>
      <c r="G9" s="1805" t="s">
        <v>553</v>
      </c>
      <c r="H9" s="695"/>
      <c r="I9" s="695"/>
      <c r="J9" s="696" t="s">
        <v>556</v>
      </c>
      <c r="K9" s="697"/>
      <c r="L9" s="1795"/>
      <c r="M9" s="1795"/>
      <c r="R9" s="1795"/>
      <c r="U9" s="698"/>
      <c r="AA9" s="1791"/>
      <c r="AB9" s="1791"/>
      <c r="AC9" s="1791"/>
      <c r="AD9" s="1791"/>
      <c r="AE9" s="1791"/>
    </row>
    <row customHeight="1" ht="11.25" hidden="1"/>
    <row customHeight="1" ht="18.75" hidden="1">
      <c r="D11" s="1797"/>
      <c r="E11" s="700"/>
      <c r="F11" s="694"/>
      <c r="G11" s="1805" t="s">
        <v>557</v>
      </c>
      <c r="H11" s="695"/>
      <c r="I11" s="695"/>
      <c r="J11" s="443" t="s">
        <v>558</v>
      </c>
      <c r="K11" s="697"/>
    </row>
    <row customHeight="1" ht="11.25" hidden="1"/>
    <row customHeight="1" ht="22.5" hidden="1">
      <c r="D13" s="1797"/>
      <c r="E13" s="700"/>
      <c r="F13" s="694"/>
      <c r="G13" s="1124" t="s">
        <v>559</v>
      </c>
      <c r="H13" s="699"/>
      <c r="I13" s="699"/>
      <c r="J13" s="899" t="s">
        <v>560</v>
      </c>
      <c r="K13" s="697"/>
    </row>
    <row customHeight="1" ht="11.25" hidden="1"/>
    <row customHeight="1" ht="22.5" hidden="1">
      <c r="D15" s="1797"/>
      <c r="E15" s="700"/>
      <c r="F15" s="694"/>
      <c r="G15" s="1805" t="s">
        <v>561</v>
      </c>
      <c r="H15" s="699"/>
      <c r="I15" s="699"/>
      <c r="J15" s="443" t="s">
        <v>562</v>
      </c>
      <c r="K15" s="697"/>
    </row>
    <row customHeight="1" ht="11.25" hidden="1"/>
    <row customHeight="1" ht="22.5" hidden="1">
      <c r="D17" s="1797"/>
      <c r="E17" s="700"/>
      <c r="F17" s="694"/>
      <c r="G17" s="1805" t="s">
        <v>563</v>
      </c>
      <c r="H17" s="699"/>
      <c r="I17" s="699"/>
      <c r="J17" s="443" t="s">
        <v>564</v>
      </c>
      <c r="K17" s="697"/>
    </row>
    <row customHeight="1" ht="11.25" hidden="1"/>
    <row s="9232" customFormat="1" customHeight="1" ht="11.25" hidden="1">
      <c r="A19" s="1142"/>
      <c r="B19" s="1316"/>
      <c r="C19" s="1795"/>
      <c r="D19" s="516"/>
      <c r="J19" s="1791">
        <v>4</v>
      </c>
      <c r="K19" s="1316"/>
      <c r="L19" s="1795"/>
      <c r="M19" s="1795"/>
      <c r="N19" s="1316"/>
      <c r="O19" s="1316"/>
      <c r="P19" s="1316"/>
      <c r="Q19" s="1316"/>
      <c r="R19" s="1795"/>
      <c r="S19" s="1316"/>
      <c r="T19" s="1316"/>
      <c r="U19" s="698"/>
      <c r="V19" s="1316"/>
      <c r="W19" s="1316"/>
      <c r="X19" s="1316"/>
      <c r="Y19" s="1316"/>
      <c r="Z19" s="1316"/>
    </row>
    <row r="21" customHeight="1" ht="24">
      <c r="E21" s="2353" t="str">
        <f>FHD_NAME_FORM</f>
        <v>Форма 4. Информация об основных показателях финансово-хозяйственной деятельности организации горячего водоснабжения, включая структуру основных производственных затрат (в части регулируемых видов деятельности в сфере горячего водоснабжения)</v>
      </c>
      <c r="F21" s="2353"/>
      <c r="G21" s="2353"/>
      <c r="H21" s="2353"/>
      <c r="I21" s="2353"/>
      <c r="J21" s="710"/>
    </row>
    <row customHeight="1" ht="24">
      <c r="E22" s="2354" t="str">
        <f>IF(org=0,"Не определено",org)</f>
        <v>АО "Теплокоммунэнерго"</v>
      </c>
      <c r="F22" s="2354"/>
      <c r="G22" s="2354"/>
      <c r="H22" s="2354"/>
      <c r="I22" s="2354"/>
    </row>
    <row customHeight="1" ht="11.25">
      <c r="E23" s="1291"/>
      <c r="F23" s="1291"/>
      <c r="G23" s="1291"/>
      <c r="H23" s="1291"/>
      <c r="I23" s="1291"/>
    </row>
    <row s="8847" customFormat="1" customHeight="1" ht="0.75">
      <c r="A24" s="1323"/>
      <c r="D24" s="1801"/>
      <c r="H24" s="1043"/>
      <c r="I24" s="1043" t="s">
        <v>114</v>
      </c>
    </row>
    <row customHeight="1" ht="11.25">
      <c r="E25" s="865"/>
      <c r="F25" s="2429" t="s">
        <v>102</v>
      </c>
      <c r="G25" s="2430"/>
      <c r="H25" s="1811" t="str">
        <f>IF(H24="","",INDEX(DIFFERENTIATION_UNMERGE_VD,MATCH(H24,DIFFERENTIATION_ID_DIFF,0)))</f>
        <v/>
      </c>
      <c r="I25" s="1811">
        <f>IF(I24="","",INDEX(DIFFERENTIATION_UNMERGE_VD,MATCH(I24,DIFFERENTIATION_ID_DIFF,0)))</f>
        <v>0</v>
      </c>
      <c r="J25" s="2185"/>
    </row>
    <row customHeight="1" ht="11.25">
      <c r="E26" s="865"/>
      <c r="F26" s="2429" t="s">
        <v>565</v>
      </c>
      <c r="G26" s="2430"/>
      <c r="H26" s="1811" t="str">
        <f>IF(H24="","",INDEX(DIFFERENTIATION_UNMERGE_AREA,MATCH(H24,DIFFERENTIATION_ID_DIFF,0)))</f>
        <v/>
      </c>
      <c r="I26" s="1811" t="str">
        <f>IF(I24="","",INDEX(DIFFERENTIATION_UNMERGE_AREA,MATCH(I24,DIFFERENTIATION_ID_DIFF,0)))</f>
        <v/>
      </c>
      <c r="J26" s="2185"/>
    </row>
    <row customHeight="1" ht="11.25">
      <c r="E27" s="865"/>
      <c r="F27" s="2429" t="s">
        <v>566</v>
      </c>
      <c r="G27" s="2430"/>
      <c r="H27" s="1811" t="str">
        <f>IF(H24="","",INDEX(DIFFERENTIATION_UNMERGE_SYSTEM,MATCH(H24,DIFFERENTIATION_ID_DIFF,0)))</f>
        <v/>
      </c>
      <c r="I27" s="1811" t="str">
        <f>IF(I24="","",INDEX(DIFFERENTIATION_UNMERGE_SYSTEM,MATCH(I24,DIFFERENTIATION_ID_DIFF,0)))</f>
        <v>без дифференциации</v>
      </c>
      <c r="J27" s="2185"/>
    </row>
    <row customHeight="1" ht="11.25">
      <c r="E28" s="2431" t="s">
        <v>300</v>
      </c>
      <c r="F28" s="2432"/>
      <c r="G28" s="2432"/>
      <c r="H28" s="1804"/>
      <c r="I28" s="1804"/>
      <c r="J28" s="2185"/>
    </row>
    <row customHeight="1" ht="22.5">
      <c r="E29" s="1805" t="s">
        <v>85</v>
      </c>
      <c r="F29" s="1812" t="s">
        <v>302</v>
      </c>
      <c r="G29" s="1812" t="s">
        <v>567</v>
      </c>
      <c r="H29" s="1812" t="s">
        <v>303</v>
      </c>
      <c r="I29" s="1812" t="s">
        <v>303</v>
      </c>
      <c r="J29" s="2185"/>
    </row>
    <row customHeight="1" ht="18.75">
      <c r="D30" s="1797"/>
      <c r="E30" s="700">
        <f>FHD_NUM_P_1</f>
        <v>1</v>
      </c>
      <c r="F30" s="2040" t="str">
        <f>FHD_P_1</f>
        <v>Выручка от регулируемых видов деятельности в сфере горячего водоснабжения</v>
      </c>
      <c r="G30" s="2038" t="s">
        <v>553</v>
      </c>
      <c r="H30" s="711"/>
      <c r="I30" s="711"/>
      <c r="J30" s="443" t="str">
        <f>FHD_NOTE_P_1</f>
        <v>Указывается выручка с распределением по видам деятельности.</v>
      </c>
      <c r="K30" s="697"/>
    </row>
    <row customHeight="1" ht="11.25">
      <c r="D31" s="1797"/>
      <c r="E31" s="700">
        <f>FHD_NUM_P_2</f>
        <v>2</v>
      </c>
      <c r="F31" s="2040" t="str">
        <f>FHD_P_2</f>
        <v>Себестоимость производимых товаров (оказываемых услуг) по регулируемым видам деятельности в сфере горячего водоснабжения, включая:</v>
      </c>
      <c r="G31" s="2038" t="s">
        <v>553</v>
      </c>
      <c r="H31" s="712">
        <f>SUMIF($K33:$K71,$K31,H33:H71)</f>
        <v>0</v>
      </c>
      <c r="I31" s="712">
        <f>SUMIF($K33:$K71,$K31,I33:I71)</f>
        <v>0</v>
      </c>
      <c r="J31" s="443" t="str">
        <f>FHD_NOTE_P_2</f>
        <v>Указывается суммарная себестоимость производимых товаров.</v>
      </c>
      <c r="K31" s="1795" t="s">
        <v>568</v>
      </c>
    </row>
    <row customHeight="1" ht="11.25">
      <c r="D32" s="1797"/>
      <c r="E32" s="700" t="str">
        <f>FHD_NUM_P_3</f>
        <v>2.1</v>
      </c>
      <c r="F32" s="1683" t="str">
        <f>FHD_P_3</f>
        <v>Расходы на приобретаемую тепловую энергию (мощность), используемую для горячего водоснабжения</v>
      </c>
      <c r="G32" s="2038" t="s">
        <v>553</v>
      </c>
      <c r="H32" s="711"/>
      <c r="I32" s="711"/>
      <c r="J32" s="443" t="str">
        <f>FHD_NOTE_P_3</f>
        <v/>
      </c>
      <c r="K32" s="1795" t="str">
        <f>IF((LEN(E32)-LEN(SUBSTITUTE(E32,".","")))/LEN(".")=1,"p","")</f>
        <v>p</v>
      </c>
    </row>
    <row customHeight="1" ht="11.25" hidden="1">
      <c r="A33" s="2426" t="s">
        <v>569</v>
      </c>
      <c r="D33" s="1797"/>
      <c r="E33" s="700" t="str">
        <f>FHD_NUM_P_4</f>
        <v/>
      </c>
      <c r="F33" s="1683" t="str">
        <f>FHD_P_4</f>
        <v/>
      </c>
      <c r="G33" s="2038" t="s">
        <v>553</v>
      </c>
      <c r="H33" s="712">
        <f>SUMIF($F34:$F40,$F3,H34:H40)</f>
        <v>0</v>
      </c>
      <c r="I33" s="712">
        <f>SUMIF($F34:$F40,$F3,I34:I40)</f>
        <v>0</v>
      </c>
      <c r="J33" s="443" t="str">
        <f>FHD_NOTE_P_4</f>
        <v/>
      </c>
      <c r="K33" s="1795" t="str">
        <f>IF((LEN(E33)-LEN(SUBSTITUTE(E33,".","")))/LEN(".")=1,"p","")</f>
        <v/>
      </c>
    </row>
    <row s="8844" customFormat="1" customHeight="1" ht="0.75" hidden="1">
      <c r="A34" s="2426"/>
      <c r="B34" s="2427" t="str">
        <f>E33&amp;".0"</f>
        <v>.0</v>
      </c>
      <c r="C34" s="1323"/>
      <c r="D34" s="714"/>
      <c r="E34" s="715"/>
      <c r="F34" s="716"/>
      <c r="G34" s="717"/>
      <c r="H34" s="651"/>
      <c r="I34" s="651"/>
      <c r="J34" s="718"/>
      <c r="K34" s="1795" t="str">
        <f>IF((LEN(E34)-LEN(SUBSTITUTE(E34,".","")))/LEN(".")=1,"p","")</f>
        <v/>
      </c>
      <c r="L34" s="1795"/>
      <c r="M34" s="1795"/>
      <c r="N34" s="1795"/>
      <c r="O34" s="1795"/>
      <c r="P34" s="1795"/>
      <c r="Q34" s="1795"/>
      <c r="R34" s="1795"/>
      <c r="S34" s="1795"/>
      <c r="T34" s="1795"/>
      <c r="U34" s="719"/>
      <c r="V34" s="1795"/>
      <c r="W34" s="1795"/>
      <c r="X34" s="1795"/>
      <c r="Y34" s="1795"/>
      <c r="Z34" s="1795"/>
      <c r="AA34" s="720"/>
      <c r="AB34" s="720"/>
      <c r="AC34" s="720"/>
      <c r="AD34" s="720"/>
      <c r="AE34" s="720"/>
    </row>
    <row s="8844" customFormat="1" customHeight="1" ht="0.75" hidden="1">
      <c r="A35" s="2426"/>
      <c r="B35" s="2427"/>
      <c r="C35" s="1323"/>
      <c r="D35" s="714"/>
      <c r="E35" s="721"/>
      <c r="F35" s="722"/>
      <c r="G35" s="717"/>
      <c r="H35" s="723"/>
      <c r="I35" s="723"/>
      <c r="J35" s="718"/>
      <c r="K35" s="1795" t="str">
        <f>IF((LEN(E35)-LEN(SUBSTITUTE(E35,".","")))/LEN(".")=1,"p","")</f>
        <v/>
      </c>
      <c r="L35" s="1795"/>
      <c r="M35" s="1795"/>
      <c r="N35" s="1795"/>
      <c r="O35" s="1795"/>
      <c r="P35" s="1795"/>
      <c r="Q35" s="1795"/>
      <c r="R35" s="1795"/>
      <c r="S35" s="1795"/>
      <c r="T35" s="1795"/>
      <c r="U35" s="719"/>
      <c r="V35" s="1795"/>
      <c r="W35" s="1795"/>
      <c r="X35" s="1795"/>
      <c r="Y35" s="1795"/>
      <c r="Z35" s="1795"/>
      <c r="AA35" s="720"/>
      <c r="AB35" s="720"/>
      <c r="AC35" s="720"/>
      <c r="AD35" s="720"/>
      <c r="AE35" s="720"/>
    </row>
    <row s="8844" customFormat="1" customHeight="1" ht="0.75" hidden="1">
      <c r="A36" s="2426"/>
      <c r="B36" s="2427"/>
      <c r="C36" s="1323"/>
      <c r="D36" s="714"/>
      <c r="E36" s="721"/>
      <c r="F36" s="722"/>
      <c r="G36" s="717"/>
      <c r="H36" s="723"/>
      <c r="I36" s="723"/>
      <c r="J36" s="718"/>
      <c r="K36" s="1795" t="str">
        <f>IF((LEN(E36)-LEN(SUBSTITUTE(E36,".","")))/LEN(".")=1,"p","")</f>
        <v/>
      </c>
      <c r="L36" s="1795"/>
      <c r="M36" s="1795"/>
      <c r="N36" s="1795"/>
      <c r="O36" s="1795"/>
      <c r="P36" s="1795"/>
      <c r="Q36" s="1795"/>
      <c r="R36" s="1795"/>
      <c r="S36" s="1795"/>
      <c r="T36" s="1795"/>
      <c r="U36" s="719"/>
      <c r="V36" s="1795"/>
      <c r="W36" s="1795"/>
      <c r="X36" s="1795"/>
      <c r="Y36" s="1795"/>
      <c r="Z36" s="1795"/>
      <c r="AA36" s="720"/>
      <c r="AB36" s="720"/>
      <c r="AC36" s="720"/>
      <c r="AD36" s="720"/>
      <c r="AE36" s="720"/>
    </row>
    <row s="8844" customFormat="1" customHeight="1" ht="0.75" hidden="1">
      <c r="A37" s="2426"/>
      <c r="B37" s="2427"/>
      <c r="C37" s="1323"/>
      <c r="D37" s="714"/>
      <c r="E37" s="721"/>
      <c r="F37" s="722"/>
      <c r="G37" s="717"/>
      <c r="H37" s="723"/>
      <c r="I37" s="723"/>
      <c r="J37" s="718"/>
      <c r="K37" s="1795" t="str">
        <f>IF((LEN(E37)-LEN(SUBSTITUTE(E37,".","")))/LEN(".")=1,"p","")</f>
        <v/>
      </c>
      <c r="L37" s="1795"/>
      <c r="M37" s="1795"/>
      <c r="N37" s="1795"/>
      <c r="O37" s="1795"/>
      <c r="P37" s="1795"/>
      <c r="Q37" s="1795"/>
      <c r="R37" s="1795"/>
      <c r="S37" s="1795"/>
      <c r="T37" s="1795"/>
      <c r="U37" s="719"/>
      <c r="V37" s="1795"/>
      <c r="W37" s="1795"/>
      <c r="X37" s="1795"/>
      <c r="Y37" s="1795"/>
      <c r="Z37" s="1795"/>
      <c r="AA37" s="720"/>
      <c r="AB37" s="720"/>
      <c r="AC37" s="720"/>
      <c r="AD37" s="720"/>
      <c r="AE37" s="720"/>
    </row>
    <row s="8844" customFormat="1" customHeight="1" ht="0.75" hidden="1">
      <c r="A38" s="2426"/>
      <c r="B38" s="2427"/>
      <c r="C38" s="1323"/>
      <c r="D38" s="714"/>
      <c r="E38" s="721"/>
      <c r="F38" s="722"/>
      <c r="G38" s="717"/>
      <c r="H38" s="723"/>
      <c r="I38" s="723"/>
      <c r="J38" s="718"/>
      <c r="K38" s="1795" t="str">
        <f>IF((LEN(E38)-LEN(SUBSTITUTE(E38,".","")))/LEN(".")=1,"p","")</f>
        <v/>
      </c>
      <c r="L38" s="1795"/>
      <c r="M38" s="1795"/>
      <c r="N38" s="1795"/>
      <c r="O38" s="1795"/>
      <c r="P38" s="1795"/>
      <c r="Q38" s="1795"/>
      <c r="R38" s="1795"/>
      <c r="S38" s="1795"/>
      <c r="T38" s="1795"/>
      <c r="U38" s="719"/>
      <c r="V38" s="1795"/>
      <c r="W38" s="1795"/>
      <c r="X38" s="1795"/>
      <c r="Y38" s="1795"/>
      <c r="Z38" s="1795"/>
      <c r="AA38" s="720"/>
      <c r="AB38" s="720"/>
      <c r="AC38" s="720"/>
      <c r="AD38" s="720"/>
      <c r="AE38" s="720"/>
    </row>
    <row s="8844" customFormat="1" customHeight="1" ht="0.75" hidden="1">
      <c r="A39" s="2426"/>
      <c r="B39" s="2427"/>
      <c r="C39" s="1323"/>
      <c r="D39" s="714"/>
      <c r="E39" s="721"/>
      <c r="F39" s="722"/>
      <c r="G39" s="717"/>
      <c r="H39" s="651"/>
      <c r="I39" s="651"/>
      <c r="J39" s="718"/>
      <c r="K39" s="1795" t="str">
        <f>IF((LEN(E39)-LEN(SUBSTITUTE(E39,".","")))/LEN(".")=1,"p","")</f>
        <v/>
      </c>
      <c r="L39" s="1795"/>
      <c r="M39" s="1795"/>
      <c r="N39" s="1795"/>
      <c r="O39" s="1795"/>
      <c r="P39" s="1795"/>
      <c r="Q39" s="1795"/>
      <c r="R39" s="1795"/>
      <c r="S39" s="1795"/>
      <c r="T39" s="1795"/>
      <c r="U39" s="719"/>
      <c r="V39" s="1795"/>
      <c r="W39" s="1795"/>
      <c r="X39" s="1795"/>
      <c r="Y39" s="1795"/>
      <c r="Z39" s="1795"/>
      <c r="AA39" s="720"/>
      <c r="AB39" s="720"/>
      <c r="AC39" s="720"/>
      <c r="AD39" s="720"/>
      <c r="AE39" s="720"/>
    </row>
    <row s="8721" customFormat="1" customHeight="1" ht="15" hidden="1">
      <c r="A40" s="2426"/>
      <c r="C40" s="1795"/>
      <c r="D40" s="1792"/>
      <c r="E40" s="724"/>
      <c r="F40" s="725" t="s">
        <v>570</v>
      </c>
      <c r="G40" s="726"/>
      <c r="H40" s="727"/>
      <c r="I40" s="727"/>
      <c r="J40" s="455"/>
      <c r="K40" s="1795" t="str">
        <f>IF((LEN(E40)-LEN(SUBSTITUTE(E40,".","")))/LEN(".")=1,"p","")</f>
        <v/>
      </c>
      <c r="L40" s="1795"/>
      <c r="M40" s="1795"/>
      <c r="R40" s="1795"/>
      <c r="U40" s="698"/>
      <c r="AA40" s="1791"/>
      <c r="AB40" s="1791"/>
      <c r="AC40" s="1791"/>
      <c r="AD40" s="1791"/>
      <c r="AE40" s="1791"/>
    </row>
    <row customHeight="1" ht="11.25">
      <c r="A41" s="2426" t="s">
        <v>571</v>
      </c>
      <c r="D41" s="1797"/>
      <c r="E41" s="700" t="str">
        <f>FHD_NUM_P_5</f>
        <v>2.2</v>
      </c>
      <c r="F41" s="1683" t="str">
        <f>FHD_P_5</f>
        <v>Расходы на тепловую энергию, производимую с применением собственных источников и используемую для горячего водоснабжения</v>
      </c>
      <c r="G41" s="2038" t="s">
        <v>553</v>
      </c>
      <c r="H41" s="711"/>
      <c r="I41" s="711"/>
      <c r="J41" s="443" t="str">
        <f>FHD_NOTE_P_5</f>
        <v/>
      </c>
      <c r="K41" s="1795" t="str">
        <f>IF((LEN(E41)-LEN(SUBSTITUTE(E41,".","")))/LEN(".")=1,"p","")</f>
        <v>p</v>
      </c>
    </row>
    <row customHeight="1" ht="11.25">
      <c r="A42" s="2426"/>
      <c r="D42" s="1797"/>
      <c r="E42" s="700" t="str">
        <f>FHD_NUM_P_6</f>
        <v>2.3</v>
      </c>
      <c r="F42" s="1683" t="str">
        <f>FHD_P_6</f>
        <v>Расходы на приобретаемую холодную воду, используемую для горячего водоснабжения</v>
      </c>
      <c r="G42" s="2038" t="s">
        <v>553</v>
      </c>
      <c r="H42" s="711"/>
      <c r="I42" s="711"/>
      <c r="J42" s="443" t="str">
        <f>FHD_NOTE_P_6</f>
        <v/>
      </c>
      <c r="K42" s="1795" t="str">
        <f>IF((LEN(E42)-LEN(SUBSTITUTE(E42,".","")))/LEN(".")=1,"p","")</f>
        <v>p</v>
      </c>
    </row>
    <row customHeight="1" ht="11.25">
      <c r="A43" s="2426"/>
      <c r="D43" s="1797"/>
      <c r="E43" s="700" t="str">
        <f>FHD_NUM_P_7</f>
        <v>2.4</v>
      </c>
      <c r="F43" s="1683" t="str">
        <f>FHD_P_7</f>
        <v>Расходы на холодную воду, получаемую с применением собственных источников водозабора (скважин) и используемую для горячего водоснабжения</v>
      </c>
      <c r="G43" s="2038" t="s">
        <v>553</v>
      </c>
      <c r="H43" s="711"/>
      <c r="I43" s="711"/>
      <c r="J43" s="443" t="str">
        <f>FHD_NOTE_P_7</f>
        <v/>
      </c>
      <c r="K43" s="1795" t="str">
        <f>IF((LEN(E43)-LEN(SUBSTITUTE(E43,".","")))/LEN(".")=1,"p","")</f>
        <v>p</v>
      </c>
    </row>
    <row customHeight="1" ht="11.25">
      <c r="D44" s="1797"/>
      <c r="E44" s="700" t="str">
        <f>FHD_NUM_P_8</f>
        <v>2.5</v>
      </c>
      <c r="F44" s="1683" t="str">
        <f>FHD_P_8</f>
        <v>Расходы на приобретаемую электрическую энергию (мощность), используемую в технологическом процессе</v>
      </c>
      <c r="G44" s="2038" t="s">
        <v>553</v>
      </c>
      <c r="H44" s="711"/>
      <c r="I44" s="711"/>
      <c r="J44" s="443" t="str">
        <f>FHD_NOTE_P_8</f>
        <v/>
      </c>
      <c r="K44" s="1795" t="str">
        <f>IF((LEN(E44)-LEN(SUBSTITUTE(E44,".","")))/LEN(".")=1,"p","")</f>
        <v>p</v>
      </c>
    </row>
    <row customHeight="1" ht="11.25">
      <c r="D45" s="1797"/>
      <c r="E45" s="700" t="str">
        <f>FHD_NUM_P_9</f>
        <v>2.5.1</v>
      </c>
      <c r="F45" s="1809" t="str">
        <f>FHD_P_9</f>
        <v>Средневзвешенная стоимость 1 кВт.ч (с учетом мощности)</v>
      </c>
      <c r="G45" s="2038" t="s">
        <v>572</v>
      </c>
      <c r="H45" s="711"/>
      <c r="I45" s="711"/>
      <c r="J45" s="443" t="str">
        <f>FHD_NOTE_P_9</f>
        <v/>
      </c>
      <c r="K45" s="1795" t="str">
        <f>IF((LEN(E45)-LEN(SUBSTITUTE(E45,".","")))/LEN(".")=1,"p","")</f>
        <v/>
      </c>
    </row>
    <row s="8721" customFormat="1" customHeight="1" ht="11.25">
      <c r="A46" s="1142"/>
      <c r="C46" s="1795"/>
      <c r="D46" s="728"/>
      <c r="E46" s="700" t="str">
        <f>FHD_NUM_P_10</f>
        <v>2.5.2</v>
      </c>
      <c r="F46" s="1809" t="str">
        <f>FHD_P_10</f>
        <v>Объём приобретения электрической энергии</v>
      </c>
      <c r="G46" s="2038" t="s">
        <v>573</v>
      </c>
      <c r="H46" s="711"/>
      <c r="I46" s="711"/>
      <c r="J46" s="443" t="str">
        <f>FHD_NOTE_P_10</f>
        <v/>
      </c>
      <c r="K46" s="1795" t="str">
        <f>IF((LEN(E46)-LEN(SUBSTITUTE(E46,".","")))/LEN(".")=1,"p","")</f>
        <v/>
      </c>
      <c r="L46" s="1795"/>
      <c r="M46" s="1795"/>
      <c r="R46" s="1795"/>
      <c r="U46" s="698"/>
      <c r="AA46" s="1791"/>
      <c r="AB46" s="1791"/>
      <c r="AC46" s="1791"/>
      <c r="AD46" s="1791"/>
      <c r="AE46" s="1791"/>
    </row>
    <row s="8721" customFormat="1" customHeight="1" ht="11.25" hidden="1">
      <c r="A47" s="1144" t="s">
        <v>574</v>
      </c>
      <c r="C47" s="1795"/>
      <c r="D47" s="729"/>
      <c r="E47" s="700" t="str">
        <f>FHD_NUM_P_11</f>
        <v/>
      </c>
      <c r="F47" s="1683" t="str">
        <f>FHD_P_11</f>
        <v/>
      </c>
      <c r="G47" s="2038" t="s">
        <v>553</v>
      </c>
      <c r="H47" s="711"/>
      <c r="I47" s="711"/>
      <c r="J47" s="443" t="str">
        <f>FHD_NOTE_P_11</f>
        <v/>
      </c>
      <c r="K47" s="1795" t="str">
        <f>IF((LEN(E47)-LEN(SUBSTITUTE(E47,".","")))/LEN(".")=1,"p","")</f>
        <v/>
      </c>
      <c r="L47" s="1795"/>
      <c r="M47" s="1795"/>
      <c r="R47" s="1795"/>
      <c r="U47" s="698"/>
      <c r="AA47" s="1791"/>
      <c r="AB47" s="1791"/>
      <c r="AC47" s="1791"/>
      <c r="AD47" s="1791"/>
      <c r="AE47" s="1791"/>
    </row>
    <row s="8721" customFormat="1" customHeight="1" ht="18" hidden="1">
      <c r="A48" s="1144" t="s">
        <v>575</v>
      </c>
      <c r="C48" s="1795"/>
      <c r="D48" s="1797"/>
      <c r="E48" s="700" t="str">
        <f>FHD_NUM_P_12</f>
        <v/>
      </c>
      <c r="F48" s="1683" t="str">
        <f>FHD_P_12</f>
        <v/>
      </c>
      <c r="G48" s="2038" t="s">
        <v>553</v>
      </c>
      <c r="H48" s="731"/>
      <c r="I48" s="731"/>
      <c r="J48" s="443" t="str">
        <f>FHD_NOTE_P_12</f>
        <v/>
      </c>
      <c r="K48" s="1795" t="str">
        <f>IF((LEN(E48)-LEN(SUBSTITUTE(E48,".","")))/LEN(".")=1,"p","")</f>
        <v/>
      </c>
      <c r="L48" s="1795"/>
      <c r="M48" s="1795"/>
      <c r="R48" s="1795"/>
      <c r="U48" s="698"/>
      <c r="AA48" s="1791"/>
      <c r="AB48" s="1791"/>
      <c r="AC48" s="1791"/>
      <c r="AD48" s="1791"/>
      <c r="AE48" s="1791"/>
    </row>
    <row s="9271" customFormat="1" customHeight="1" ht="11.25">
      <c r="A49" s="1143"/>
      <c r="C49" s="884"/>
      <c r="D49" s="827"/>
      <c r="E49" s="700" t="str">
        <f>FHD_NUM_P_13</f>
        <v>2.6</v>
      </c>
      <c r="F49" s="1683" t="str">
        <f>FHD_P_13</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G49" s="2038" t="s">
        <v>553</v>
      </c>
      <c r="H49" s="711"/>
      <c r="I49" s="711"/>
      <c r="J49" s="443" t="str">
        <f>FHD_NOTE_P_13</f>
        <v>Указывается общая сумма расходов на оплату труда и отчислений на социальные нужды основного производственного персонала.</v>
      </c>
      <c r="K49" s="1795" t="str">
        <f>IF((LEN(E49)-LEN(SUBSTITUTE(E49,".","")))/LEN(".")=1,"p","")</f>
        <v>p</v>
      </c>
      <c r="L49" s="884"/>
      <c r="M49" s="884"/>
      <c r="R49" s="884"/>
      <c r="U49" s="885"/>
      <c r="AA49" s="886"/>
      <c r="AB49" s="886"/>
      <c r="AC49" s="886"/>
      <c r="AD49" s="886"/>
      <c r="AE49" s="886"/>
    </row>
    <row s="9271" customFormat="1" customHeight="1" ht="11.25">
      <c r="A50" s="1143"/>
      <c r="C50" s="884"/>
      <c r="D50" s="827"/>
      <c r="E50" s="700" t="str">
        <f>FHD_NUM_P_14</f>
        <v>2.6.1</v>
      </c>
      <c r="F50" s="1809" t="str">
        <f>FHD_P_14</f>
        <v>Расходы на оплату труда основного производственного персонала</v>
      </c>
      <c r="G50" s="2038" t="s">
        <v>553</v>
      </c>
      <c r="H50" s="711"/>
      <c r="I50" s="711"/>
      <c r="J50" s="443" t="str">
        <f>FHD_NOTE_P_14</f>
        <v/>
      </c>
      <c r="K50" s="1795" t="str">
        <f>IF((LEN(E50)-LEN(SUBSTITUTE(E50,".","")))/LEN(".")=1,"p","")</f>
        <v/>
      </c>
      <c r="L50" s="884"/>
      <c r="M50" s="884"/>
      <c r="R50" s="884"/>
      <c r="U50" s="885"/>
      <c r="AA50" s="886"/>
      <c r="AB50" s="886"/>
      <c r="AC50" s="886"/>
      <c r="AD50" s="886"/>
      <c r="AE50" s="886"/>
    </row>
    <row s="9271" customFormat="1" customHeight="1" ht="11.25">
      <c r="A51" s="1143"/>
      <c r="C51" s="884"/>
      <c r="D51" s="827"/>
      <c r="E51" s="700" t="str">
        <f>FHD_NUM_P_15</f>
        <v>2.6.2</v>
      </c>
      <c r="F51" s="1809" t="str">
        <f>FHD_P_15</f>
        <v>Страховые взносы на обязательное социальное страхование, выплачиваемые из фонда оплаты труда основного производственного персонала</v>
      </c>
      <c r="G51" s="2038" t="s">
        <v>553</v>
      </c>
      <c r="H51" s="711"/>
      <c r="I51" s="711"/>
      <c r="J51" s="443" t="str">
        <f>FHD_NOTE_P_15</f>
        <v/>
      </c>
      <c r="K51" s="1795" t="str">
        <f>IF((LEN(E51)-LEN(SUBSTITUTE(E51,".","")))/LEN(".")=1,"p","")</f>
        <v/>
      </c>
      <c r="L51" s="884"/>
      <c r="M51" s="884"/>
      <c r="R51" s="884"/>
      <c r="U51" s="885"/>
      <c r="AA51" s="886"/>
      <c r="AB51" s="886"/>
      <c r="AC51" s="886"/>
      <c r="AD51" s="886"/>
      <c r="AE51" s="886"/>
    </row>
    <row s="8721" customFormat="1" customHeight="1" ht="11.25">
      <c r="A52" s="1142"/>
      <c r="C52" s="1795"/>
      <c r="D52" s="1797"/>
      <c r="E52" s="700" t="str">
        <f>FHD_NUM_P_16</f>
        <v>2.7</v>
      </c>
      <c r="F52" s="1683" t="str">
        <f>FHD_P_16</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G52" s="2038" t="s">
        <v>553</v>
      </c>
      <c r="H52" s="711"/>
      <c r="I52" s="711"/>
      <c r="J52" s="443" t="str">
        <f>FHD_NOTE_P_16</f>
        <v>Указывается общая сумма расходов на оплату труда и отчислений на социальные нужды административно-управленческого персонала.</v>
      </c>
      <c r="K52" s="1795" t="str">
        <f>IF((LEN(E52)-LEN(SUBSTITUTE(E52,".","")))/LEN(".")=1,"p","")</f>
        <v>p</v>
      </c>
      <c r="L52" s="1795"/>
      <c r="M52" s="1801"/>
      <c r="N52" s="691"/>
      <c r="O52" s="691"/>
      <c r="R52" s="1795"/>
      <c r="U52" s="698"/>
      <c r="AA52" s="1791"/>
      <c r="AB52" s="1791"/>
      <c r="AC52" s="1791"/>
      <c r="AD52" s="1791"/>
      <c r="AE52" s="1791"/>
    </row>
    <row s="8721" customFormat="1" customHeight="1" ht="11.25">
      <c r="A53" s="1142"/>
      <c r="C53" s="1795"/>
      <c r="D53" s="1797"/>
      <c r="E53" s="700" t="str">
        <f>FHD_NUM_P_17</f>
        <v>2.7.1</v>
      </c>
      <c r="F53" s="1809" t="str">
        <f>FHD_P_17</f>
        <v>Расходы на оплату труда административно-управленческого персонала</v>
      </c>
      <c r="G53" s="2038" t="s">
        <v>553</v>
      </c>
      <c r="H53" s="711"/>
      <c r="I53" s="711"/>
      <c r="J53" s="443" t="str">
        <f>FHD_NOTE_P_17</f>
        <v/>
      </c>
      <c r="K53" s="1795" t="str">
        <f>IF((LEN(E53)-LEN(SUBSTITUTE(E53,".","")))/LEN(".")=1,"p","")</f>
        <v/>
      </c>
      <c r="L53" s="1795"/>
      <c r="M53" s="1801"/>
      <c r="N53" s="691"/>
      <c r="O53" s="691"/>
      <c r="R53" s="1795"/>
      <c r="U53" s="698"/>
      <c r="AA53" s="1791"/>
      <c r="AB53" s="1791"/>
      <c r="AC53" s="1791"/>
      <c r="AD53" s="1791"/>
      <c r="AE53" s="1791"/>
    </row>
    <row s="8721" customFormat="1" customHeight="1" ht="11.25">
      <c r="A54" s="1142"/>
      <c r="C54" s="1795"/>
      <c r="D54" s="1797"/>
      <c r="E54" s="700" t="str">
        <f>FHD_NUM_P_18</f>
        <v>2.7.2</v>
      </c>
      <c r="F54" s="1809" t="str">
        <f>FHD_P_18</f>
        <v>Страховые взносы на обязательное социальное страхование, выплачиваемые из фонда оплаты труда административно-управленческого персонала</v>
      </c>
      <c r="G54" s="2038" t="s">
        <v>553</v>
      </c>
      <c r="H54" s="711"/>
      <c r="I54" s="711"/>
      <c r="J54" s="443" t="str">
        <f>FHD_NOTE_P_18</f>
        <v/>
      </c>
      <c r="K54" s="1795" t="str">
        <f>IF((LEN(E54)-LEN(SUBSTITUTE(E54,".","")))/LEN(".")=1,"p","")</f>
        <v/>
      </c>
      <c r="L54" s="1795"/>
      <c r="M54" s="1801"/>
      <c r="N54" s="691"/>
      <c r="O54" s="691"/>
      <c r="R54" s="1795"/>
      <c r="U54" s="698"/>
      <c r="AA54" s="1791"/>
      <c r="AB54" s="1791"/>
      <c r="AC54" s="1791"/>
      <c r="AD54" s="1791"/>
      <c r="AE54" s="1791"/>
    </row>
    <row s="8721" customFormat="1" customHeight="1" ht="11.25">
      <c r="A55" s="1142"/>
      <c r="C55" s="1795"/>
      <c r="D55" s="729"/>
      <c r="E55" s="700" t="str">
        <f>FHD_NUM_P_19</f>
        <v>2.8</v>
      </c>
      <c r="F55" s="1683" t="str">
        <f>FHD_P_19</f>
        <v>Расходы на амортизацию основных средств и нематериальных активов</v>
      </c>
      <c r="G55" s="2038" t="s">
        <v>553</v>
      </c>
      <c r="H55" s="711"/>
      <c r="I55" s="711"/>
      <c r="J55" s="443" t="str">
        <f>FHD_NOTE_P_19</f>
        <v/>
      </c>
      <c r="K55" s="1795" t="str">
        <f>IF((LEN(E55)-LEN(SUBSTITUTE(E55,".","")))/LEN(".")=1,"p","")</f>
        <v>p</v>
      </c>
      <c r="L55" s="1795"/>
      <c r="M55" s="1795"/>
      <c r="R55" s="1795"/>
      <c r="U55" s="698"/>
      <c r="AA55" s="1791"/>
      <c r="AB55" s="1791"/>
      <c r="AC55" s="1791"/>
      <c r="AD55" s="1791"/>
      <c r="AE55" s="1791"/>
    </row>
    <row s="8721" customFormat="1" customHeight="1" ht="11.25">
      <c r="A56" s="1142"/>
      <c r="C56" s="1795"/>
      <c r="D56" s="729"/>
      <c r="E56" s="700" t="str">
        <f>FHD_NUM_P_20</f>
        <v>2.8.1</v>
      </c>
      <c r="F56" s="1809" t="str">
        <f>FHD_P_20</f>
        <v>Расходы на амортизацию основных средств</v>
      </c>
      <c r="G56" s="2038" t="s">
        <v>553</v>
      </c>
      <c r="H56" s="711"/>
      <c r="I56" s="711"/>
      <c r="J56" s="443" t="str">
        <f>FHD_NOTE_P_20</f>
        <v/>
      </c>
      <c r="K56" s="1795" t="str">
        <f>IF((LEN(E56)-LEN(SUBSTITUTE(E56,".","")))/LEN(".")=1,"p","")</f>
        <v/>
      </c>
      <c r="L56" s="1795"/>
      <c r="M56" s="1795"/>
      <c r="R56" s="1795"/>
      <c r="U56" s="698"/>
      <c r="AA56" s="1791"/>
      <c r="AB56" s="1791"/>
      <c r="AC56" s="1791"/>
      <c r="AD56" s="1791"/>
      <c r="AE56" s="1791"/>
    </row>
    <row s="8721" customFormat="1" customHeight="1" ht="11.25">
      <c r="A57" s="1142"/>
      <c r="C57" s="1795"/>
      <c r="D57" s="729"/>
      <c r="E57" s="700" t="str">
        <f>FHD_NUM_P_21</f>
        <v>2.8.2</v>
      </c>
      <c r="F57" s="1809" t="str">
        <f>FHD_P_21</f>
        <v>Расходы на амортизацию нематериальных активов</v>
      </c>
      <c r="G57" s="2038" t="s">
        <v>553</v>
      </c>
      <c r="H57" s="711"/>
      <c r="I57" s="711"/>
      <c r="J57" s="443" t="str">
        <f>FHD_NOTE_P_21</f>
        <v/>
      </c>
      <c r="K57" s="1795" t="str">
        <f>IF((LEN(E57)-LEN(SUBSTITUTE(E57,".","")))/LEN(".")=1,"p","")</f>
        <v/>
      </c>
      <c r="L57" s="1795"/>
      <c r="M57" s="1795"/>
      <c r="R57" s="1795"/>
      <c r="U57" s="698"/>
      <c r="AA57" s="1791"/>
      <c r="AB57" s="1791"/>
      <c r="AC57" s="1791"/>
      <c r="AD57" s="1791"/>
      <c r="AE57" s="1791"/>
    </row>
    <row s="8721" customFormat="1" customHeight="1" ht="11.25">
      <c r="A58" s="1142"/>
      <c r="C58" s="1795"/>
      <c r="D58" s="1797"/>
      <c r="E58" s="700" t="str">
        <f>FHD_NUM_P_22</f>
        <v>2.9</v>
      </c>
      <c r="F58" s="1683" t="str">
        <f>FHD_P_22</f>
        <v>Расходы на аренду имущества, используемого для осуществления регулируемых видов деятельности в сфере горячего водоснабжения</v>
      </c>
      <c r="G58" s="2038" t="s">
        <v>553</v>
      </c>
      <c r="H58" s="711"/>
      <c r="I58" s="711"/>
      <c r="J58" s="443" t="str">
        <f>FHD_NOTE_P_22</f>
        <v/>
      </c>
      <c r="K58" s="1795" t="str">
        <f>IF((LEN(E58)-LEN(SUBSTITUTE(E58,".","")))/LEN(".")=1,"p","")</f>
        <v>p</v>
      </c>
      <c r="L58" s="1795"/>
      <c r="M58" s="1795"/>
      <c r="R58" s="1795"/>
      <c r="U58" s="698"/>
      <c r="AA58" s="1791"/>
      <c r="AB58" s="1791"/>
      <c r="AC58" s="1791"/>
      <c r="AD58" s="1791"/>
      <c r="AE58" s="1791"/>
    </row>
    <row s="8721" customFormat="1" customHeight="1" ht="11.25">
      <c r="A59" s="1142"/>
      <c r="C59" s="1795"/>
      <c r="D59" s="729"/>
      <c r="E59" s="700" t="str">
        <f>FHD_NUM_P_23</f>
        <v>2.10</v>
      </c>
      <c r="F59" s="1683" t="str">
        <f>FHD_P_23</f>
        <v>Общепроизводственные расходы, в том числе:</v>
      </c>
      <c r="G59" s="2038" t="s">
        <v>553</v>
      </c>
      <c r="H59" s="711"/>
      <c r="I59" s="711"/>
      <c r="J59" s="443" t="str">
        <f>FHD_NOTE_P_23</f>
        <v>Указывается общая сумма общепроизводственных расходов.</v>
      </c>
      <c r="K59" s="1795" t="str">
        <f>IF((LEN(E59)-LEN(SUBSTITUTE(E59,".","")))/LEN(".")=1,"p","")</f>
        <v>p</v>
      </c>
      <c r="L59" s="1795"/>
      <c r="M59" s="1795"/>
      <c r="R59" s="1795"/>
      <c r="U59" s="698"/>
      <c r="AA59" s="1791"/>
      <c r="AB59" s="1791"/>
      <c r="AC59" s="1791"/>
      <c r="AD59" s="1791"/>
      <c r="AE59" s="1791"/>
    </row>
    <row s="8721" customFormat="1" customHeight="1" ht="11.25">
      <c r="A60" s="1142"/>
      <c r="C60" s="1795"/>
      <c r="D60" s="729"/>
      <c r="E60" s="700" t="str">
        <f>FHD_NUM_P_24</f>
        <v>2.10.1</v>
      </c>
      <c r="F60" s="1809" t="str">
        <f>FHD_P_24</f>
        <v>Расходы на текущий ремонт</v>
      </c>
      <c r="G60" s="2038" t="s">
        <v>553</v>
      </c>
      <c r="H60" s="711"/>
      <c r="I60" s="711"/>
      <c r="J60" s="443" t="str">
        <f>FHD_NOTE_P_24</f>
        <v>Указываются расходы на текущий ремонт, отнесенные к общепроизводственным расходам.</v>
      </c>
      <c r="K60" s="1795" t="str">
        <f>IF((LEN(E60)-LEN(SUBSTITUTE(E60,".","")))/LEN(".")=1,"p","")</f>
        <v/>
      </c>
      <c r="L60" s="1795"/>
      <c r="M60" s="1795"/>
      <c r="R60" s="1795"/>
      <c r="U60" s="698"/>
      <c r="AA60" s="1791"/>
      <c r="AB60" s="1791"/>
      <c r="AC60" s="1791"/>
      <c r="AD60" s="1791"/>
      <c r="AE60" s="1791"/>
    </row>
    <row s="8721" customFormat="1" customHeight="1" ht="11.25">
      <c r="A61" s="1142"/>
      <c r="C61" s="1795"/>
      <c r="D61" s="729"/>
      <c r="E61" s="700" t="str">
        <f>FHD_NUM_P_25</f>
        <v>2.10.2</v>
      </c>
      <c r="F61" s="1809" t="str">
        <f>FHD_P_25</f>
        <v>Расходы на капитальный ремонт</v>
      </c>
      <c r="G61" s="2038" t="s">
        <v>553</v>
      </c>
      <c r="H61" s="711"/>
      <c r="I61" s="711"/>
      <c r="J61" s="443" t="str">
        <f>FHD_NOTE_P_25</f>
        <v>Указываются расходы на капитальный ремонт, отнесенные к общепроизводственным расходам.</v>
      </c>
      <c r="K61" s="1795" t="str">
        <f>IF((LEN(E61)-LEN(SUBSTITUTE(E61,".","")))/LEN(".")=1,"p","")</f>
        <v/>
      </c>
      <c r="L61" s="1795"/>
      <c r="M61" s="1795"/>
      <c r="R61" s="1795"/>
      <c r="U61" s="698"/>
      <c r="AA61" s="1791"/>
      <c r="AB61" s="1791"/>
      <c r="AC61" s="1791"/>
      <c r="AD61" s="1791"/>
      <c r="AE61" s="1791"/>
    </row>
    <row s="8721" customFormat="1" customHeight="1" ht="11.25">
      <c r="A62" s="1142"/>
      <c r="C62" s="1795"/>
      <c r="D62" s="1797"/>
      <c r="E62" s="700" t="str">
        <f>FHD_NUM_P_26</f>
        <v>2.11</v>
      </c>
      <c r="F62" s="1683" t="str">
        <f>FHD_P_26</f>
        <v>Общехозяйственные расходы, в том числе:</v>
      </c>
      <c r="G62" s="2038" t="s">
        <v>553</v>
      </c>
      <c r="H62" s="711"/>
      <c r="I62" s="711"/>
      <c r="J62" s="443" t="str">
        <f>FHD_NOTE_P_26</f>
        <v>Указывается общая сумма общехозяйственных расходов.</v>
      </c>
      <c r="K62" s="1795" t="str">
        <f>IF((LEN(E62)-LEN(SUBSTITUTE(E62,".","")))/LEN(".")=1,"p","")</f>
        <v>p</v>
      </c>
      <c r="L62" s="1795"/>
      <c r="M62" s="1795"/>
      <c r="R62" s="1795"/>
      <c r="U62" s="698"/>
      <c r="AA62" s="1791"/>
      <c r="AB62" s="1791"/>
      <c r="AC62" s="1791"/>
      <c r="AD62" s="1791"/>
      <c r="AE62" s="1791"/>
    </row>
    <row s="8721" customFormat="1" customHeight="1" ht="11.25">
      <c r="A63" s="1142"/>
      <c r="C63" s="1795"/>
      <c r="D63" s="1797"/>
      <c r="E63" s="700" t="str">
        <f>FHD_NUM_P_27</f>
        <v>2.11.1</v>
      </c>
      <c r="F63" s="1809" t="str">
        <f>FHD_P_27</f>
        <v>Расходы на текущий ремонт</v>
      </c>
      <c r="G63" s="2038" t="s">
        <v>553</v>
      </c>
      <c r="H63" s="711"/>
      <c r="I63" s="711"/>
      <c r="J63" s="443" t="str">
        <f>FHD_NOTE_P_27</f>
        <v>Указываются расходы на текущий ремонт, отнесенные к общехозяйственным расходам.</v>
      </c>
      <c r="K63" s="1795" t="str">
        <f>IF((LEN(E63)-LEN(SUBSTITUTE(E63,".","")))/LEN(".")=1,"p","")</f>
        <v/>
      </c>
      <c r="L63" s="1795"/>
      <c r="M63" s="1795"/>
      <c r="R63" s="1795"/>
      <c r="U63" s="698"/>
      <c r="AA63" s="1791"/>
      <c r="AB63" s="1791"/>
      <c r="AC63" s="1791"/>
      <c r="AD63" s="1791"/>
      <c r="AE63" s="1791"/>
    </row>
    <row s="8721" customFormat="1" customHeight="1" ht="11.25">
      <c r="A64" s="1142"/>
      <c r="C64" s="1795"/>
      <c r="D64" s="1797"/>
      <c r="E64" s="700" t="str">
        <f>FHD_NUM_P_28</f>
        <v>2.11.2</v>
      </c>
      <c r="F64" s="1809" t="str">
        <f>FHD_P_28</f>
        <v>Расходы на капитальный ремонт</v>
      </c>
      <c r="G64" s="2038" t="s">
        <v>553</v>
      </c>
      <c r="H64" s="711"/>
      <c r="I64" s="711"/>
      <c r="J64" s="443" t="str">
        <f>FHD_NOTE_P_28</f>
        <v>Указываются расходы на капитальный ремонт, отнесенные к общехозяйственным расходам.</v>
      </c>
      <c r="K64" s="1795" t="str">
        <f>IF((LEN(E64)-LEN(SUBSTITUTE(E64,".","")))/LEN(".")=1,"p","")</f>
        <v/>
      </c>
      <c r="L64" s="1795"/>
      <c r="M64" s="1795"/>
      <c r="R64" s="1795"/>
      <c r="U64" s="698"/>
      <c r="AA64" s="1791"/>
      <c r="AB64" s="1791"/>
      <c r="AC64" s="1791"/>
      <c r="AD64" s="1791"/>
      <c r="AE64" s="1791"/>
    </row>
    <row s="8721" customFormat="1" customHeight="1" ht="11.25">
      <c r="A65" s="1142"/>
      <c r="C65" s="1795"/>
      <c r="D65" s="1797"/>
      <c r="E65" s="700" t="str">
        <f>FHD_NUM_P_29</f>
        <v>2.12</v>
      </c>
      <c r="F65" s="1683" t="str">
        <f>FHD_P_29</f>
        <v>Расходы на капитальный и текущий ремонт основных средств</v>
      </c>
      <c r="G65" s="2038" t="s">
        <v>553</v>
      </c>
      <c r="H65" s="711"/>
      <c r="I65" s="711"/>
      <c r="J65" s="443" t="str">
        <f>FHD_NOTE_P_29</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5" s="1795" t="str">
        <f>IF((LEN(E65)-LEN(SUBSTITUTE(E65,".","")))/LEN(".")=1,"p","")</f>
        <v>p</v>
      </c>
      <c r="L65" s="1795"/>
      <c r="M65" s="1795"/>
      <c r="R65" s="1795"/>
      <c r="U65" s="698"/>
      <c r="AA65" s="1791"/>
      <c r="AB65" s="1791"/>
      <c r="AC65" s="1791"/>
      <c r="AD65" s="1791"/>
      <c r="AE65" s="1791"/>
    </row>
    <row s="8721" customFormat="1" customHeight="1" ht="11.25">
      <c r="A66" s="1142"/>
      <c r="C66" s="1795"/>
      <c r="D66" s="1797"/>
      <c r="E66" s="700" t="str">
        <f>FHD_NUM_P_30</f>
        <v>2.12.1</v>
      </c>
      <c r="F66" s="1809" t="str">
        <f>FHD_P_30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6" s="2038" t="s">
        <v>306</v>
      </c>
      <c r="H66" s="1808" t="s">
        <v>576</v>
      </c>
      <c r="I66" s="1808" t="s">
        <v>576</v>
      </c>
      <c r="J66" s="443" t="str">
        <f>FHD_NOTE_P_30</f>
        <v/>
      </c>
      <c r="K66" s="1795" t="str">
        <f>IF((LEN(E66)-LEN(SUBSTITUTE(E66,".","")))/LEN(".")=1,"p","")</f>
        <v/>
      </c>
      <c r="L66" s="1795">
        <f>_xlfn.IFERROR(MATCH("есть",B_FHD_FLAG_INDEX_1,0),0)</f>
        <v>0</v>
      </c>
      <c r="M66" s="1795"/>
      <c r="R66" s="1795"/>
      <c r="U66" s="698"/>
      <c r="AA66" s="1791"/>
      <c r="AB66" s="1791"/>
      <c r="AC66" s="1791"/>
      <c r="AD66" s="1791"/>
      <c r="AE66" s="1791"/>
    </row>
    <row s="8721" customFormat="1" customHeight="1" ht="22.5">
      <c r="A67" s="2426" t="s">
        <v>577</v>
      </c>
      <c r="C67" s="1795"/>
      <c r="D67" s="1797"/>
      <c r="E67" s="700" t="str">
        <f>FHD_NUM_P_31</f>
        <v>2.13</v>
      </c>
      <c r="F67" s="1683" t="str">
        <f>FHD_P_31</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v>
      </c>
      <c r="G67" s="2038" t="s">
        <v>553</v>
      </c>
      <c r="H67" s="711"/>
      <c r="I67" s="711"/>
      <c r="J67" s="443" t="str">
        <f>FHD_NOTE_P_31</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7" s="1795" t="str">
        <f>IF((LEN(E67)-LEN(SUBSTITUTE(E67,".","")))/LEN(".")=1,"p","")</f>
        <v>p</v>
      </c>
      <c r="L67" s="1795"/>
      <c r="M67" s="1795"/>
      <c r="R67" s="1795"/>
      <c r="U67" s="698"/>
      <c r="AA67" s="1791"/>
      <c r="AB67" s="1791"/>
      <c r="AC67" s="1791"/>
      <c r="AD67" s="1791"/>
      <c r="AE67" s="1791"/>
    </row>
    <row s="8721" customFormat="1" customHeight="1" ht="45">
      <c r="A68" s="2426"/>
      <c r="C68" s="1795"/>
      <c r="D68" s="1797"/>
      <c r="E68" s="700" t="str">
        <f>FHD_NUM_P_32</f>
        <v>2.13.1</v>
      </c>
      <c r="F68" s="1809" t="str">
        <f>FHD_P_32</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8" s="2038" t="s">
        <v>306</v>
      </c>
      <c r="H68" s="1808" t="s">
        <v>576</v>
      </c>
      <c r="I68" s="1808" t="s">
        <v>576</v>
      </c>
      <c r="J68" s="443" t="str">
        <f>FHD_NOTE_P_32</f>
        <v/>
      </c>
      <c r="K68" s="1795" t="str">
        <f>IF((LEN(E68)-LEN(SUBSTITUTE(E68,".","")))/LEN(".")=1,"p","")</f>
        <v/>
      </c>
      <c r="L68" s="1795">
        <f>_xlfn.IFERROR(MATCH("есть",B_FHD_FLAG_INDEX_2,0),0)</f>
        <v>0</v>
      </c>
      <c r="M68" s="1795"/>
      <c r="R68" s="1795"/>
      <c r="U68" s="698"/>
      <c r="AA68" s="1791"/>
      <c r="AB68" s="1791"/>
      <c r="AC68" s="1791"/>
      <c r="AD68" s="1791"/>
      <c r="AE68" s="1791"/>
    </row>
    <row s="8721" customFormat="1" customHeight="1" ht="11.25">
      <c r="A69" s="1142"/>
      <c r="C69" s="1795"/>
      <c r="D69" s="1797"/>
      <c r="E69" s="700" t="str">
        <f>FHD_NUM_P_33</f>
        <v>2.14</v>
      </c>
      <c r="F69" s="1683" t="str">
        <f>FHD_P_33</f>
        <v>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v>
      </c>
      <c r="G69" s="2039" t="s">
        <v>553</v>
      </c>
      <c r="H69" s="733">
        <f>SUM(H70:H71)</f>
        <v>0</v>
      </c>
      <c r="I69" s="733">
        <f>SUM(I70:I71)</f>
        <v>0</v>
      </c>
      <c r="J69" s="443" t="str">
        <f>FHD_NOTE_P_33</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K69" s="1795" t="str">
        <f>IF((LEN(E69)-LEN(SUBSTITUTE(E69,".","")))/LEN(".")=1,"p","")</f>
        <v>p</v>
      </c>
      <c r="L69" s="1795"/>
      <c r="M69" s="1795"/>
      <c r="R69" s="1795"/>
      <c r="U69" s="698"/>
      <c r="AA69" s="1791"/>
      <c r="AB69" s="1791"/>
      <c r="AC69" s="1791"/>
      <c r="AD69" s="1791"/>
      <c r="AE69" s="1791"/>
    </row>
    <row s="8847" customFormat="1" customHeight="1" ht="0.75">
      <c r="A70" s="1323"/>
      <c r="D70" s="702"/>
      <c r="E70" s="1168" t="str">
        <f>E69&amp;".0"</f>
        <v>2.14.0</v>
      </c>
      <c r="F70" s="1146"/>
      <c r="G70" s="1168"/>
      <c r="H70" s="1147"/>
      <c r="I70" s="1147"/>
      <c r="J70" s="1148"/>
      <c r="K70" s="1795" t="str">
        <f>IF((LEN(E70)-LEN(SUBSTITUTE(E70,".","")))/LEN(".")=1,"p","")</f>
        <v/>
      </c>
    </row>
    <row s="8721" customFormat="1" customHeight="1" ht="14.25">
      <c r="A71" s="1142"/>
      <c r="C71" s="1795"/>
      <c r="D71" s="1792"/>
      <c r="E71" s="724"/>
      <c r="F71" s="725" t="s">
        <v>578</v>
      </c>
      <c r="G71" s="726"/>
      <c r="H71" s="727"/>
      <c r="I71" s="727"/>
      <c r="J71" s="455"/>
      <c r="K71" s="1795"/>
      <c r="L71" s="1795"/>
      <c r="M71" s="1795"/>
      <c r="R71" s="1795"/>
      <c r="U71" s="698"/>
      <c r="AA71" s="1791"/>
      <c r="AB71" s="1791"/>
      <c r="AC71" s="1791"/>
      <c r="AD71" s="1791"/>
      <c r="AE71" s="1791"/>
    </row>
    <row s="8721" customFormat="1" customHeight="1" ht="18.75" hidden="1">
      <c r="A72" s="1144" t="s">
        <v>579</v>
      </c>
      <c r="C72" s="1795"/>
      <c r="D72" s="1797"/>
      <c r="E72" s="700" t="str">
        <f>FHD_NUM_P_34</f>
        <v/>
      </c>
      <c r="F72" s="2040" t="str">
        <f>FHD_P_34</f>
        <v/>
      </c>
      <c r="G72" s="2038" t="s">
        <v>553</v>
      </c>
      <c r="H72" s="711"/>
      <c r="I72" s="711"/>
      <c r="J72" s="443" t="str">
        <f>FHD_NOTE_P_34</f>
        <v/>
      </c>
      <c r="K72" s="697"/>
      <c r="L72" s="1795"/>
      <c r="M72" s="1795"/>
      <c r="R72" s="1795"/>
      <c r="U72" s="698"/>
      <c r="AA72" s="1791"/>
      <c r="AB72" s="1791"/>
      <c r="AC72" s="1791"/>
      <c r="AD72" s="1791"/>
      <c r="AE72" s="1791"/>
    </row>
    <row s="8721" customFormat="1" customHeight="1" ht="18.75">
      <c r="A73" s="1142"/>
      <c r="C73" s="1795"/>
      <c r="D73" s="729"/>
      <c r="E73" s="700" t="str">
        <f>FHD_NUM_P_35</f>
        <v>3</v>
      </c>
      <c r="F73" s="2040" t="str">
        <f>FHD_P_35</f>
        <v>Чистая прибыль, полученная от регулируемого вида деятельности в сфере горячего водоснабжения, в том числе:</v>
      </c>
      <c r="G73" s="2038" t="s">
        <v>553</v>
      </c>
      <c r="H73" s="711"/>
      <c r="I73" s="711"/>
      <c r="J73" s="443" t="str">
        <f>FHD_NOTE_P_35</f>
        <v>Указывается общая сумма чистой прибыли, полученной от регулируемого вида деятельности.</v>
      </c>
      <c r="K73" s="697"/>
      <c r="L73" s="1795"/>
      <c r="M73" s="1795"/>
      <c r="R73" s="1795"/>
      <c r="U73" s="698"/>
      <c r="AA73" s="1791"/>
      <c r="AB73" s="1791"/>
      <c r="AC73" s="1791"/>
      <c r="AD73" s="1791"/>
      <c r="AE73" s="1791"/>
    </row>
    <row s="8721" customFormat="1" customHeight="1" ht="18.75">
      <c r="A74" s="1142"/>
      <c r="C74" s="1795"/>
      <c r="D74" s="1797"/>
      <c r="E74" s="700" t="str">
        <f>FHD_NUM_P_36</f>
        <v>3.1</v>
      </c>
      <c r="F74" s="1683" t="str">
        <f>FHD_P_36</f>
        <v>Размер расходования чистой прибыли на финансирование мероприятий, предусмотренных инвестиционной программой регулируемой организации</v>
      </c>
      <c r="G74" s="2038" t="s">
        <v>553</v>
      </c>
      <c r="H74" s="711"/>
      <c r="I74" s="711"/>
      <c r="J74" s="443" t="str">
        <f>FHD_NOTE_P_36</f>
        <v/>
      </c>
      <c r="K74" s="697"/>
      <c r="L74" s="1795"/>
      <c r="M74" s="1795"/>
      <c r="R74" s="1795"/>
      <c r="U74" s="698"/>
      <c r="AA74" s="1791"/>
      <c r="AB74" s="1791"/>
      <c r="AC74" s="1791"/>
      <c r="AD74" s="1791"/>
      <c r="AE74" s="1791"/>
    </row>
    <row s="8721" customFormat="1" customHeight="1" ht="18.75">
      <c r="A75" s="1142"/>
      <c r="C75" s="1795"/>
      <c r="D75" s="1797"/>
      <c r="E75" s="700" t="str">
        <f>FHD_NUM_P_37</f>
        <v>4</v>
      </c>
      <c r="F75" s="2040" t="str">
        <f>FHD_P_37</f>
        <v>Изменение стоимости основных фондов, в том числе:</v>
      </c>
      <c r="G75" s="2038" t="s">
        <v>553</v>
      </c>
      <c r="H75" s="711"/>
      <c r="I75" s="711"/>
      <c r="J75" s="443" t="str">
        <f>FHD_NOTE_P_37</f>
        <v>Указывается общее изменение стоимости основных фондов.</v>
      </c>
      <c r="K75" s="697"/>
      <c r="L75" s="1795"/>
      <c r="M75" s="1795"/>
      <c r="R75" s="1795"/>
      <c r="U75" s="698"/>
      <c r="AA75" s="1791"/>
      <c r="AB75" s="1791"/>
      <c r="AC75" s="1791"/>
      <c r="AD75" s="1791"/>
      <c r="AE75" s="1791"/>
    </row>
    <row s="8721" customFormat="1" customHeight="1" ht="18.75">
      <c r="A76" s="1142"/>
      <c r="C76" s="1795"/>
      <c r="D76" s="1797"/>
      <c r="E76" s="700" t="str">
        <f>FHD_NUM_P_38</f>
        <v>4.1</v>
      </c>
      <c r="F76" s="1683" t="str">
        <f>FHD_P_38</f>
        <v>Изменение стоимости основных фондов за счет их ввода в эксплуатацию (вывода из эксплуатации)</v>
      </c>
      <c r="G76" s="2038" t="s">
        <v>553</v>
      </c>
      <c r="H76" s="711"/>
      <c r="I76" s="711"/>
      <c r="J76" s="443" t="str">
        <f>FHD_NOTE_P_38</f>
        <v>Указываются общее изменение стоимости основных фондов за счет их ввода в эксплуатацию и вывода из эксплуатации.</v>
      </c>
      <c r="K76" s="697"/>
      <c r="L76" s="1795"/>
      <c r="M76" s="1795"/>
      <c r="R76" s="1795"/>
      <c r="U76" s="698"/>
      <c r="AA76" s="1791"/>
      <c r="AB76" s="1791"/>
      <c r="AC76" s="1791"/>
      <c r="AD76" s="1791"/>
      <c r="AE76" s="1791"/>
    </row>
    <row s="8721" customFormat="1" customHeight="1" ht="18.75">
      <c r="A77" s="1142"/>
      <c r="C77" s="1795"/>
      <c r="D77" s="1797"/>
      <c r="E77" s="700" t="str">
        <f>FHD_NUM_P_39</f>
        <v>4.1.1</v>
      </c>
      <c r="F77" s="1809" t="str">
        <f>FHD_P_39</f>
        <v>Изменение стоимости основных фондов за счет их ввода в эксплуатацию</v>
      </c>
      <c r="G77" s="2038" t="s">
        <v>553</v>
      </c>
      <c r="H77" s="711"/>
      <c r="I77" s="711"/>
      <c r="J77" s="443" t="str">
        <f>FHD_NOTE_P_39</f>
        <v>Указываются изменение стоимости основных фондов за счет их ввода в эксплуатацию.</v>
      </c>
      <c r="K77" s="697"/>
      <c r="L77" s="1795"/>
      <c r="M77" s="1795"/>
      <c r="R77" s="1795"/>
      <c r="U77" s="698"/>
      <c r="AA77" s="1791"/>
      <c r="AB77" s="1791"/>
      <c r="AC77" s="1791"/>
      <c r="AD77" s="1791"/>
      <c r="AE77" s="1791"/>
    </row>
    <row s="8721" customFormat="1" customHeight="1" ht="18.75">
      <c r="A78" s="1142"/>
      <c r="C78" s="1795"/>
      <c r="D78" s="1797"/>
      <c r="E78" s="700" t="str">
        <f>FHD_NUM_P_40</f>
        <v>4.1.2</v>
      </c>
      <c r="F78" s="1809" t="str">
        <f>FHD_P_40</f>
        <v>Изменение стоимости основных фондов за счет их вывода в эксплуатацию</v>
      </c>
      <c r="G78" s="2038" t="s">
        <v>553</v>
      </c>
      <c r="H78" s="711"/>
      <c r="I78" s="711"/>
      <c r="J78" s="443" t="str">
        <f>FHD_NOTE_P_40</f>
        <v>Указываются изменение стоимости основных фондов за счет их вывода из эксплуатации.</v>
      </c>
      <c r="K78" s="697"/>
      <c r="L78" s="1795"/>
      <c r="M78" s="1795"/>
      <c r="R78" s="1795"/>
      <c r="U78" s="698"/>
      <c r="AA78" s="1791"/>
      <c r="AB78" s="1791"/>
      <c r="AC78" s="1791"/>
      <c r="AD78" s="1791"/>
      <c r="AE78" s="1791"/>
    </row>
    <row s="8721" customFormat="1" customHeight="1" ht="18.75">
      <c r="A79" s="1142"/>
      <c r="C79" s="1795"/>
      <c r="D79" s="1797"/>
      <c r="E79" s="700" t="str">
        <f>FHD_NUM_P_41</f>
        <v>4.2</v>
      </c>
      <c r="F79" s="1683" t="str">
        <f>FHD_P_41</f>
        <v>Изменение стоимости основных фондов за счет их переоценки</v>
      </c>
      <c r="G79" s="2039" t="s">
        <v>553</v>
      </c>
      <c r="H79" s="711"/>
      <c r="I79" s="711"/>
      <c r="J79" s="443" t="str">
        <f>FHD_NOTE_P_41</f>
        <v/>
      </c>
      <c r="K79" s="697"/>
      <c r="L79" s="1795"/>
      <c r="M79" s="1795"/>
      <c r="R79" s="1795"/>
      <c r="U79" s="698"/>
      <c r="AA79" s="1791"/>
      <c r="AB79" s="1791"/>
      <c r="AC79" s="1791"/>
      <c r="AD79" s="1791"/>
      <c r="AE79" s="1791"/>
    </row>
    <row s="8721" customFormat="1" customHeight="1" ht="18.75">
      <c r="A80" s="1144" t="s">
        <v>580</v>
      </c>
      <c r="C80" s="1795"/>
      <c r="D80" s="1797"/>
      <c r="E80" s="700" t="str">
        <f>FHD_NUM_P_42</f>
        <v>5</v>
      </c>
      <c r="F80" s="2040" t="str">
        <f>FHD_P_42</f>
        <v>Валовая прибыль (убытки) от продажи товаров и услуг по регулируемым видам деятельности в сфере горячего водоснабжения</v>
      </c>
      <c r="G80" s="2038" t="s">
        <v>553</v>
      </c>
      <c r="H80" s="1131"/>
      <c r="I80" s="711"/>
      <c r="J80" s="443" t="str">
        <f>FHD_NOTE_P_42</f>
        <v/>
      </c>
      <c r="K80" s="697"/>
      <c r="L80" s="1795"/>
      <c r="M80" s="1795"/>
      <c r="R80" s="1795"/>
      <c r="U80" s="698"/>
      <c r="AA80" s="1791"/>
      <c r="AB80" s="1791"/>
      <c r="AC80" s="1791"/>
      <c r="AD80" s="1791"/>
      <c r="AE80" s="1791"/>
    </row>
    <row s="8721" customFormat="1" customHeight="1" ht="18.75">
      <c r="A81" s="1142"/>
      <c r="C81" s="1795"/>
      <c r="D81" s="1797"/>
      <c r="E81" s="700" t="str">
        <f>FHD_NUM_P_43</f>
        <v>6</v>
      </c>
      <c r="F81" s="2040" t="str">
        <f>FHD_P_43</f>
        <v>Годовая бухгалтерская (финансовая) отчетность, включая бухгалтерский баланс и приложения к нему</v>
      </c>
      <c r="G81" s="2038" t="s">
        <v>306</v>
      </c>
      <c r="H81" s="1210"/>
      <c r="I81" s="972"/>
      <c r="J81" s="443" t="str">
        <f>FHD_NOTE_P_43</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v>
      </c>
      <c r="K81" s="697"/>
      <c r="L81" s="1795"/>
      <c r="M81" s="1795"/>
      <c r="R81" s="1795"/>
      <c r="U81" s="698"/>
      <c r="AA81" s="1791"/>
      <c r="AB81" s="1791"/>
      <c r="AC81" s="1791"/>
      <c r="AD81" s="1791"/>
      <c r="AE81" s="1791"/>
    </row>
    <row s="9286" customFormat="1" customHeight="1" ht="18.75" hidden="1">
      <c r="A82" s="2426" t="s">
        <v>581</v>
      </c>
      <c r="C82" s="889"/>
      <c r="D82" s="887"/>
      <c r="E82" s="700" t="str">
        <f>FHD_NUM_P_44</f>
        <v/>
      </c>
      <c r="F82" s="2040" t="str">
        <f>FHD_P_44</f>
        <v/>
      </c>
      <c r="G82" s="2041" t="s">
        <v>582</v>
      </c>
      <c r="H82" s="1132"/>
      <c r="I82" s="731"/>
      <c r="J82" s="443" t="str">
        <f>FHD_NOTE_P_44</f>
        <v/>
      </c>
      <c r="K82" s="888"/>
      <c r="L82" s="889"/>
      <c r="M82" s="889"/>
      <c r="R82" s="889"/>
      <c r="U82" s="890"/>
      <c r="AA82" s="891"/>
      <c r="AB82" s="891"/>
      <c r="AC82" s="891"/>
      <c r="AD82" s="891"/>
      <c r="AE82" s="891"/>
    </row>
    <row s="9286" customFormat="1" customHeight="1" ht="18.75" hidden="1">
      <c r="A83" s="2426"/>
      <c r="C83" s="889"/>
      <c r="D83" s="887"/>
      <c r="E83" s="700" t="str">
        <f>FHD_NUM_P_45</f>
        <v/>
      </c>
      <c r="F83" s="2040" t="str">
        <f>FHD_P_45</f>
        <v/>
      </c>
      <c r="G83" s="2041" t="s">
        <v>582</v>
      </c>
      <c r="H83" s="1132"/>
      <c r="I83" s="731"/>
      <c r="J83" s="443" t="str">
        <f>FHD_NOTE_P_45</f>
        <v/>
      </c>
      <c r="K83" s="888"/>
      <c r="L83" s="889"/>
      <c r="M83" s="889"/>
      <c r="R83" s="889"/>
      <c r="U83" s="890"/>
      <c r="AA83" s="891"/>
      <c r="AB83" s="891"/>
      <c r="AC83" s="891"/>
      <c r="AD83" s="891"/>
      <c r="AE83" s="891"/>
    </row>
    <row s="9286" customFormat="1" customHeight="1" ht="18.75" hidden="1">
      <c r="A84" s="2426"/>
      <c r="C84" s="889"/>
      <c r="D84" s="892"/>
      <c r="E84" s="700" t="str">
        <f>FHD_NUM_P_46</f>
        <v/>
      </c>
      <c r="F84" s="2040" t="str">
        <f>FHD_P_46</f>
        <v/>
      </c>
      <c r="G84" s="2041" t="s">
        <v>582</v>
      </c>
      <c r="H84" s="1132"/>
      <c r="I84" s="731"/>
      <c r="J84" s="443" t="str">
        <f>FHD_NOTE_P_46</f>
        <v/>
      </c>
      <c r="K84" s="888"/>
      <c r="L84" s="889"/>
      <c r="M84" s="889"/>
      <c r="R84" s="889"/>
      <c r="U84" s="890"/>
      <c r="AA84" s="891"/>
      <c r="AB84" s="891"/>
      <c r="AC84" s="891"/>
      <c r="AD84" s="891"/>
      <c r="AE84" s="891"/>
    </row>
    <row s="9286" customFormat="1" customHeight="1" ht="18.75" hidden="1">
      <c r="A85" s="2426"/>
      <c r="C85" s="889"/>
      <c r="D85" s="887"/>
      <c r="E85" s="700" t="str">
        <f>FHD_NUM_P_47</f>
        <v/>
      </c>
      <c r="F85" s="2040" t="str">
        <f>FHD_P_47</f>
        <v/>
      </c>
      <c r="G85" s="2041" t="s">
        <v>582</v>
      </c>
      <c r="H85" s="1132"/>
      <c r="I85" s="731"/>
      <c r="J85" s="443" t="str">
        <f>FHD_NOTE_P_47</f>
        <v/>
      </c>
      <c r="K85" s="888"/>
      <c r="L85" s="889"/>
      <c r="M85" s="889"/>
      <c r="R85" s="889"/>
      <c r="U85" s="890"/>
      <c r="AA85" s="891"/>
      <c r="AB85" s="891"/>
      <c r="AC85" s="891"/>
      <c r="AD85" s="891"/>
      <c r="AE85" s="891"/>
    </row>
    <row s="9295" customFormat="1" customHeight="1" ht="18.75" hidden="1">
      <c r="A86" s="2426"/>
      <c r="B86" s="1064"/>
      <c r="C86" s="889"/>
      <c r="D86" s="887"/>
      <c r="E86" s="700" t="str">
        <f>FHD_NUM_P_48</f>
        <v/>
      </c>
      <c r="F86" s="2040" t="str">
        <f>FHD_P_48</f>
        <v/>
      </c>
      <c r="G86" s="2041" t="s">
        <v>582</v>
      </c>
      <c r="H86" s="1132"/>
      <c r="I86" s="731"/>
      <c r="J86" s="443" t="str">
        <f>FHD_NOTE_P_48</f>
        <v/>
      </c>
      <c r="K86" s="888"/>
      <c r="L86" s="889"/>
      <c r="M86" s="889"/>
      <c r="N86" s="1064"/>
      <c r="O86" s="1064"/>
      <c r="P86" s="1064"/>
      <c r="Q86" s="1064"/>
      <c r="R86" s="889"/>
      <c r="S86" s="1064"/>
      <c r="T86" s="1064"/>
      <c r="U86" s="890"/>
      <c r="V86" s="1064"/>
      <c r="W86" s="1064"/>
      <c r="X86" s="1064"/>
      <c r="Y86" s="1064"/>
      <c r="Z86" s="1064"/>
      <c r="AA86" s="891"/>
      <c r="AB86" s="891"/>
      <c r="AC86" s="891"/>
      <c r="AD86" s="891"/>
      <c r="AE86" s="891"/>
    </row>
    <row s="9295" customFormat="1" customHeight="1" ht="18.75" hidden="1">
      <c r="A87" s="2426"/>
      <c r="B87" s="1064"/>
      <c r="C87" s="889"/>
      <c r="D87" s="887"/>
      <c r="E87" s="700" t="str">
        <f>FHD_NUM_P_49</f>
        <v/>
      </c>
      <c r="F87" s="2040" t="str">
        <f>FHD_P_49</f>
        <v/>
      </c>
      <c r="G87" s="2041" t="s">
        <v>582</v>
      </c>
      <c r="H87" s="1133">
        <f>SUM(H88:H89)</f>
        <v>0</v>
      </c>
      <c r="I87" s="903">
        <f>SUM(I88:I89)</f>
        <v>0</v>
      </c>
      <c r="J87" s="443" t="str">
        <f>FHD_NOTE_P_49</f>
        <v/>
      </c>
      <c r="K87" s="888"/>
      <c r="L87" s="889"/>
      <c r="M87" s="889"/>
      <c r="N87" s="1064"/>
      <c r="O87" s="1064"/>
      <c r="P87" s="1064"/>
      <c r="Q87" s="1064"/>
      <c r="R87" s="889"/>
      <c r="S87" s="1064"/>
      <c r="T87" s="1064"/>
      <c r="U87" s="890"/>
      <c r="V87" s="1064"/>
      <c r="W87" s="1064"/>
      <c r="X87" s="1064"/>
      <c r="Y87" s="1064"/>
      <c r="Z87" s="1064"/>
      <c r="AA87" s="891"/>
      <c r="AB87" s="891"/>
      <c r="AC87" s="891"/>
      <c r="AD87" s="891"/>
      <c r="AE87" s="891"/>
    </row>
    <row s="9295" customFormat="1" customHeight="1" ht="18.75" hidden="1">
      <c r="A88" s="2426"/>
      <c r="B88" s="1064"/>
      <c r="C88" s="889"/>
      <c r="D88" s="887"/>
      <c r="E88" s="700" t="str">
        <f>FHD_NUM_P_50</f>
        <v/>
      </c>
      <c r="F88" s="2040" t="str">
        <f>FHD_P_50</f>
        <v/>
      </c>
      <c r="G88" s="2041" t="s">
        <v>582</v>
      </c>
      <c r="H88" s="1132"/>
      <c r="I88" s="731"/>
      <c r="J88" s="443" t="str">
        <f>FHD_NOTE_P_50</f>
        <v/>
      </c>
      <c r="K88" s="888"/>
      <c r="L88" s="889"/>
      <c r="M88" s="889"/>
      <c r="N88" s="1064"/>
      <c r="O88" s="1064"/>
      <c r="P88" s="1064"/>
      <c r="Q88" s="1064"/>
      <c r="R88" s="889"/>
      <c r="S88" s="1064"/>
      <c r="T88" s="1064"/>
      <c r="U88" s="890"/>
      <c r="V88" s="1064"/>
      <c r="W88" s="1064"/>
      <c r="X88" s="1064"/>
      <c r="Y88" s="1064"/>
      <c r="Z88" s="1064"/>
      <c r="AA88" s="891"/>
      <c r="AB88" s="891"/>
      <c r="AC88" s="891"/>
      <c r="AD88" s="891"/>
      <c r="AE88" s="891"/>
    </row>
    <row s="9295" customFormat="1" customHeight="1" ht="18.75" hidden="1">
      <c r="A89" s="2426"/>
      <c r="B89" s="1064"/>
      <c r="C89" s="889"/>
      <c r="D89" s="887"/>
      <c r="E89" s="700" t="str">
        <f>FHD_NUM_P_51</f>
        <v/>
      </c>
      <c r="F89" s="2040" t="str">
        <f>FHD_P_51</f>
        <v/>
      </c>
      <c r="G89" s="2041" t="s">
        <v>582</v>
      </c>
      <c r="H89" s="1132"/>
      <c r="I89" s="731"/>
      <c r="J89" s="443" t="str">
        <f>FHD_NOTE_P_51</f>
        <v/>
      </c>
      <c r="K89" s="888"/>
      <c r="L89" s="889"/>
      <c r="M89" s="889"/>
      <c r="N89" s="1064"/>
      <c r="O89" s="1064"/>
      <c r="P89" s="1064"/>
      <c r="Q89" s="1064"/>
      <c r="R89" s="889"/>
      <c r="S89" s="1064"/>
      <c r="T89" s="1064"/>
      <c r="U89" s="890"/>
      <c r="V89" s="1064"/>
      <c r="W89" s="1064"/>
      <c r="X89" s="1064"/>
      <c r="Y89" s="1064"/>
      <c r="Z89" s="1064"/>
      <c r="AA89" s="891"/>
      <c r="AB89" s="891"/>
      <c r="AC89" s="891"/>
      <c r="AD89" s="891"/>
      <c r="AE89" s="891"/>
    </row>
    <row s="9295" customFormat="1" customHeight="1" ht="18.75" hidden="1">
      <c r="A90" s="2426"/>
      <c r="B90" s="1064"/>
      <c r="C90" s="889"/>
      <c r="D90" s="887"/>
      <c r="E90" s="700" t="str">
        <f>FHD_NUM_P_52</f>
        <v/>
      </c>
      <c r="F90" s="2040" t="str">
        <f>FHD_P_52</f>
        <v/>
      </c>
      <c r="G90" s="2041" t="s">
        <v>559</v>
      </c>
      <c r="H90" s="1131"/>
      <c r="I90" s="711"/>
      <c r="J90" s="443" t="str">
        <f>FHD_NOTE_P_52</f>
        <v/>
      </c>
      <c r="K90" s="888"/>
      <c r="L90" s="889"/>
      <c r="M90" s="889"/>
      <c r="N90" s="1064"/>
      <c r="O90" s="1064"/>
      <c r="P90" s="1064"/>
      <c r="Q90" s="1064"/>
      <c r="R90" s="889"/>
      <c r="S90" s="1064"/>
      <c r="T90" s="1064"/>
      <c r="U90" s="890"/>
      <c r="V90" s="1064"/>
      <c r="W90" s="1064"/>
      <c r="X90" s="1064"/>
      <c r="Y90" s="1064"/>
      <c r="Z90" s="1064"/>
      <c r="AA90" s="891"/>
      <c r="AB90" s="891"/>
      <c r="AC90" s="891"/>
      <c r="AD90" s="891"/>
      <c r="AE90" s="891"/>
    </row>
    <row s="9286" customFormat="1" customHeight="1" ht="18.75">
      <c r="A91" s="2428" t="s">
        <v>583</v>
      </c>
      <c r="C91" s="889"/>
      <c r="D91" s="887"/>
      <c r="E91" s="700" t="str">
        <f>FHD_NUM_P_53</f>
        <v>7</v>
      </c>
      <c r="F91" s="2040" t="str">
        <f>FHD_P_53</f>
        <v>Объём приобретаемой холодной воды, используемой для горячего водоснабжения</v>
      </c>
      <c r="G91" s="2041" t="s">
        <v>582</v>
      </c>
      <c r="H91" s="1132"/>
      <c r="I91" s="731"/>
      <c r="J91" s="443" t="str">
        <f>FHD_NOTE_P_53</f>
        <v/>
      </c>
      <c r="K91" s="888"/>
      <c r="L91" s="889"/>
      <c r="M91" s="889"/>
      <c r="R91" s="889"/>
      <c r="U91" s="890"/>
      <c r="AA91" s="891"/>
      <c r="AB91" s="891"/>
      <c r="AC91" s="891"/>
      <c r="AD91" s="891"/>
      <c r="AE91" s="891"/>
    </row>
    <row s="9286" customFormat="1" customHeight="1" ht="18.75">
      <c r="A92" s="2428"/>
      <c r="C92" s="889"/>
      <c r="D92" s="887"/>
      <c r="E92" s="700" t="str">
        <f>FHD_NUM_P_54</f>
        <v>8</v>
      </c>
      <c r="F92" s="2040" t="str">
        <f>FHD_P_54</f>
        <v>Объём холодной воды, получаемой с применением собственных источников водозабора (скважин) и используемой для горячего водоснабжения</v>
      </c>
      <c r="G92" s="2041" t="s">
        <v>582</v>
      </c>
      <c r="H92" s="1132"/>
      <c r="I92" s="731"/>
      <c r="J92" s="443" t="str">
        <f>FHD_NOTE_P_54</f>
        <v/>
      </c>
      <c r="K92" s="888"/>
      <c r="L92" s="889"/>
      <c r="M92" s="889"/>
      <c r="R92" s="889"/>
      <c r="U92" s="890"/>
      <c r="AA92" s="891"/>
      <c r="AB92" s="891"/>
      <c r="AC92" s="891"/>
      <c r="AD92" s="891"/>
      <c r="AE92" s="891"/>
    </row>
    <row s="9286" customFormat="1" customHeight="1" ht="18.75">
      <c r="A93" s="2428"/>
      <c r="C93" s="889"/>
      <c r="D93" s="892"/>
      <c r="E93" s="700" t="str">
        <f>FHD_NUM_P_55</f>
        <v>9</v>
      </c>
      <c r="F93" s="2040" t="str">
        <f>FHD_P_55</f>
        <v>Объём приобретаемой тепловой энергии (мощности), используемой для горячего водоснабжения</v>
      </c>
      <c r="G93" s="2044"/>
      <c r="H93" s="1132"/>
      <c r="I93" s="731"/>
      <c r="J93" s="443" t="str">
        <f>FHD_NOTE_P_55</f>
        <v/>
      </c>
      <c r="K93" s="888"/>
      <c r="L93" s="889"/>
      <c r="M93" s="889"/>
      <c r="R93" s="889"/>
      <c r="U93" s="890"/>
      <c r="AA93" s="891"/>
      <c r="AB93" s="891"/>
      <c r="AC93" s="891"/>
      <c r="AD93" s="891"/>
      <c r="AE93" s="891"/>
    </row>
    <row s="9286" customFormat="1" customHeight="1" ht="18.75">
      <c r="A94" s="2428"/>
      <c r="C94" s="889"/>
      <c r="D94" s="887"/>
      <c r="E94" s="700" t="str">
        <f>FHD_NUM_P_56</f>
        <v>10</v>
      </c>
      <c r="F94" s="2040" t="str">
        <f>FHD_P_56</f>
        <v>Объём тепловой энергии, производимой с применением собственных источников и используемой для горячего водоснабжения</v>
      </c>
      <c r="G94" s="2041" t="s">
        <v>584</v>
      </c>
      <c r="H94" s="1132"/>
      <c r="I94" s="731"/>
      <c r="J94" s="443" t="str">
        <f>FHD_NOTE_P_56</f>
        <v/>
      </c>
      <c r="K94" s="888"/>
      <c r="L94" s="889"/>
      <c r="M94" s="889"/>
      <c r="R94" s="889"/>
      <c r="U94" s="890"/>
      <c r="AA94" s="891"/>
      <c r="AB94" s="891"/>
      <c r="AC94" s="891"/>
      <c r="AD94" s="891"/>
      <c r="AE94" s="891"/>
    </row>
    <row s="9295" customFormat="1" customHeight="1" ht="18.75">
      <c r="A95" s="2428"/>
      <c r="B95" s="1064"/>
      <c r="C95" s="889"/>
      <c r="D95" s="887"/>
      <c r="E95" s="700" t="str">
        <f>FHD_NUM_P_57</f>
        <v>11</v>
      </c>
      <c r="F95" s="2040" t="str">
        <f>FHD_P_57</f>
        <v>Потери горячей воды в сетях (процентов)</v>
      </c>
      <c r="G95" s="2041" t="s">
        <v>559</v>
      </c>
      <c r="H95" s="1131"/>
      <c r="I95" s="711"/>
      <c r="J95" s="443" t="str">
        <f>FHD_NOTE_P_57</f>
        <v/>
      </c>
      <c r="K95" s="888"/>
      <c r="L95" s="889"/>
      <c r="M95" s="889"/>
      <c r="N95" s="1064"/>
      <c r="O95" s="1064"/>
      <c r="P95" s="1064"/>
      <c r="Q95" s="1064"/>
      <c r="R95" s="889"/>
      <c r="S95" s="1064"/>
      <c r="T95" s="1064"/>
      <c r="U95" s="890"/>
      <c r="V95" s="1064"/>
      <c r="W95" s="1064"/>
      <c r="X95" s="1064"/>
      <c r="Y95" s="1064"/>
      <c r="Z95" s="1064"/>
      <c r="AA95" s="891"/>
      <c r="AB95" s="891"/>
      <c r="AC95" s="891"/>
      <c r="AD95" s="891"/>
      <c r="AE95" s="891"/>
    </row>
    <row customHeight="1" ht="18.75" hidden="1">
      <c r="A96" s="2426" t="s">
        <v>585</v>
      </c>
      <c r="D96" s="1797"/>
      <c r="E96" s="700" t="str">
        <f>FHD_NUM_P_58</f>
        <v/>
      </c>
      <c r="F96" s="2040" t="str">
        <f>FHD_P_58</f>
        <v/>
      </c>
      <c r="G96" s="2041" t="s">
        <v>582</v>
      </c>
      <c r="H96" s="1132"/>
      <c r="I96" s="731"/>
      <c r="J96" s="443" t="str">
        <f>FHD_NOTE_P_58</f>
        <v/>
      </c>
      <c r="K96" s="697"/>
    </row>
    <row customHeight="1" ht="18.75" hidden="1">
      <c r="A97" s="2426"/>
      <c r="D97" s="1797"/>
      <c r="E97" s="700" t="str">
        <f>FHD_NUM_P_59</f>
        <v/>
      </c>
      <c r="F97" s="2040" t="str">
        <f>FHD_P_59</f>
        <v/>
      </c>
      <c r="G97" s="2041" t="s">
        <v>582</v>
      </c>
      <c r="H97" s="1132"/>
      <c r="I97" s="731"/>
      <c r="J97" s="443" t="str">
        <f>FHD_NOTE_P_59</f>
        <v/>
      </c>
      <c r="K97" s="697"/>
    </row>
    <row customHeight="1" ht="18.75" hidden="1">
      <c r="A98" s="2426"/>
      <c r="D98" s="1797"/>
      <c r="E98" s="700" t="str">
        <f>FHD_NUM_P_60</f>
        <v/>
      </c>
      <c r="F98" s="2040" t="str">
        <f>FHD_P_60</f>
        <v/>
      </c>
      <c r="G98" s="2041" t="s">
        <v>582</v>
      </c>
      <c r="H98" s="1132"/>
      <c r="I98" s="731"/>
      <c r="J98" s="443" t="str">
        <f>FHD_NOTE_P_60</f>
        <v/>
      </c>
      <c r="K98" s="697"/>
    </row>
    <row s="8721" customFormat="1" customHeight="1" ht="18.75" hidden="1">
      <c r="A99" s="2426" t="s">
        <v>586</v>
      </c>
      <c r="C99" s="1795"/>
      <c r="D99" s="1797"/>
      <c r="E99" s="700" t="str">
        <f>FHD_NUM_P_61</f>
        <v/>
      </c>
      <c r="F99" s="2040" t="str">
        <f>FHD_P_61</f>
        <v/>
      </c>
      <c r="G99" s="2038" t="s">
        <v>557</v>
      </c>
      <c r="H99" s="1134"/>
      <c r="I99" s="896"/>
      <c r="J99" s="443" t="str">
        <f>FHD_NOTE_P_61</f>
        <v/>
      </c>
      <c r="K99" s="697"/>
      <c r="L99" s="1795"/>
      <c r="M99" s="1795"/>
      <c r="R99" s="1795"/>
      <c r="U99" s="698"/>
      <c r="AA99" s="1791"/>
      <c r="AB99" s="1791"/>
      <c r="AC99" s="1791"/>
      <c r="AD99" s="1791"/>
      <c r="AE99" s="1791"/>
    </row>
    <row s="8847" customFormat="1" customHeight="1" ht="0.75" hidden="1">
      <c r="A100" s="2426"/>
      <c r="D100" s="702"/>
      <c r="E100" s="1168" t="str">
        <f>E99&amp;".0"</f>
        <v>.0</v>
      </c>
      <c r="F100" s="1149"/>
      <c r="G100" s="1150"/>
      <c r="H100" s="1147"/>
      <c r="I100" s="1147"/>
      <c r="J100" s="1151"/>
    </row>
    <row customHeight="1" ht="15" hidden="1">
      <c r="A101" s="2426"/>
      <c r="D101" s="1792"/>
      <c r="E101" s="1126"/>
      <c r="F101" s="1127" t="s">
        <v>587</v>
      </c>
      <c r="G101" s="726"/>
      <c r="H101" s="727"/>
      <c r="I101" s="727"/>
      <c r="J101" s="1159" t="s">
        <v>588</v>
      </c>
      <c r="K101" s="697"/>
    </row>
    <row s="8721" customFormat="1" customHeight="1" ht="18.75" hidden="1">
      <c r="A102" s="2426"/>
      <c r="C102" s="1795"/>
      <c r="D102" s="1797"/>
      <c r="E102" s="700" t="str">
        <f>FHD_NUM_P_62</f>
        <v/>
      </c>
      <c r="F102" s="2040" t="str">
        <f>FHD_P_62</f>
        <v/>
      </c>
      <c r="G102" s="2037" t="s">
        <v>557</v>
      </c>
      <c r="H102" s="711"/>
      <c r="I102" s="711"/>
      <c r="J102" s="443" t="str">
        <f>FHD_NOTE_P_62</f>
        <v/>
      </c>
      <c r="K102" s="697"/>
      <c r="L102" s="1795"/>
      <c r="M102" s="1795"/>
      <c r="R102" s="1795"/>
      <c r="U102" s="698"/>
      <c r="AA102" s="1791"/>
      <c r="AB102" s="1791"/>
      <c r="AC102" s="1791"/>
      <c r="AD102" s="1791"/>
      <c r="AE102" s="1791"/>
    </row>
    <row s="8721" customFormat="1" customHeight="1" ht="18.75" hidden="1">
      <c r="A103" s="2426"/>
      <c r="C103" s="1795"/>
      <c r="D103" s="1797"/>
      <c r="E103" s="700" t="str">
        <f>FHD_NUM_P_63</f>
        <v/>
      </c>
      <c r="F103" s="2040" t="str">
        <f>FHD_P_63</f>
        <v/>
      </c>
      <c r="G103" s="2037" t="s">
        <v>584</v>
      </c>
      <c r="H103" s="731"/>
      <c r="I103" s="731"/>
      <c r="J103" s="443" t="str">
        <f>FHD_NOTE_P_63</f>
        <v/>
      </c>
      <c r="K103" s="697"/>
      <c r="L103" s="1795"/>
      <c r="M103" s="1795"/>
      <c r="R103" s="1795"/>
      <c r="U103" s="698"/>
      <c r="AA103" s="1791"/>
      <c r="AB103" s="1791"/>
      <c r="AC103" s="1791"/>
      <c r="AD103" s="1791"/>
      <c r="AE103" s="1791"/>
    </row>
    <row s="8721" customFormat="1" customHeight="1" ht="18.75" hidden="1">
      <c r="A104" s="2426"/>
      <c r="C104" s="1795" t="s">
        <v>589</v>
      </c>
      <c r="D104" s="1797"/>
      <c r="E104" s="700" t="str">
        <f>FHD_NUM_P_64</f>
        <v/>
      </c>
      <c r="F104" s="2040" t="str">
        <f>FHD_P_64</f>
        <v/>
      </c>
      <c r="G104" s="2037" t="s">
        <v>584</v>
      </c>
      <c r="H104" s="699"/>
      <c r="I104" s="699"/>
      <c r="J104" s="443" t="str">
        <f>FHD_NOTE_P_64</f>
        <v/>
      </c>
      <c r="K104" s="697"/>
      <c r="L104" s="1795"/>
      <c r="M104" s="1795"/>
      <c r="R104" s="1795"/>
      <c r="U104" s="698"/>
      <c r="AA104" s="1791"/>
      <c r="AB104" s="1791"/>
      <c r="AC104" s="1791"/>
      <c r="AD104" s="1791"/>
      <c r="AE104" s="1791"/>
    </row>
    <row s="8721" customFormat="1" customHeight="1" ht="18.75" hidden="1">
      <c r="A105" s="2426"/>
      <c r="C105" s="1795"/>
      <c r="D105" s="1797"/>
      <c r="E105" s="700" t="str">
        <f>FHD_NUM_P_65</f>
        <v/>
      </c>
      <c r="F105" s="2040" t="str">
        <f>FHD_P_65</f>
        <v/>
      </c>
      <c r="G105" s="2037" t="s">
        <v>584</v>
      </c>
      <c r="H105" s="731"/>
      <c r="I105" s="731"/>
      <c r="J105" s="443" t="str">
        <f>FHD_NOTE_P_65</f>
        <v/>
      </c>
      <c r="K105" s="697"/>
      <c r="L105" s="1795"/>
      <c r="M105" s="1795"/>
      <c r="R105" s="1795"/>
      <c r="U105" s="698"/>
      <c r="AA105" s="1791"/>
      <c r="AB105" s="1791"/>
      <c r="AC105" s="1791"/>
      <c r="AD105" s="1791"/>
      <c r="AE105" s="1791"/>
    </row>
    <row s="8721" customFormat="1" customHeight="1" ht="18.75" hidden="1">
      <c r="A106" s="2426"/>
      <c r="C106" s="1795"/>
      <c r="D106" s="1797"/>
      <c r="E106" s="700" t="str">
        <f>FHD_NUM_P_66</f>
        <v/>
      </c>
      <c r="F106" s="1683" t="str">
        <f>FHD_P_66</f>
        <v/>
      </c>
      <c r="G106" s="2037" t="s">
        <v>584</v>
      </c>
      <c r="H106" s="731"/>
      <c r="I106" s="731"/>
      <c r="J106" s="443" t="str">
        <f>FHD_NOTE_P_66</f>
        <v/>
      </c>
      <c r="K106" s="697"/>
      <c r="L106" s="1795"/>
      <c r="M106" s="1795"/>
      <c r="R106" s="1795"/>
      <c r="U106" s="698"/>
      <c r="AA106" s="1791"/>
      <c r="AB106" s="1791"/>
      <c r="AC106" s="1791"/>
      <c r="AD106" s="1791"/>
      <c r="AE106" s="1791"/>
    </row>
    <row s="8721" customFormat="1" customHeight="1" ht="18.75" hidden="1">
      <c r="A107" s="2426"/>
      <c r="C107" s="1795"/>
      <c r="D107" s="1797"/>
      <c r="E107" s="700" t="str">
        <f>FHD_NUM_P_67</f>
        <v/>
      </c>
      <c r="F107" s="1809" t="str">
        <f>FHD_P_67</f>
        <v/>
      </c>
      <c r="G107" s="2037" t="s">
        <v>584</v>
      </c>
      <c r="H107" s="731"/>
      <c r="I107" s="731"/>
      <c r="J107" s="443" t="str">
        <f>FHD_NOTE_P_67</f>
        <v/>
      </c>
      <c r="K107" s="697"/>
      <c r="L107" s="1795"/>
      <c r="M107" s="1795"/>
      <c r="R107" s="1795"/>
      <c r="U107" s="698"/>
      <c r="AA107" s="1791"/>
      <c r="AB107" s="1791"/>
      <c r="AC107" s="1791"/>
      <c r="AD107" s="1791"/>
      <c r="AE107" s="1791"/>
    </row>
    <row s="8721" customFormat="1" customHeight="1" ht="18.75" hidden="1">
      <c r="A108" s="2426"/>
      <c r="C108" s="1795"/>
      <c r="D108" s="1797"/>
      <c r="E108" s="700" t="str">
        <f>FHD_NUM_P_68</f>
        <v/>
      </c>
      <c r="F108" s="1683" t="str">
        <f>FHD_P_68</f>
        <v/>
      </c>
      <c r="G108" s="2037" t="s">
        <v>584</v>
      </c>
      <c r="H108" s="731"/>
      <c r="I108" s="731"/>
      <c r="J108" s="443" t="str">
        <f>FHD_NOTE_P_68</f>
        <v/>
      </c>
      <c r="K108" s="697"/>
      <c r="L108" s="1795"/>
      <c r="M108" s="1795"/>
      <c r="R108" s="1795"/>
      <c r="U108" s="698"/>
      <c r="AA108" s="1791"/>
      <c r="AB108" s="1791"/>
      <c r="AC108" s="1791"/>
      <c r="AD108" s="1791"/>
      <c r="AE108" s="1791"/>
    </row>
    <row s="8721" customFormat="1" customHeight="1" ht="18.75" hidden="1">
      <c r="A109" s="2426"/>
      <c r="C109" s="1795"/>
      <c r="D109" s="1797"/>
      <c r="E109" s="700" t="str">
        <f>FHD_NUM_P_69</f>
        <v/>
      </c>
      <c r="F109" s="1683" t="str">
        <f>FHD_P_69</f>
        <v/>
      </c>
      <c r="G109" s="2037" t="s">
        <v>584</v>
      </c>
      <c r="H109" s="731"/>
      <c r="I109" s="731"/>
      <c r="J109" s="443" t="str">
        <f>FHD_NOTE_P_69</f>
        <v/>
      </c>
      <c r="K109" s="697"/>
      <c r="L109" s="1795"/>
      <c r="M109" s="1795"/>
      <c r="R109" s="1795"/>
      <c r="U109" s="698"/>
      <c r="AA109" s="1791"/>
      <c r="AB109" s="1791"/>
      <c r="AC109" s="1791"/>
      <c r="AD109" s="1791"/>
      <c r="AE109" s="1791"/>
    </row>
    <row s="8721" customFormat="1" customHeight="1" ht="22.5" hidden="1">
      <c r="A110" s="2426"/>
      <c r="C110" s="1795"/>
      <c r="D110" s="1797"/>
      <c r="E110" s="700" t="str">
        <f>FHD_NUM_P_70</f>
        <v/>
      </c>
      <c r="F110" s="2040" t="str">
        <f>FHD_P_70</f>
        <v/>
      </c>
      <c r="G110" s="2037" t="s">
        <v>590</v>
      </c>
      <c r="H110" s="711"/>
      <c r="I110" s="711"/>
      <c r="J110" s="443" t="str">
        <f>FHD_NOTE_P_70</f>
        <v/>
      </c>
      <c r="K110" s="697"/>
      <c r="L110" s="1795"/>
      <c r="M110" s="1795"/>
      <c r="R110" s="1795"/>
      <c r="U110" s="698"/>
      <c r="AA110" s="1791"/>
      <c r="AB110" s="1791"/>
      <c r="AC110" s="1791"/>
      <c r="AD110" s="1791"/>
      <c r="AE110" s="1791"/>
    </row>
    <row s="8721" customFormat="1" customHeight="1" ht="22.5" hidden="1">
      <c r="A111" s="2426"/>
      <c r="C111" s="1795"/>
      <c r="D111" s="1797"/>
      <c r="E111" s="700" t="str">
        <f>FHD_NUM_P_71</f>
        <v/>
      </c>
      <c r="F111" s="2040" t="str">
        <f>FHD_P_71</f>
        <v/>
      </c>
      <c r="G111" s="2037" t="s">
        <v>590</v>
      </c>
      <c r="H111" s="711"/>
      <c r="I111" s="711"/>
      <c r="J111" s="443" t="str">
        <f>FHD_NOTE_P_71</f>
        <v/>
      </c>
      <c r="K111" s="697"/>
      <c r="L111" s="1795"/>
      <c r="M111" s="1795"/>
      <c r="R111" s="1795"/>
      <c r="U111" s="698"/>
      <c r="AA111" s="1791"/>
      <c r="AB111" s="1791"/>
      <c r="AC111" s="1791"/>
      <c r="AD111" s="1791"/>
      <c r="AE111" s="1791"/>
    </row>
    <row customHeight="1" ht="18.75">
      <c r="D112" s="1797"/>
      <c r="E112" s="700" t="str">
        <f>FHD_NUM_P_72</f>
        <v>12</v>
      </c>
      <c r="F112" s="2040" t="str">
        <f>FHD_P_72</f>
        <v>Среднесписочная численность основного производственного персонала</v>
      </c>
      <c r="G112" s="2036" t="s">
        <v>591</v>
      </c>
      <c r="H112" s="731"/>
      <c r="I112" s="731"/>
      <c r="J112" s="443" t="str">
        <f>FHD_NOTE_P_72</f>
        <v/>
      </c>
      <c r="K112" s="697"/>
    </row>
    <row customHeight="1" ht="18.75" hidden="1">
      <c r="A113" s="1144" t="s">
        <v>592</v>
      </c>
      <c r="D113" s="1797"/>
      <c r="E113" s="700" t="str">
        <f>FHD_NUM_P_73</f>
        <v/>
      </c>
      <c r="F113" s="2040" t="str">
        <f>FHD_P_73</f>
        <v/>
      </c>
      <c r="G113" s="1125" t="s">
        <v>591</v>
      </c>
      <c r="H113" s="1123"/>
      <c r="I113" s="1123"/>
      <c r="J113" s="443" t="str">
        <f>FHD_NOTE_P_73</f>
        <v/>
      </c>
      <c r="K113" s="697"/>
    </row>
    <row customHeight="1" ht="33.75">
      <c r="A114" s="1144" t="s">
        <v>593</v>
      </c>
      <c r="D114" s="1797"/>
      <c r="E114" s="700" t="str">
        <f>FHD_NUM_P_74</f>
        <v>13</v>
      </c>
      <c r="F114" s="2040" t="str">
        <f>FHD_P_74</f>
        <v>Удельный расход электрической энергии на подачу воды в сеть</v>
      </c>
      <c r="G114" s="2036" t="s">
        <v>594</v>
      </c>
      <c r="H114" s="731"/>
      <c r="I114" s="731"/>
      <c r="J114" s="443" t="str">
        <f>FHD_NOTE_P_74</f>
        <v/>
      </c>
      <c r="K114" s="697"/>
    </row>
    <row s="9295" customFormat="1" customHeight="1" ht="18.75" hidden="1">
      <c r="A115" s="2428" t="s">
        <v>595</v>
      </c>
      <c r="B115" s="1064"/>
      <c r="C115" s="889"/>
      <c r="D115" s="887"/>
      <c r="E115" s="700" t="str">
        <f>FHD_NUM_P_75</f>
        <v/>
      </c>
      <c r="F115" s="2040" t="str">
        <f>FHD_P_75</f>
        <v/>
      </c>
      <c r="G115" s="2036" t="s">
        <v>559</v>
      </c>
      <c r="H115" s="711"/>
      <c r="I115" s="711"/>
      <c r="J115" s="443" t="str">
        <f>FHD_NOTE_P_75</f>
        <v/>
      </c>
      <c r="K115" s="888"/>
      <c r="L115" s="889"/>
      <c r="M115" s="889"/>
      <c r="N115" s="1064"/>
      <c r="O115" s="1064"/>
      <c r="P115" s="1064"/>
      <c r="Q115" s="1064"/>
      <c r="R115" s="889"/>
      <c r="S115" s="1064"/>
      <c r="T115" s="1064"/>
      <c r="U115" s="890"/>
      <c r="V115" s="1064"/>
      <c r="W115" s="1064"/>
      <c r="X115" s="1064"/>
      <c r="Y115" s="1064"/>
      <c r="Z115" s="1064"/>
      <c r="AA115" s="891"/>
      <c r="AB115" s="891"/>
      <c r="AC115" s="891"/>
      <c r="AD115" s="891"/>
      <c r="AE115" s="891"/>
    </row>
    <row s="9295" customFormat="1" customHeight="1" ht="18.75" hidden="1">
      <c r="A116" s="2428"/>
      <c r="B116" s="1064"/>
      <c r="C116" s="889"/>
      <c r="D116" s="887"/>
      <c r="E116" s="700" t="str">
        <f>FHD_NUM_P_76</f>
        <v/>
      </c>
      <c r="F116" s="2040" t="str">
        <f>FHD_P_76</f>
        <v/>
      </c>
      <c r="G116" s="2036" t="s">
        <v>559</v>
      </c>
      <c r="H116" s="711"/>
      <c r="I116" s="711"/>
      <c r="J116" s="443" t="str">
        <f>FHD_NOTE_P_76</f>
        <v/>
      </c>
      <c r="K116" s="888"/>
      <c r="L116" s="889"/>
      <c r="M116" s="889"/>
      <c r="N116" s="1064"/>
      <c r="O116" s="1064"/>
      <c r="P116" s="1064"/>
      <c r="Q116" s="1064"/>
      <c r="R116" s="889"/>
      <c r="S116" s="1064"/>
      <c r="T116" s="1064"/>
      <c r="U116" s="890"/>
      <c r="V116" s="1064"/>
      <c r="W116" s="1064"/>
      <c r="X116" s="1064"/>
      <c r="Y116" s="1064"/>
      <c r="Z116" s="1064"/>
      <c r="AA116" s="891"/>
      <c r="AB116" s="891"/>
      <c r="AC116" s="891"/>
      <c r="AD116" s="891"/>
      <c r="AE116" s="891"/>
    </row>
    <row s="9295" customFormat="1" customHeight="1" ht="18.75" hidden="1">
      <c r="A117" s="2428"/>
      <c r="B117" s="1064"/>
      <c r="C117" s="889"/>
      <c r="D117" s="887"/>
      <c r="E117" s="700" t="str">
        <f>FHD_NUM_P_77</f>
        <v/>
      </c>
      <c r="F117" s="2040" t="str">
        <f>FHD_P_77</f>
        <v/>
      </c>
      <c r="G117" s="2036" t="s">
        <v>559</v>
      </c>
      <c r="H117" s="711"/>
      <c r="I117" s="711"/>
      <c r="J117" s="443" t="str">
        <f>FHD_NOTE_P_77</f>
        <v/>
      </c>
      <c r="K117" s="888"/>
      <c r="L117" s="889"/>
      <c r="M117" s="889"/>
      <c r="N117" s="1064"/>
      <c r="O117" s="1064"/>
      <c r="P117" s="1064"/>
      <c r="Q117" s="1064"/>
      <c r="R117" s="889"/>
      <c r="S117" s="1064"/>
      <c r="T117" s="1064"/>
      <c r="U117" s="890"/>
      <c r="V117" s="1064"/>
      <c r="W117" s="1064"/>
      <c r="X117" s="1064"/>
      <c r="Y117" s="1064"/>
      <c r="Z117" s="1064"/>
      <c r="AA117" s="891"/>
      <c r="AB117" s="891"/>
      <c r="AC117" s="891"/>
      <c r="AD117" s="891"/>
      <c r="AE117" s="891"/>
    </row>
    <row s="8847" customFormat="1" customHeight="1" ht="0.75" hidden="1">
      <c r="A118" s="2428"/>
      <c r="D118" s="702"/>
      <c r="E118" s="1168" t="str">
        <f>E117&amp;".0"</f>
        <v>.0</v>
      </c>
      <c r="F118" s="1152"/>
      <c r="G118" s="1810"/>
      <c r="H118" s="1147"/>
      <c r="I118" s="1147"/>
      <c r="J118" s="1151"/>
    </row>
    <row s="9295" customFormat="1" customHeight="1" ht="15" hidden="1">
      <c r="A119" s="2428"/>
      <c r="B119" s="1064"/>
      <c r="C119" s="889"/>
      <c r="D119" s="900"/>
      <c r="E119" s="1128"/>
      <c r="F119" s="1129" t="s">
        <v>596</v>
      </c>
      <c r="G119" s="901"/>
      <c r="H119" s="902"/>
      <c r="I119" s="902"/>
      <c r="J119" s="1158" t="s">
        <v>597</v>
      </c>
      <c r="K119" s="888"/>
      <c r="L119" s="889"/>
      <c r="M119" s="889"/>
      <c r="N119" s="1064"/>
      <c r="O119" s="1064"/>
      <c r="P119" s="1064"/>
      <c r="Q119" s="1064"/>
      <c r="R119" s="889"/>
      <c r="S119" s="1064"/>
      <c r="T119" s="1064"/>
      <c r="U119" s="890"/>
      <c r="V119" s="1064"/>
      <c r="W119" s="1064"/>
      <c r="X119" s="1064"/>
      <c r="Y119" s="1064"/>
      <c r="Z119" s="1064"/>
      <c r="AA119" s="891"/>
      <c r="AB119" s="891"/>
      <c r="AC119" s="891"/>
      <c r="AD119" s="891"/>
      <c r="AE119" s="891"/>
    </row>
    <row customHeight="1" ht="22.5" hidden="1">
      <c r="A120" s="2426" t="s">
        <v>598</v>
      </c>
      <c r="D120" s="1797"/>
      <c r="E120" s="700" t="str">
        <f>FHD_NUM_P_78</f>
        <v/>
      </c>
      <c r="F120" s="2040" t="str">
        <f>FHD_P_78</f>
        <v/>
      </c>
      <c r="G120" s="2037" t="s">
        <v>561</v>
      </c>
      <c r="H120" s="731"/>
      <c r="I120" s="731"/>
      <c r="J120" s="443" t="str">
        <f>FHD_NOTE_P_78</f>
        <v/>
      </c>
      <c r="K120" s="697"/>
    </row>
    <row s="8847" customFormat="1" customHeight="1" ht="0.75" hidden="1">
      <c r="A121" s="2426"/>
      <c r="D121" s="702"/>
      <c r="E121" s="1168" t="str">
        <f>E120&amp;".0"</f>
        <v>.0</v>
      </c>
      <c r="F121" s="1152"/>
      <c r="G121" s="1810"/>
      <c r="H121" s="1147"/>
      <c r="I121" s="1147"/>
      <c r="J121" s="1151"/>
    </row>
    <row customHeight="1" ht="15" hidden="1">
      <c r="A122" s="2426"/>
      <c r="D122" s="1792"/>
      <c r="E122" s="724"/>
      <c r="F122" s="1324" t="s">
        <v>587</v>
      </c>
      <c r="G122" s="726"/>
      <c r="H122" s="727"/>
      <c r="I122" s="727"/>
      <c r="J122" s="1159" t="s">
        <v>599</v>
      </c>
      <c r="K122" s="697"/>
    </row>
    <row customHeight="1" ht="22.5" hidden="1">
      <c r="A123" s="2426"/>
      <c r="D123" s="1797"/>
      <c r="E123" s="700" t="str">
        <f>FHD_NUM_P_79</f>
        <v/>
      </c>
      <c r="F123" s="2040" t="str">
        <f>FHD_P_79</f>
        <v/>
      </c>
      <c r="G123" s="2038" t="s">
        <v>563</v>
      </c>
      <c r="H123" s="731"/>
      <c r="I123" s="731"/>
      <c r="J123" s="443" t="str">
        <f>FHD_NOTE_P_79</f>
        <v/>
      </c>
      <c r="K123" s="697"/>
    </row>
    <row s="8847" customFormat="1" customHeight="1" ht="0.75" hidden="1">
      <c r="A124" s="2426"/>
      <c r="D124" s="702"/>
      <c r="E124" s="1168" t="str">
        <f>E123&amp;".0"</f>
        <v>.0</v>
      </c>
      <c r="F124" s="1153"/>
      <c r="G124" s="1810"/>
      <c r="H124" s="1147"/>
      <c r="I124" s="1147"/>
      <c r="J124" s="1151"/>
    </row>
    <row customHeight="1" ht="15" hidden="1">
      <c r="A125" s="2426"/>
      <c r="D125" s="1792"/>
      <c r="E125" s="724"/>
      <c r="F125" s="1324" t="s">
        <v>587</v>
      </c>
      <c r="G125" s="726"/>
      <c r="H125" s="727"/>
      <c r="I125" s="727"/>
      <c r="J125" s="1159" t="s">
        <v>600</v>
      </c>
      <c r="K125" s="697"/>
    </row>
    <row customHeight="1" ht="22.5" hidden="1">
      <c r="A126" s="2426"/>
      <c r="D126" s="1797"/>
      <c r="E126" s="700" t="str">
        <f>FHD_NUM_P_80</f>
        <v/>
      </c>
      <c r="F126" s="2040" t="str">
        <f>FHD_P_80</f>
        <v/>
      </c>
      <c r="G126" s="2038" t="s">
        <v>601</v>
      </c>
      <c r="H126" s="711"/>
      <c r="I126" s="711"/>
      <c r="J126" s="443" t="str">
        <f>FHD_NOTE_P_80</f>
        <v/>
      </c>
      <c r="K126" s="697"/>
    </row>
    <row customHeight="1" ht="18.75" hidden="1">
      <c r="A127" s="2426"/>
      <c r="D127" s="1797"/>
      <c r="E127" s="700" t="str">
        <f>FHD_NUM_P_81</f>
        <v/>
      </c>
      <c r="F127" s="2040" t="str">
        <f>FHD_P_81</f>
        <v/>
      </c>
      <c r="G127" s="2038" t="s">
        <v>602</v>
      </c>
      <c r="H127" s="711"/>
      <c r="I127" s="711"/>
      <c r="J127" s="443" t="str">
        <f>FHD_NOTE_P_81</f>
        <v/>
      </c>
      <c r="K127" s="697"/>
    </row>
    <row customHeight="1" ht="18.75" hidden="1">
      <c r="A128" s="2426"/>
      <c r="C128" s="1795" t="s">
        <v>589</v>
      </c>
      <c r="D128" s="1797"/>
      <c r="E128" s="700" t="str">
        <f>FHD_NUM_P_82</f>
        <v/>
      </c>
      <c r="F128" s="2040" t="str">
        <f>FHD_P_82</f>
        <v/>
      </c>
      <c r="G128" s="2038" t="s">
        <v>306</v>
      </c>
      <c r="H128" s="555"/>
      <c r="I128" s="555"/>
      <c r="J128" s="443" t="str">
        <f>FHD_NOTE_P_82</f>
        <v/>
      </c>
      <c r="K128" s="697"/>
    </row>
    <row customHeight="1" ht="18.75" hidden="1">
      <c r="A129" s="2426"/>
      <c r="C129" s="1795" t="s">
        <v>589</v>
      </c>
      <c r="D129" s="1797"/>
      <c r="E129" s="700" t="str">
        <f>FHD_NUM_P_83</f>
        <v/>
      </c>
      <c r="F129" s="1683" t="str">
        <f>FHD_P_83</f>
        <v/>
      </c>
      <c r="G129" s="2038" t="s">
        <v>306</v>
      </c>
      <c r="H129" s="555"/>
      <c r="I129" s="555"/>
      <c r="J129" s="443" t="str">
        <f>FHD_NOTE_P_83</f>
        <v/>
      </c>
      <c r="K129" s="697"/>
    </row>
    <row customHeight="1" ht="18.75" hidden="1">
      <c r="A130" s="2426"/>
      <c r="C130" s="1795" t="s">
        <v>589</v>
      </c>
      <c r="D130" s="1797"/>
      <c r="E130" s="700" t="str">
        <f>FHD_NUM_P_84</f>
        <v/>
      </c>
      <c r="F130" s="1683" t="str">
        <f>FHD_P_84</f>
        <v/>
      </c>
      <c r="G130" s="2038" t="s">
        <v>306</v>
      </c>
      <c r="H130" s="555"/>
      <c r="I130" s="555"/>
      <c r="J130" s="443" t="str">
        <f>FHD_NOTE_P_84</f>
        <v/>
      </c>
      <c r="K130" s="697"/>
    </row>
    <row customHeight="1" ht="11.25">
      <c r="D131" s="1797"/>
    </row>
    <row customHeight="1" ht="12.75">
      <c r="D132" s="1797"/>
      <c r="E132" s="490"/>
      <c r="F132" s="523"/>
      <c r="G132" s="523"/>
      <c r="H132" s="523"/>
      <c r="I132" s="1806"/>
      <c r="J132" s="735"/>
    </row>
    <row s="8844" customFormat="1" customHeight="1" ht="11.25">
      <c r="A133" s="1142"/>
      <c r="B133" s="1795"/>
      <c r="C133" s="1795"/>
      <c r="D133" s="505"/>
      <c r="F133" s="1799"/>
      <c r="G133" s="1790"/>
      <c r="H133" s="1790"/>
      <c r="I133" s="1790"/>
      <c r="K133" s="1316"/>
      <c r="L133" s="1795"/>
      <c r="M133" s="1795"/>
      <c r="N133" s="1316"/>
      <c r="O133" s="1316"/>
      <c r="P133" s="1316"/>
      <c r="Q133" s="1316"/>
      <c r="R133" s="1795"/>
      <c r="S133" s="1316"/>
      <c r="T133" s="1316"/>
      <c r="U133" s="698"/>
      <c r="V133" s="1316"/>
      <c r="W133" s="1316"/>
      <c r="X133" s="1316"/>
      <c r="Y133" s="1316"/>
      <c r="Z133" s="1316"/>
      <c r="AA133" s="1791"/>
      <c r="AB133" s="720"/>
      <c r="AC133" s="720"/>
      <c r="AD133" s="720"/>
      <c r="AE133" s="720"/>
    </row>
    <row s="8844" customFormat="1" customHeight="1" ht="11.25">
      <c r="A134" s="1142"/>
      <c r="B134" s="1795"/>
      <c r="C134" s="1795"/>
      <c r="D134" s="505"/>
      <c r="K134" s="1316"/>
      <c r="L134" s="1795"/>
      <c r="M134" s="1795"/>
      <c r="N134" s="1316"/>
      <c r="O134" s="1316"/>
      <c r="P134" s="1316"/>
      <c r="Q134" s="1316"/>
      <c r="R134" s="1795"/>
      <c r="S134" s="1316"/>
      <c r="T134" s="1316"/>
      <c r="U134" s="698"/>
      <c r="V134" s="1316"/>
      <c r="W134" s="1316"/>
      <c r="X134" s="1316"/>
      <c r="Y134" s="1316"/>
      <c r="Z134" s="1316"/>
      <c r="AA134" s="1791"/>
      <c r="AB134" s="720"/>
      <c r="AC134" s="720"/>
      <c r="AD134" s="720"/>
      <c r="AE134" s="720"/>
    </row>
    <row s="8844" customFormat="1" customHeight="1" ht="11.25">
      <c r="A135" s="1142"/>
      <c r="B135" s="1795"/>
      <c r="C135" s="1795"/>
      <c r="D135" s="505"/>
      <c r="K135" s="1316"/>
      <c r="L135" s="1795"/>
      <c r="M135" s="1795"/>
      <c r="N135" s="1316"/>
      <c r="O135" s="1316"/>
      <c r="P135" s="1316"/>
      <c r="Q135" s="1316"/>
      <c r="R135" s="1795"/>
      <c r="S135" s="1316"/>
      <c r="T135" s="1316"/>
      <c r="U135" s="698"/>
      <c r="V135" s="1316"/>
      <c r="W135" s="1316"/>
      <c r="X135" s="1316"/>
      <c r="Y135" s="1316"/>
      <c r="Z135" s="1316"/>
      <c r="AA135" s="1791"/>
      <c r="AB135" s="720"/>
      <c r="AC135" s="720"/>
      <c r="AD135" s="720"/>
      <c r="AE135" s="720"/>
    </row>
    <row s="8844" customFormat="1" customHeight="1" ht="11.25">
      <c r="A136" s="1142"/>
      <c r="B136" s="1795"/>
      <c r="C136" s="1795"/>
      <c r="D136" s="505"/>
      <c r="H136" s="720" t="str">
        <f>IF(H30-H31&lt;&gt;H72,"WARNING","")</f>
        <v/>
      </c>
      <c r="I136" s="720" t="str">
        <f>IF(I30-I31&lt;&gt;I72,"WARNING","")</f>
        <v/>
      </c>
      <c r="K136" s="1316"/>
      <c r="L136" s="1795"/>
      <c r="M136" s="1795"/>
      <c r="N136" s="1316"/>
      <c r="O136" s="1316"/>
      <c r="P136" s="1316"/>
      <c r="Q136" s="1316"/>
      <c r="R136" s="1795"/>
      <c r="S136" s="1316"/>
      <c r="T136" s="1316"/>
      <c r="U136" s="698"/>
      <c r="V136" s="1316"/>
      <c r="W136" s="1316"/>
      <c r="X136" s="1316"/>
      <c r="Y136" s="1316"/>
      <c r="Z136" s="1316"/>
      <c r="AA136" s="1791"/>
      <c r="AB136" s="720"/>
      <c r="AC136" s="720"/>
      <c r="AD136" s="720"/>
      <c r="AE136" s="720"/>
    </row>
    <row s="8844" customFormat="1" customHeight="1" ht="11.25">
      <c r="A137" s="1142"/>
      <c r="B137" s="1795"/>
      <c r="C137" s="1795"/>
      <c r="D137" s="505"/>
      <c r="K137" s="1316"/>
      <c r="L137" s="1795"/>
      <c r="M137" s="1795"/>
      <c r="N137" s="1316"/>
      <c r="O137" s="1316"/>
      <c r="P137" s="1316"/>
      <c r="Q137" s="1316"/>
      <c r="R137" s="1795"/>
      <c r="S137" s="1316"/>
      <c r="T137" s="1316"/>
      <c r="U137" s="698"/>
      <c r="V137" s="1316"/>
      <c r="W137" s="1316"/>
      <c r="X137" s="1316"/>
      <c r="Y137" s="1316"/>
      <c r="Z137" s="1316"/>
      <c r="AA137" s="1791"/>
      <c r="AB137" s="720"/>
      <c r="AC137" s="720"/>
      <c r="AD137" s="720"/>
      <c r="AE137" s="720"/>
    </row>
    <row s="8844" customFormat="1" customHeight="1" ht="11.25">
      <c r="A138" s="1142"/>
      <c r="B138" s="1795"/>
      <c r="C138" s="1795"/>
      <c r="D138" s="505"/>
      <c r="K138" s="1316"/>
      <c r="L138" s="1795"/>
      <c r="M138" s="1795"/>
      <c r="N138" s="1316"/>
      <c r="O138" s="1316"/>
      <c r="P138" s="1316"/>
      <c r="Q138" s="1316"/>
      <c r="R138" s="1795"/>
      <c r="S138" s="1316"/>
      <c r="T138" s="1316"/>
      <c r="U138" s="698"/>
      <c r="V138" s="1316"/>
      <c r="W138" s="1316"/>
      <c r="X138" s="1316"/>
      <c r="Y138" s="1316"/>
      <c r="Z138" s="1316"/>
      <c r="AA138" s="1791"/>
      <c r="AB138" s="720"/>
      <c r="AC138" s="720"/>
      <c r="AD138" s="720"/>
      <c r="AE138" s="720"/>
    </row>
    <row s="8844" customFormat="1" customHeight="1" ht="11.25">
      <c r="A139" s="1142"/>
      <c r="B139" s="1795"/>
      <c r="C139" s="1795"/>
      <c r="D139" s="505"/>
      <c r="K139" s="1316"/>
      <c r="L139" s="1795"/>
      <c r="M139" s="1795"/>
      <c r="N139" s="1316"/>
      <c r="O139" s="1316"/>
      <c r="P139" s="1316"/>
      <c r="Q139" s="1316"/>
      <c r="R139" s="1795"/>
      <c r="S139" s="1316"/>
      <c r="T139" s="1316"/>
      <c r="U139" s="698"/>
      <c r="V139" s="1316"/>
      <c r="W139" s="1316"/>
      <c r="X139" s="1316"/>
      <c r="Y139" s="1316"/>
      <c r="Z139" s="1316"/>
      <c r="AA139" s="1791"/>
      <c r="AB139" s="720"/>
      <c r="AC139" s="720"/>
      <c r="AD139" s="720"/>
      <c r="AE139" s="720"/>
    </row>
    <row s="8844" customFormat="1" customHeight="1" ht="11.25">
      <c r="A140" s="1142"/>
      <c r="B140" s="1795"/>
      <c r="C140" s="1795"/>
      <c r="D140" s="505"/>
      <c r="K140" s="1316"/>
      <c r="L140" s="1795"/>
      <c r="M140" s="1795"/>
      <c r="N140" s="1316"/>
      <c r="O140" s="1316"/>
      <c r="P140" s="1316"/>
      <c r="Q140" s="1316"/>
      <c r="R140" s="1795"/>
      <c r="S140" s="1316"/>
      <c r="T140" s="1316"/>
      <c r="U140" s="698"/>
      <c r="V140" s="1316"/>
      <c r="W140" s="1316"/>
      <c r="X140" s="1316"/>
      <c r="Y140" s="1316"/>
      <c r="Z140" s="1316"/>
      <c r="AA140" s="1791"/>
      <c r="AB140" s="720"/>
      <c r="AC140" s="720"/>
      <c r="AD140" s="720"/>
      <c r="AE140" s="720"/>
    </row>
    <row s="8844" customFormat="1" customHeight="1" ht="11.25">
      <c r="A141" s="1142"/>
      <c r="B141" s="1795"/>
      <c r="C141" s="1795"/>
      <c r="D141" s="505"/>
      <c r="K141" s="1316"/>
      <c r="L141" s="1795"/>
      <c r="M141" s="1795"/>
      <c r="N141" s="1316"/>
      <c r="O141" s="1316"/>
      <c r="P141" s="1316"/>
      <c r="Q141" s="1316"/>
      <c r="R141" s="1795"/>
      <c r="S141" s="1316"/>
      <c r="T141" s="1316"/>
      <c r="U141" s="698"/>
      <c r="V141" s="1316"/>
      <c r="W141" s="1316"/>
      <c r="X141" s="1316"/>
      <c r="Y141" s="1316"/>
      <c r="Z141" s="1316"/>
      <c r="AA141" s="1791"/>
      <c r="AB141" s="720"/>
      <c r="AC141" s="720"/>
      <c r="AD141" s="720"/>
      <c r="AE141" s="720"/>
    </row>
    <row s="8844" customFormat="1" customHeight="1" ht="11.25">
      <c r="A142" s="1142"/>
      <c r="B142" s="1795"/>
      <c r="C142" s="1795"/>
      <c r="D142" s="505"/>
      <c r="K142" s="1316"/>
      <c r="L142" s="1795"/>
      <c r="M142" s="1795"/>
      <c r="N142" s="1316"/>
      <c r="O142" s="1316"/>
      <c r="P142" s="1316"/>
      <c r="Q142" s="1316"/>
      <c r="R142" s="1795"/>
      <c r="S142" s="1316"/>
      <c r="T142" s="1316"/>
      <c r="U142" s="698"/>
      <c r="V142" s="1316"/>
      <c r="W142" s="1316"/>
      <c r="X142" s="1316"/>
      <c r="Y142" s="1316"/>
      <c r="Z142" s="1316"/>
      <c r="AA142" s="1791"/>
      <c r="AB142" s="720"/>
      <c r="AC142" s="720"/>
      <c r="AD142" s="720"/>
      <c r="AE142" s="720"/>
    </row>
    <row s="8844" customFormat="1" customHeight="1" ht="11.25">
      <c r="A143" s="1142"/>
      <c r="B143" s="1795"/>
      <c r="C143" s="1795"/>
      <c r="D143" s="505"/>
      <c r="K143" s="1316"/>
      <c r="L143" s="1795"/>
      <c r="M143" s="1795"/>
      <c r="N143" s="1316"/>
      <c r="O143" s="1316"/>
      <c r="P143" s="1316"/>
      <c r="Q143" s="1316"/>
      <c r="R143" s="1795"/>
      <c r="S143" s="1316"/>
      <c r="T143" s="1316"/>
      <c r="U143" s="698"/>
      <c r="V143" s="1316"/>
      <c r="W143" s="1316"/>
      <c r="X143" s="1316"/>
      <c r="Y143" s="1316"/>
      <c r="Z143" s="1316"/>
      <c r="AA143" s="1791"/>
      <c r="AB143" s="720"/>
      <c r="AC143" s="720"/>
      <c r="AD143" s="720"/>
      <c r="AE143" s="720"/>
    </row>
    <row s="8844" customFormat="1" customHeight="1" ht="11.25">
      <c r="A144" s="1142"/>
      <c r="B144" s="1795"/>
      <c r="C144" s="1795"/>
      <c r="D144" s="505"/>
      <c r="K144" s="1316"/>
      <c r="L144" s="1795"/>
      <c r="M144" s="1795"/>
      <c r="N144" s="1316"/>
      <c r="O144" s="1316"/>
      <c r="P144" s="1316"/>
      <c r="Q144" s="1316"/>
      <c r="R144" s="1795"/>
      <c r="S144" s="1316"/>
      <c r="T144" s="1316"/>
      <c r="U144" s="698"/>
      <c r="V144" s="1316"/>
      <c r="W144" s="1316"/>
      <c r="X144" s="1316"/>
      <c r="Y144" s="1316"/>
      <c r="Z144" s="1316"/>
      <c r="AA144" s="1791"/>
      <c r="AB144" s="720"/>
      <c r="AC144" s="720"/>
      <c r="AD144" s="720"/>
      <c r="AE144" s="720"/>
    </row>
    <row s="8844" customFormat="1" customHeight="1" ht="11.25">
      <c r="A145" s="1142"/>
      <c r="B145" s="1795"/>
      <c r="C145" s="1795"/>
      <c r="D145" s="505"/>
      <c r="K145" s="1316"/>
      <c r="L145" s="1795"/>
      <c r="M145" s="1795"/>
      <c r="N145" s="1316"/>
      <c r="O145" s="1316"/>
      <c r="P145" s="1316"/>
      <c r="Q145" s="1316"/>
      <c r="R145" s="1795"/>
      <c r="S145" s="1316"/>
      <c r="T145" s="1316"/>
      <c r="U145" s="698"/>
      <c r="V145" s="1316"/>
      <c r="W145" s="1316"/>
      <c r="X145" s="1316"/>
      <c r="Y145" s="1316"/>
      <c r="Z145" s="1316"/>
      <c r="AA145" s="1791"/>
      <c r="AB145" s="720"/>
      <c r="AC145" s="720"/>
      <c r="AD145" s="720"/>
      <c r="AE145" s="720"/>
    </row>
    <row s="8844" customFormat="1" customHeight="1" ht="11.25">
      <c r="A146" s="1142"/>
      <c r="B146" s="1795"/>
      <c r="C146" s="1795"/>
      <c r="D146" s="505"/>
      <c r="K146" s="1316"/>
      <c r="L146" s="1795"/>
      <c r="M146" s="1795"/>
      <c r="N146" s="1316"/>
      <c r="O146" s="1316"/>
      <c r="P146" s="1316"/>
      <c r="Q146" s="1316"/>
      <c r="R146" s="1795"/>
      <c r="S146" s="1316"/>
      <c r="T146" s="1316"/>
      <c r="U146" s="698"/>
      <c r="V146" s="1316"/>
      <c r="W146" s="1316"/>
      <c r="X146" s="1316"/>
      <c r="Y146" s="1316"/>
      <c r="Z146" s="1316"/>
      <c r="AA146" s="1791"/>
      <c r="AB146" s="720"/>
      <c r="AC146" s="720"/>
      <c r="AD146" s="720"/>
      <c r="AE146" s="720"/>
    </row>
    <row s="8844" customFormat="1" customHeight="1" ht="11.25">
      <c r="A147" s="1142"/>
      <c r="B147" s="1795"/>
      <c r="C147" s="1795"/>
      <c r="D147" s="505"/>
      <c r="K147" s="1316"/>
      <c r="L147" s="1795"/>
      <c r="M147" s="1795"/>
      <c r="N147" s="1316"/>
      <c r="O147" s="1316"/>
      <c r="P147" s="1316"/>
      <c r="Q147" s="1316"/>
      <c r="R147" s="1795"/>
      <c r="S147" s="1316"/>
      <c r="T147" s="1316"/>
      <c r="U147" s="698"/>
      <c r="V147" s="1316"/>
      <c r="W147" s="1316"/>
      <c r="X147" s="1316"/>
      <c r="Y147" s="1316"/>
      <c r="Z147" s="1316"/>
      <c r="AA147" s="1791"/>
      <c r="AB147" s="720"/>
      <c r="AC147" s="720"/>
      <c r="AD147" s="720"/>
      <c r="AE147" s="720"/>
    </row>
    <row s="8844" customFormat="1" customHeight="1" ht="11.25">
      <c r="A148" s="1142"/>
      <c r="B148" s="1795"/>
      <c r="C148" s="1795"/>
      <c r="D148" s="505"/>
      <c r="K148" s="1316"/>
      <c r="L148" s="1795"/>
      <c r="M148" s="1795"/>
      <c r="N148" s="1316"/>
      <c r="O148" s="1316"/>
      <c r="P148" s="1316"/>
      <c r="Q148" s="1316"/>
      <c r="R148" s="1795"/>
      <c r="S148" s="1316"/>
      <c r="T148" s="1316"/>
      <c r="U148" s="698"/>
      <c r="V148" s="1316"/>
      <c r="W148" s="1316"/>
      <c r="X148" s="1316"/>
      <c r="Y148" s="1316"/>
      <c r="Z148" s="1316"/>
      <c r="AA148" s="1791"/>
      <c r="AB148" s="720"/>
      <c r="AC148" s="720"/>
      <c r="AD148" s="720"/>
      <c r="AE148" s="720"/>
    </row>
    <row s="8844" customFormat="1" customHeight="1" ht="11.25">
      <c r="A149" s="1142"/>
      <c r="B149" s="1795"/>
      <c r="C149" s="1795"/>
      <c r="D149" s="505"/>
      <c r="K149" s="1316"/>
      <c r="L149" s="1795"/>
      <c r="M149" s="1795"/>
      <c r="N149" s="1316"/>
      <c r="O149" s="1316"/>
      <c r="P149" s="1316"/>
      <c r="Q149" s="1316"/>
      <c r="R149" s="1795"/>
      <c r="S149" s="1316"/>
      <c r="T149" s="1316"/>
      <c r="U149" s="698"/>
      <c r="V149" s="1316"/>
      <c r="W149" s="1316"/>
      <c r="X149" s="1316"/>
      <c r="Y149" s="1316"/>
      <c r="Z149" s="1316"/>
      <c r="AA149" s="1791"/>
      <c r="AB149" s="720"/>
      <c r="AC149" s="720"/>
      <c r="AD149" s="720"/>
      <c r="AE149" s="720"/>
    </row>
    <row s="8844" customFormat="1" customHeight="1" ht="11.25">
      <c r="A150" s="1142"/>
      <c r="B150" s="1795"/>
      <c r="C150" s="1795"/>
      <c r="D150" s="505"/>
      <c r="K150" s="1316"/>
      <c r="L150" s="1795"/>
      <c r="M150" s="1795"/>
      <c r="N150" s="1316"/>
      <c r="O150" s="1316"/>
      <c r="P150" s="1316"/>
      <c r="Q150" s="1316"/>
      <c r="R150" s="1795"/>
      <c r="S150" s="1316"/>
      <c r="T150" s="1316"/>
      <c r="U150" s="698"/>
      <c r="V150" s="1316"/>
      <c r="W150" s="1316"/>
      <c r="X150" s="1316"/>
      <c r="Y150" s="1316"/>
      <c r="Z150" s="1316"/>
      <c r="AA150" s="1791"/>
      <c r="AB150" s="720"/>
      <c r="AC150" s="720"/>
      <c r="AD150" s="720"/>
      <c r="AE150" s="720"/>
    </row>
    <row s="8844" customFormat="1" customHeight="1" ht="11.25">
      <c r="A151" s="1142"/>
      <c r="B151" s="1795"/>
      <c r="C151" s="1795"/>
      <c r="D151" s="505"/>
      <c r="K151" s="1316"/>
      <c r="L151" s="1795"/>
      <c r="M151" s="1795"/>
      <c r="N151" s="1316"/>
      <c r="O151" s="1316"/>
      <c r="P151" s="1316"/>
      <c r="Q151" s="1316"/>
      <c r="R151" s="1795"/>
      <c r="S151" s="1316"/>
      <c r="T151" s="1316"/>
      <c r="U151" s="698"/>
      <c r="V151" s="1316"/>
      <c r="W151" s="1316"/>
      <c r="X151" s="1316"/>
      <c r="Y151" s="1316"/>
      <c r="Z151" s="1316"/>
      <c r="AA151" s="1791"/>
      <c r="AB151" s="720"/>
      <c r="AC151" s="720"/>
      <c r="AD151" s="720"/>
      <c r="AE151" s="720"/>
    </row>
    <row s="8844" customFormat="1" customHeight="1" ht="11.25">
      <c r="A152" s="1142"/>
      <c r="B152" s="1795"/>
      <c r="C152" s="1795"/>
      <c r="D152" s="505"/>
      <c r="K152" s="1316"/>
      <c r="L152" s="1795"/>
      <c r="M152" s="1795"/>
      <c r="N152" s="1316"/>
      <c r="O152" s="1316"/>
      <c r="P152" s="1316"/>
      <c r="Q152" s="1316"/>
      <c r="R152" s="1795"/>
      <c r="S152" s="1316"/>
      <c r="T152" s="1316"/>
      <c r="U152" s="698"/>
      <c r="V152" s="1316"/>
      <c r="W152" s="1316"/>
      <c r="X152" s="1316"/>
      <c r="Y152" s="1316"/>
      <c r="Z152" s="1316"/>
      <c r="AA152" s="1791"/>
      <c r="AB152" s="720"/>
      <c r="AC152" s="720"/>
      <c r="AD152" s="720"/>
      <c r="AE152" s="720"/>
    </row>
    <row s="8844" customFormat="1" customHeight="1" ht="11.25">
      <c r="A153" s="1142"/>
      <c r="B153" s="1795"/>
      <c r="C153" s="1795"/>
      <c r="D153" s="505"/>
      <c r="K153" s="1316"/>
      <c r="L153" s="1795"/>
      <c r="M153" s="1795"/>
      <c r="N153" s="1316"/>
      <c r="O153" s="1316"/>
      <c r="P153" s="1316"/>
      <c r="Q153" s="1316"/>
      <c r="R153" s="1795"/>
      <c r="S153" s="1316"/>
      <c r="T153" s="1316"/>
      <c r="U153" s="698"/>
      <c r="V153" s="1316"/>
      <c r="W153" s="1316"/>
      <c r="X153" s="1316"/>
      <c r="Y153" s="1316"/>
      <c r="Z153" s="1316"/>
      <c r="AA153" s="1791"/>
      <c r="AB153" s="720"/>
      <c r="AC153" s="720"/>
      <c r="AD153" s="720"/>
      <c r="AE153" s="720"/>
    </row>
    <row s="8844" customFormat="1" customHeight="1" ht="11.25">
      <c r="A154" s="1142"/>
      <c r="B154" s="1795"/>
      <c r="C154" s="1795"/>
      <c r="D154" s="505"/>
      <c r="K154" s="1316"/>
      <c r="L154" s="1795"/>
      <c r="M154" s="1795"/>
      <c r="N154" s="1316"/>
      <c r="O154" s="1316"/>
      <c r="P154" s="1316"/>
      <c r="Q154" s="1316"/>
      <c r="R154" s="1795"/>
      <c r="S154" s="1316"/>
      <c r="T154" s="1316"/>
      <c r="U154" s="698"/>
      <c r="V154" s="1316"/>
      <c r="W154" s="1316"/>
      <c r="X154" s="1316"/>
      <c r="Y154" s="1316"/>
      <c r="Z154" s="1316"/>
      <c r="AA154" s="1791"/>
      <c r="AB154" s="720"/>
      <c r="AC154" s="720"/>
      <c r="AD154" s="720"/>
      <c r="AE154" s="720"/>
    </row>
    <row s="8844" customFormat="1" customHeight="1" ht="11.25">
      <c r="A155" s="1142"/>
      <c r="B155" s="1795"/>
      <c r="C155" s="1795"/>
      <c r="D155" s="505"/>
      <c r="K155" s="1316"/>
      <c r="L155" s="1795"/>
      <c r="M155" s="1795"/>
      <c r="N155" s="1316"/>
      <c r="O155" s="1316"/>
      <c r="P155" s="1316"/>
      <c r="Q155" s="1316"/>
      <c r="R155" s="1795"/>
      <c r="S155" s="1316"/>
      <c r="T155" s="1316"/>
      <c r="U155" s="698"/>
      <c r="V155" s="1316"/>
      <c r="W155" s="1316"/>
      <c r="X155" s="1316"/>
      <c r="Y155" s="1316"/>
      <c r="Z155" s="1316"/>
      <c r="AA155" s="1791"/>
      <c r="AB155" s="720"/>
      <c r="AC155" s="720"/>
      <c r="AD155" s="720"/>
      <c r="AE155" s="720"/>
    </row>
    <row s="8844" customFormat="1" customHeight="1" ht="11.25">
      <c r="A156" s="1142"/>
      <c r="B156" s="1795"/>
      <c r="C156" s="1795"/>
      <c r="D156" s="505"/>
      <c r="K156" s="1316"/>
      <c r="L156" s="1795"/>
      <c r="M156" s="1795"/>
      <c r="N156" s="1316"/>
      <c r="O156" s="1316"/>
      <c r="P156" s="1316"/>
      <c r="Q156" s="1316"/>
      <c r="R156" s="1795"/>
      <c r="S156" s="1316"/>
      <c r="T156" s="1316"/>
      <c r="U156" s="698"/>
      <c r="V156" s="1316"/>
      <c r="W156" s="1316"/>
      <c r="X156" s="1316"/>
      <c r="Y156" s="1316"/>
      <c r="Z156" s="1316"/>
      <c r="AA156" s="1791"/>
      <c r="AB156" s="720"/>
      <c r="AC156" s="720"/>
      <c r="AD156" s="720"/>
      <c r="AE156" s="720"/>
    </row>
    <row s="8844" customFormat="1" customHeight="1" ht="11.25">
      <c r="A157" s="1142"/>
      <c r="B157" s="1795"/>
      <c r="C157" s="1795"/>
      <c r="D157" s="505"/>
      <c r="K157" s="1316"/>
      <c r="L157" s="1795"/>
      <c r="M157" s="1795"/>
      <c r="N157" s="1316"/>
      <c r="O157" s="1316"/>
      <c r="P157" s="1316"/>
      <c r="Q157" s="1316"/>
      <c r="R157" s="1795"/>
      <c r="S157" s="1316"/>
      <c r="T157" s="1316"/>
      <c r="U157" s="698"/>
      <c r="V157" s="1316"/>
      <c r="W157" s="1316"/>
      <c r="X157" s="1316"/>
      <c r="Y157" s="1316"/>
      <c r="Z157" s="1316"/>
      <c r="AA157" s="1791"/>
      <c r="AB157" s="720"/>
      <c r="AC157" s="720"/>
      <c r="AD157" s="720"/>
      <c r="AE157" s="720"/>
    </row>
    <row s="8844" customFormat="1" customHeight="1" ht="11.25">
      <c r="A158" s="1142"/>
      <c r="B158" s="1795"/>
      <c r="C158" s="1795"/>
      <c r="D158" s="505"/>
      <c r="K158" s="1316"/>
      <c r="L158" s="1795"/>
      <c r="M158" s="1795"/>
      <c r="N158" s="1316"/>
      <c r="O158" s="1316"/>
      <c r="P158" s="1316"/>
      <c r="Q158" s="1316"/>
      <c r="R158" s="1795"/>
      <c r="S158" s="1316"/>
      <c r="T158" s="1316"/>
      <c r="U158" s="698"/>
      <c r="V158" s="1316"/>
      <c r="W158" s="1316"/>
      <c r="X158" s="1316"/>
      <c r="Y158" s="1316"/>
      <c r="Z158" s="1316"/>
      <c r="AA158" s="1791"/>
      <c r="AB158" s="720"/>
      <c r="AC158" s="720"/>
      <c r="AD158" s="720"/>
      <c r="AE158" s="720"/>
    </row>
    <row s="8844" customFormat="1" customHeight="1" ht="11.25">
      <c r="A159" s="1142"/>
      <c r="B159" s="1795"/>
      <c r="C159" s="1795"/>
      <c r="D159" s="505"/>
      <c r="K159" s="1316"/>
      <c r="L159" s="1795"/>
      <c r="M159" s="1795"/>
      <c r="N159" s="1316"/>
      <c r="O159" s="1316"/>
      <c r="P159" s="1316"/>
      <c r="Q159" s="1316"/>
      <c r="R159" s="1795"/>
      <c r="S159" s="1316"/>
      <c r="T159" s="1316"/>
      <c r="U159" s="698"/>
      <c r="V159" s="1316"/>
      <c r="W159" s="1316"/>
      <c r="X159" s="1316"/>
      <c r="Y159" s="1316"/>
      <c r="Z159" s="1316"/>
      <c r="AA159" s="1791"/>
      <c r="AB159" s="720"/>
      <c r="AC159" s="720"/>
      <c r="AD159" s="720"/>
      <c r="AE159" s="720"/>
    </row>
    <row s="8844" customFormat="1" customHeight="1" ht="11.25">
      <c r="A160" s="1142"/>
      <c r="B160" s="1795"/>
      <c r="C160" s="1795"/>
      <c r="D160" s="505"/>
      <c r="K160" s="1316"/>
      <c r="L160" s="1795"/>
      <c r="M160" s="1795"/>
      <c r="N160" s="1316"/>
      <c r="O160" s="1316"/>
      <c r="P160" s="1316"/>
      <c r="Q160" s="1316"/>
      <c r="R160" s="1795"/>
      <c r="S160" s="1316"/>
      <c r="T160" s="1316"/>
      <c r="U160" s="698"/>
      <c r="V160" s="1316"/>
      <c r="W160" s="1316"/>
      <c r="X160" s="1316"/>
      <c r="Y160" s="1316"/>
      <c r="Z160" s="1316"/>
      <c r="AA160" s="1791"/>
      <c r="AB160" s="720"/>
      <c r="AC160" s="720"/>
      <c r="AD160" s="720"/>
      <c r="AE160" s="720"/>
    </row>
    <row s="8844" customFormat="1" customHeight="1" ht="11.25">
      <c r="A161" s="1142"/>
      <c r="B161" s="1795"/>
      <c r="C161" s="1795"/>
      <c r="D161" s="505"/>
      <c r="K161" s="1316"/>
      <c r="L161" s="1795"/>
      <c r="M161" s="1795"/>
      <c r="N161" s="1316"/>
      <c r="O161" s="1316"/>
      <c r="P161" s="1316"/>
      <c r="Q161" s="1316"/>
      <c r="R161" s="1795"/>
      <c r="S161" s="1316"/>
      <c r="T161" s="1316"/>
      <c r="U161" s="698"/>
      <c r="V161" s="1316"/>
      <c r="W161" s="1316"/>
      <c r="X161" s="1316"/>
      <c r="Y161" s="1316"/>
      <c r="Z161" s="1316"/>
      <c r="AA161" s="1791"/>
      <c r="AB161" s="720"/>
      <c r="AC161" s="720"/>
      <c r="AD161" s="720"/>
      <c r="AE161" s="720"/>
    </row>
    <row s="8844" customFormat="1" customHeight="1" ht="11.25">
      <c r="A162" s="1142"/>
      <c r="B162" s="1795"/>
      <c r="C162" s="1795"/>
      <c r="D162" s="505"/>
      <c r="K162" s="1316"/>
      <c r="L162" s="1795"/>
      <c r="M162" s="1795"/>
      <c r="N162" s="1316"/>
      <c r="O162" s="1316"/>
      <c r="P162" s="1316"/>
      <c r="Q162" s="1316"/>
      <c r="R162" s="1795"/>
      <c r="S162" s="1316"/>
      <c r="T162" s="1316"/>
      <c r="U162" s="698"/>
      <c r="V162" s="1316"/>
      <c r="W162" s="1316"/>
      <c r="X162" s="1316"/>
      <c r="Y162" s="1316"/>
      <c r="Z162" s="1316"/>
      <c r="AA162" s="1791"/>
      <c r="AB162" s="720"/>
      <c r="AC162" s="720"/>
      <c r="AD162" s="720"/>
      <c r="AE162" s="720"/>
    </row>
    <row s="8844" customFormat="1" customHeight="1" ht="11.25">
      <c r="A163" s="1142"/>
      <c r="B163" s="1795"/>
      <c r="C163" s="1795"/>
      <c r="D163" s="505"/>
      <c r="K163" s="1316"/>
      <c r="L163" s="1795"/>
      <c r="M163" s="1795"/>
      <c r="N163" s="1316"/>
      <c r="O163" s="1316"/>
      <c r="P163" s="1316"/>
      <c r="Q163" s="1316"/>
      <c r="R163" s="1795"/>
      <c r="S163" s="1316"/>
      <c r="T163" s="1316"/>
      <c r="U163" s="698"/>
      <c r="V163" s="1316"/>
      <c r="W163" s="1316"/>
      <c r="X163" s="1316"/>
      <c r="Y163" s="1316"/>
      <c r="Z163" s="1316"/>
      <c r="AA163" s="1791"/>
      <c r="AB163" s="720"/>
      <c r="AC163" s="720"/>
      <c r="AD163" s="720"/>
      <c r="AE163" s="720"/>
    </row>
    <row s="8844" customFormat="1" customHeight="1" ht="11.25">
      <c r="A164" s="1142"/>
      <c r="B164" s="1795"/>
      <c r="C164" s="1795"/>
      <c r="D164" s="505"/>
      <c r="K164" s="1316"/>
      <c r="L164" s="1795"/>
      <c r="M164" s="1795"/>
      <c r="N164" s="1316"/>
      <c r="O164" s="1316"/>
      <c r="P164" s="1316"/>
      <c r="Q164" s="1316"/>
      <c r="R164" s="1795"/>
      <c r="S164" s="1316"/>
      <c r="T164" s="1316"/>
      <c r="U164" s="698"/>
      <c r="V164" s="1316"/>
      <c r="W164" s="1316"/>
      <c r="X164" s="1316"/>
      <c r="Y164" s="1316"/>
      <c r="Z164" s="1316"/>
      <c r="AA164" s="1791"/>
      <c r="AB164" s="720"/>
      <c r="AC164" s="720"/>
      <c r="AD164" s="720"/>
      <c r="AE164" s="720"/>
    </row>
    <row s="8844" customFormat="1" customHeight="1" ht="11.25">
      <c r="A165" s="1142"/>
      <c r="B165" s="1795"/>
      <c r="C165" s="1795"/>
      <c r="D165" s="505"/>
      <c r="K165" s="1316"/>
      <c r="L165" s="1795"/>
      <c r="M165" s="1795"/>
      <c r="N165" s="1316"/>
      <c r="O165" s="1316"/>
      <c r="P165" s="1316"/>
      <c r="Q165" s="1316"/>
      <c r="R165" s="1795"/>
      <c r="S165" s="1316"/>
      <c r="T165" s="1316"/>
      <c r="U165" s="698"/>
      <c r="V165" s="1316"/>
      <c r="W165" s="1316"/>
      <c r="X165" s="1316"/>
      <c r="Y165" s="1316"/>
      <c r="Z165" s="1316"/>
      <c r="AA165" s="1791"/>
      <c r="AB165" s="720"/>
      <c r="AC165" s="720"/>
      <c r="AD165" s="720"/>
      <c r="AE165" s="720"/>
    </row>
    <row s="8844" customFormat="1" customHeight="1" ht="11.25">
      <c r="A166" s="1142"/>
      <c r="B166" s="1795"/>
      <c r="C166" s="1795"/>
      <c r="D166" s="505"/>
      <c r="K166" s="1316"/>
      <c r="L166" s="1795"/>
      <c r="M166" s="1795"/>
      <c r="N166" s="1316"/>
      <c r="O166" s="1316"/>
      <c r="P166" s="1316"/>
      <c r="Q166" s="1316"/>
      <c r="R166" s="1795"/>
      <c r="S166" s="1316"/>
      <c r="T166" s="1316"/>
      <c r="U166" s="698"/>
      <c r="V166" s="1316"/>
      <c r="W166" s="1316"/>
      <c r="X166" s="1316"/>
      <c r="Y166" s="1316"/>
      <c r="Z166" s="1316"/>
      <c r="AA166" s="1791"/>
      <c r="AB166" s="720"/>
      <c r="AC166" s="720"/>
      <c r="AD166" s="720"/>
      <c r="AE166" s="720"/>
    </row>
    <row s="8844" customFormat="1" customHeight="1" ht="11.25">
      <c r="A167" s="1142"/>
      <c r="B167" s="1795"/>
      <c r="C167" s="1795"/>
      <c r="D167" s="505"/>
      <c r="K167" s="1316"/>
      <c r="L167" s="1795"/>
      <c r="M167" s="1795"/>
      <c r="N167" s="1316"/>
      <c r="O167" s="1316"/>
      <c r="P167" s="1316"/>
      <c r="Q167" s="1316"/>
      <c r="R167" s="1795"/>
      <c r="S167" s="1316"/>
      <c r="T167" s="1316"/>
      <c r="U167" s="698"/>
      <c r="V167" s="1316"/>
      <c r="W167" s="1316"/>
      <c r="X167" s="1316"/>
      <c r="Y167" s="1316"/>
      <c r="Z167" s="1316"/>
      <c r="AA167" s="1791"/>
      <c r="AB167" s="720"/>
      <c r="AC167" s="720"/>
      <c r="AD167" s="720"/>
      <c r="AE167" s="720"/>
    </row>
    <row s="8844" customFormat="1" customHeight="1" ht="11.25">
      <c r="A168" s="1142"/>
      <c r="B168" s="1795"/>
      <c r="C168" s="1795"/>
      <c r="D168" s="505"/>
      <c r="K168" s="1316"/>
      <c r="L168" s="1795"/>
      <c r="M168" s="1795"/>
      <c r="N168" s="1316"/>
      <c r="O168" s="1316"/>
      <c r="P168" s="1316"/>
      <c r="Q168" s="1316"/>
      <c r="R168" s="1795"/>
      <c r="S168" s="1316"/>
      <c r="T168" s="1316"/>
      <c r="U168" s="698"/>
      <c r="V168" s="1316"/>
      <c r="W168" s="1316"/>
      <c r="X168" s="1316"/>
      <c r="Y168" s="1316"/>
      <c r="Z168" s="1316"/>
      <c r="AA168" s="1791"/>
      <c r="AB168" s="720"/>
      <c r="AC168" s="720"/>
      <c r="AD168" s="720"/>
      <c r="AE168" s="720"/>
    </row>
    <row s="8844" customFormat="1" customHeight="1" ht="11.25">
      <c r="A169" s="1142"/>
      <c r="B169" s="1795"/>
      <c r="C169" s="1795"/>
      <c r="D169" s="505"/>
      <c r="K169" s="1316"/>
      <c r="L169" s="1795"/>
      <c r="M169" s="1795"/>
      <c r="N169" s="1316"/>
      <c r="O169" s="1316"/>
      <c r="P169" s="1316"/>
      <c r="Q169" s="1316"/>
      <c r="R169" s="1795"/>
      <c r="S169" s="1316"/>
      <c r="T169" s="1316"/>
      <c r="U169" s="698"/>
      <c r="V169" s="1316"/>
      <c r="W169" s="1316"/>
      <c r="X169" s="1316"/>
      <c r="Y169" s="1316"/>
      <c r="Z169" s="1316"/>
      <c r="AA169" s="1791"/>
      <c r="AB169" s="720"/>
      <c r="AC169" s="720"/>
      <c r="AD169" s="720"/>
      <c r="AE169" s="720"/>
    </row>
    <row s="8844" customFormat="1" customHeight="1" ht="11.25">
      <c r="A170" s="1142"/>
      <c r="B170" s="1795"/>
      <c r="C170" s="1795"/>
      <c r="D170" s="505"/>
      <c r="K170" s="1316"/>
      <c r="L170" s="1795"/>
      <c r="M170" s="1795"/>
      <c r="N170" s="1316"/>
      <c r="O170" s="1316"/>
      <c r="P170" s="1316"/>
      <c r="Q170" s="1316"/>
      <c r="R170" s="1795"/>
      <c r="S170" s="1316"/>
      <c r="T170" s="1316"/>
      <c r="U170" s="698"/>
      <c r="V170" s="1316"/>
      <c r="W170" s="1316"/>
      <c r="X170" s="1316"/>
      <c r="Y170" s="1316"/>
      <c r="Z170" s="1316"/>
      <c r="AA170" s="1791"/>
      <c r="AB170" s="720"/>
      <c r="AC170" s="720"/>
      <c r="AD170" s="720"/>
      <c r="AE170" s="720"/>
    </row>
    <row s="8844" customFormat="1" customHeight="1" ht="11.25">
      <c r="A171" s="1142"/>
      <c r="B171" s="1795"/>
      <c r="C171" s="1795"/>
      <c r="D171" s="505"/>
      <c r="K171" s="1316"/>
      <c r="L171" s="1795"/>
      <c r="M171" s="1795"/>
      <c r="N171" s="1316"/>
      <c r="O171" s="1316"/>
      <c r="P171" s="1316"/>
      <c r="Q171" s="1316"/>
      <c r="R171" s="1795"/>
      <c r="S171" s="1316"/>
      <c r="T171" s="1316"/>
      <c r="U171" s="698"/>
      <c r="V171" s="1316"/>
      <c r="W171" s="1316"/>
      <c r="X171" s="1316"/>
      <c r="Y171" s="1316"/>
      <c r="Z171" s="1316"/>
      <c r="AA171" s="1791"/>
      <c r="AB171" s="720"/>
      <c r="AC171" s="720"/>
      <c r="AD171" s="720"/>
      <c r="AE171" s="720"/>
    </row>
    <row s="8844" customFormat="1" customHeight="1" ht="11.25">
      <c r="A172" s="1142"/>
      <c r="B172" s="1795"/>
      <c r="C172" s="1795"/>
      <c r="D172" s="505"/>
      <c r="K172" s="1316"/>
      <c r="L172" s="1795"/>
      <c r="M172" s="1795"/>
      <c r="N172" s="1316"/>
      <c r="O172" s="1316"/>
      <c r="P172" s="1316"/>
      <c r="Q172" s="1316"/>
      <c r="R172" s="1795"/>
      <c r="S172" s="1316"/>
      <c r="T172" s="1316"/>
      <c r="U172" s="698"/>
      <c r="V172" s="1316"/>
      <c r="W172" s="1316"/>
      <c r="X172" s="1316"/>
      <c r="Y172" s="1316"/>
      <c r="Z172" s="1316"/>
      <c r="AA172" s="1791"/>
      <c r="AB172" s="720"/>
      <c r="AC172" s="720"/>
      <c r="AD172" s="720"/>
      <c r="AE172" s="720"/>
    </row>
    <row s="8844" customFormat="1" customHeight="1" ht="11.25">
      <c r="A173" s="1142"/>
      <c r="B173" s="1795"/>
      <c r="C173" s="1795"/>
      <c r="D173" s="505"/>
      <c r="K173" s="1316"/>
      <c r="L173" s="1795"/>
      <c r="M173" s="1795"/>
      <c r="N173" s="1316"/>
      <c r="O173" s="1316"/>
      <c r="P173" s="1316"/>
      <c r="Q173" s="1316"/>
      <c r="R173" s="1795"/>
      <c r="S173" s="1316"/>
      <c r="T173" s="1316"/>
      <c r="U173" s="698"/>
      <c r="V173" s="1316"/>
      <c r="W173" s="1316"/>
      <c r="X173" s="1316"/>
      <c r="Y173" s="1316"/>
      <c r="Z173" s="1316"/>
      <c r="AA173" s="1791"/>
      <c r="AB173" s="720"/>
      <c r="AC173" s="720"/>
      <c r="AD173" s="720"/>
      <c r="AE173" s="720"/>
    </row>
    <row s="8844" customFormat="1" customHeight="1" ht="11.25">
      <c r="A174" s="1142"/>
      <c r="B174" s="1795"/>
      <c r="C174" s="1795"/>
      <c r="D174" s="505"/>
      <c r="K174" s="1316"/>
      <c r="L174" s="1795"/>
      <c r="M174" s="1795"/>
      <c r="N174" s="1316"/>
      <c r="O174" s="1316"/>
      <c r="P174" s="1316"/>
      <c r="Q174" s="1316"/>
      <c r="R174" s="1795"/>
      <c r="S174" s="1316"/>
      <c r="T174" s="1316"/>
      <c r="U174" s="698"/>
      <c r="V174" s="1316"/>
      <c r="W174" s="1316"/>
      <c r="X174" s="1316"/>
      <c r="Y174" s="1316"/>
      <c r="Z174" s="1316"/>
      <c r="AA174" s="1791"/>
      <c r="AB174" s="720"/>
      <c r="AC174" s="720"/>
      <c r="AD174" s="720"/>
      <c r="AE174" s="720"/>
    </row>
    <row s="8844" customFormat="1" customHeight="1" ht="11.25">
      <c r="A175" s="1142"/>
      <c r="B175" s="1795"/>
      <c r="C175" s="1795"/>
      <c r="D175" s="505"/>
      <c r="K175" s="1316"/>
      <c r="L175" s="1795"/>
      <c r="M175" s="1795"/>
      <c r="N175" s="1316"/>
      <c r="O175" s="1316"/>
      <c r="P175" s="1316"/>
      <c r="Q175" s="1316"/>
      <c r="R175" s="1795"/>
      <c r="S175" s="1316"/>
      <c r="T175" s="1316"/>
      <c r="U175" s="698"/>
      <c r="V175" s="1316"/>
      <c r="W175" s="1316"/>
      <c r="X175" s="1316"/>
      <c r="Y175" s="1316"/>
      <c r="Z175" s="1316"/>
      <c r="AA175" s="1791"/>
      <c r="AB175" s="720"/>
      <c r="AC175" s="720"/>
      <c r="AD175" s="720"/>
      <c r="AE175" s="720"/>
    </row>
    <row s="8844" customFormat="1" customHeight="1" ht="11.25">
      <c r="A176" s="1142"/>
      <c r="B176" s="1795"/>
      <c r="C176" s="1795"/>
      <c r="D176" s="505"/>
      <c r="K176" s="1316"/>
      <c r="L176" s="1795"/>
      <c r="M176" s="1795"/>
      <c r="N176" s="1316"/>
      <c r="O176" s="1316"/>
      <c r="P176" s="1316"/>
      <c r="Q176" s="1316"/>
      <c r="R176" s="1795"/>
      <c r="S176" s="1316"/>
      <c r="T176" s="1316"/>
      <c r="U176" s="698"/>
      <c r="V176" s="1316"/>
      <c r="W176" s="1316"/>
      <c r="X176" s="1316"/>
      <c r="Y176" s="1316"/>
      <c r="Z176" s="1316"/>
      <c r="AA176" s="1791"/>
      <c r="AB176" s="720"/>
      <c r="AC176" s="720"/>
      <c r="AD176" s="720"/>
      <c r="AE176" s="720"/>
    </row>
    <row s="8844" customFormat="1" customHeight="1" ht="11.25">
      <c r="A177" s="1142"/>
      <c r="B177" s="1795"/>
      <c r="C177" s="1795"/>
      <c r="D177" s="505"/>
      <c r="K177" s="1316"/>
      <c r="L177" s="1795"/>
      <c r="M177" s="1795"/>
      <c r="N177" s="1316"/>
      <c r="O177" s="1316"/>
      <c r="P177" s="1316"/>
      <c r="Q177" s="1316"/>
      <c r="R177" s="1795"/>
      <c r="S177" s="1316"/>
      <c r="T177" s="1316"/>
      <c r="U177" s="698"/>
      <c r="V177" s="1316"/>
      <c r="W177" s="1316"/>
      <c r="X177" s="1316"/>
      <c r="Y177" s="1316"/>
      <c r="Z177" s="1316"/>
      <c r="AA177" s="1791"/>
      <c r="AB177" s="720"/>
      <c r="AC177" s="720"/>
      <c r="AD177" s="720"/>
      <c r="AE177" s="720"/>
    </row>
    <row s="8844" customFormat="1" customHeight="1" ht="11.25">
      <c r="A178" s="1142"/>
      <c r="B178" s="1795"/>
      <c r="C178" s="1795"/>
      <c r="D178" s="505"/>
      <c r="K178" s="1316"/>
      <c r="L178" s="1795"/>
      <c r="M178" s="1795"/>
      <c r="N178" s="1316"/>
      <c r="O178" s="1316"/>
      <c r="P178" s="1316"/>
      <c r="Q178" s="1316"/>
      <c r="R178" s="1795"/>
      <c r="S178" s="1316"/>
      <c r="T178" s="1316"/>
      <c r="U178" s="698"/>
      <c r="V178" s="1316"/>
      <c r="W178" s="1316"/>
      <c r="X178" s="1316"/>
      <c r="Y178" s="1316"/>
      <c r="Z178" s="1316"/>
      <c r="AA178" s="1791"/>
      <c r="AB178" s="720"/>
      <c r="AC178" s="720"/>
      <c r="AD178" s="720"/>
      <c r="AE178" s="720"/>
    </row>
    <row s="8844" customFormat="1" customHeight="1" ht="11.25">
      <c r="A179" s="1142"/>
      <c r="B179" s="1795"/>
      <c r="C179" s="1795"/>
      <c r="D179" s="505"/>
      <c r="K179" s="1316"/>
      <c r="L179" s="1795"/>
      <c r="M179" s="1795"/>
      <c r="N179" s="1316"/>
      <c r="O179" s="1316"/>
      <c r="P179" s="1316"/>
      <c r="Q179" s="1316"/>
      <c r="R179" s="1795"/>
      <c r="S179" s="1316"/>
      <c r="T179" s="1316"/>
      <c r="U179" s="698"/>
      <c r="V179" s="1316"/>
      <c r="W179" s="1316"/>
      <c r="X179" s="1316"/>
      <c r="Y179" s="1316"/>
      <c r="Z179" s="1316"/>
      <c r="AA179" s="1791"/>
      <c r="AB179" s="720"/>
      <c r="AC179" s="720"/>
      <c r="AD179" s="720"/>
      <c r="AE179" s="720"/>
    </row>
    <row s="8844" customFormat="1" customHeight="1" ht="11.25">
      <c r="A180" s="1142"/>
      <c r="B180" s="1795"/>
      <c r="C180" s="1795"/>
      <c r="D180" s="505"/>
      <c r="K180" s="1316"/>
      <c r="L180" s="1795"/>
      <c r="M180" s="1795"/>
      <c r="N180" s="1316"/>
      <c r="O180" s="1316"/>
      <c r="P180" s="1316"/>
      <c r="Q180" s="1316"/>
      <c r="R180" s="1795"/>
      <c r="S180" s="1316"/>
      <c r="T180" s="1316"/>
      <c r="U180" s="698"/>
      <c r="V180" s="1316"/>
      <c r="W180" s="1316"/>
      <c r="X180" s="1316"/>
      <c r="Y180" s="1316"/>
      <c r="Z180" s="1316"/>
      <c r="AA180" s="1791"/>
      <c r="AB180" s="720"/>
      <c r="AC180" s="720"/>
      <c r="AD180" s="720"/>
      <c r="AE180" s="720"/>
    </row>
    <row s="8844" customFormat="1" customHeight="1" ht="11.25">
      <c r="A181" s="1142"/>
      <c r="B181" s="1795"/>
      <c r="C181" s="1795"/>
      <c r="D181" s="505"/>
      <c r="K181" s="1316"/>
      <c r="L181" s="1795"/>
      <c r="M181" s="1795"/>
      <c r="N181" s="1316"/>
      <c r="O181" s="1316"/>
      <c r="P181" s="1316"/>
      <c r="Q181" s="1316"/>
      <c r="R181" s="1795"/>
      <c r="S181" s="1316"/>
      <c r="T181" s="1316"/>
      <c r="U181" s="698"/>
      <c r="V181" s="1316"/>
      <c r="W181" s="1316"/>
      <c r="X181" s="1316"/>
      <c r="Y181" s="1316"/>
      <c r="Z181" s="1316"/>
      <c r="AA181" s="1791"/>
      <c r="AB181" s="720"/>
      <c r="AC181" s="720"/>
      <c r="AD181" s="720"/>
      <c r="AE181" s="720"/>
    </row>
    <row s="8844" customFormat="1" customHeight="1" ht="11.25">
      <c r="A182" s="1142"/>
      <c r="B182" s="1795"/>
      <c r="C182" s="1795"/>
      <c r="D182" s="505"/>
      <c r="K182" s="1316"/>
      <c r="L182" s="1795"/>
      <c r="M182" s="1795"/>
      <c r="N182" s="1316"/>
      <c r="O182" s="1316"/>
      <c r="P182" s="1316"/>
      <c r="Q182" s="1316"/>
      <c r="R182" s="1795"/>
      <c r="S182" s="1316"/>
      <c r="T182" s="1316"/>
      <c r="U182" s="698"/>
      <c r="V182" s="1316"/>
      <c r="W182" s="1316"/>
      <c r="X182" s="1316"/>
      <c r="Y182" s="1316"/>
      <c r="Z182" s="1316"/>
      <c r="AA182" s="1791"/>
      <c r="AB182" s="720"/>
      <c r="AC182" s="720"/>
      <c r="AD182" s="720"/>
      <c r="AE182" s="720"/>
    </row>
    <row s="8844" customFormat="1" customHeight="1" ht="11.25">
      <c r="A183" s="1142"/>
      <c r="B183" s="1795"/>
      <c r="C183" s="1795"/>
      <c r="D183" s="505"/>
      <c r="K183" s="1316"/>
      <c r="L183" s="1795"/>
      <c r="M183" s="1795"/>
      <c r="N183" s="1316"/>
      <c r="O183" s="1316"/>
      <c r="P183" s="1316"/>
      <c r="Q183" s="1316"/>
      <c r="R183" s="1795"/>
      <c r="S183" s="1316"/>
      <c r="T183" s="1316"/>
      <c r="U183" s="698"/>
      <c r="V183" s="1316"/>
      <c r="W183" s="1316"/>
      <c r="X183" s="1316"/>
      <c r="Y183" s="1316"/>
      <c r="Z183" s="1316"/>
      <c r="AA183" s="1791"/>
      <c r="AB183" s="720"/>
      <c r="AC183" s="720"/>
      <c r="AD183" s="720"/>
      <c r="AE183" s="720"/>
    </row>
    <row s="8844" customFormat="1" customHeight="1" ht="11.25">
      <c r="A184" s="1142"/>
      <c r="B184" s="1795"/>
      <c r="C184" s="1795"/>
      <c r="D184" s="505"/>
      <c r="K184" s="1316"/>
      <c r="L184" s="1795"/>
      <c r="M184" s="1795"/>
      <c r="N184" s="1316"/>
      <c r="O184" s="1316"/>
      <c r="P184" s="1316"/>
      <c r="Q184" s="1316"/>
      <c r="R184" s="1795"/>
      <c r="S184" s="1316"/>
      <c r="T184" s="1316"/>
      <c r="U184" s="698"/>
      <c r="V184" s="1316"/>
      <c r="W184" s="1316"/>
      <c r="X184" s="1316"/>
      <c r="Y184" s="1316"/>
      <c r="Z184" s="1316"/>
      <c r="AA184" s="1791"/>
      <c r="AB184" s="720"/>
      <c r="AC184" s="720"/>
      <c r="AD184" s="720"/>
      <c r="AE184" s="720"/>
    </row>
    <row s="8844" customFormat="1" customHeight="1" ht="11.25">
      <c r="A185" s="1142"/>
      <c r="B185" s="1795"/>
      <c r="C185" s="1795"/>
      <c r="D185" s="505"/>
      <c r="K185" s="1316"/>
      <c r="L185" s="1795"/>
      <c r="M185" s="1795"/>
      <c r="N185" s="1316"/>
      <c r="O185" s="1316"/>
      <c r="P185" s="1316"/>
      <c r="Q185" s="1316"/>
      <c r="R185" s="1795"/>
      <c r="S185" s="1316"/>
      <c r="T185" s="1316"/>
      <c r="U185" s="698"/>
      <c r="V185" s="1316"/>
      <c r="W185" s="1316"/>
      <c r="X185" s="1316"/>
      <c r="Y185" s="1316"/>
      <c r="Z185" s="1316"/>
      <c r="AA185" s="1791"/>
      <c r="AB185" s="720"/>
      <c r="AC185" s="720"/>
      <c r="AD185" s="720"/>
      <c r="AE185" s="720"/>
    </row>
    <row s="8844" customFormat="1" customHeight="1" ht="11.25">
      <c r="A186" s="1142"/>
      <c r="B186" s="1795"/>
      <c r="C186" s="1795"/>
      <c r="D186" s="505"/>
      <c r="K186" s="1316"/>
      <c r="L186" s="1795"/>
      <c r="M186" s="1795"/>
      <c r="N186" s="1316"/>
      <c r="O186" s="1316"/>
      <c r="P186" s="1316"/>
      <c r="Q186" s="1316"/>
      <c r="R186" s="1795"/>
      <c r="S186" s="1316"/>
      <c r="T186" s="1316"/>
      <c r="U186" s="698"/>
      <c r="V186" s="1316"/>
      <c r="W186" s="1316"/>
      <c r="X186" s="1316"/>
      <c r="Y186" s="1316"/>
      <c r="Z186" s="1316"/>
      <c r="AA186" s="1791"/>
      <c r="AB186" s="720"/>
      <c r="AC186" s="720"/>
      <c r="AD186" s="720"/>
      <c r="AE186" s="720"/>
    </row>
    <row s="8844" customFormat="1" customHeight="1" ht="11.25">
      <c r="A187" s="1142"/>
      <c r="B187" s="1795"/>
      <c r="C187" s="1795"/>
      <c r="D187" s="505"/>
      <c r="K187" s="1316"/>
      <c r="L187" s="1795"/>
      <c r="M187" s="1795"/>
      <c r="N187" s="1316"/>
      <c r="O187" s="1316"/>
      <c r="P187" s="1316"/>
      <c r="Q187" s="1316"/>
      <c r="R187" s="1795"/>
      <c r="S187" s="1316"/>
      <c r="T187" s="1316"/>
      <c r="U187" s="698"/>
      <c r="V187" s="1316"/>
      <c r="W187" s="1316"/>
      <c r="X187" s="1316"/>
      <c r="Y187" s="1316"/>
      <c r="Z187" s="1316"/>
      <c r="AA187" s="1791"/>
      <c r="AB187" s="720"/>
      <c r="AC187" s="720"/>
      <c r="AD187" s="720"/>
      <c r="AE187" s="720"/>
    </row>
    <row s="8844" customFormat="1" customHeight="1" ht="11.25">
      <c r="A188" s="1142"/>
      <c r="B188" s="1795"/>
      <c r="C188" s="1795"/>
      <c r="D188" s="505"/>
      <c r="K188" s="1316"/>
      <c r="L188" s="1795"/>
      <c r="M188" s="1795"/>
      <c r="N188" s="1316"/>
      <c r="O188" s="1316"/>
      <c r="P188" s="1316"/>
      <c r="Q188" s="1316"/>
      <c r="R188" s="1795"/>
      <c r="S188" s="1316"/>
      <c r="T188" s="1316"/>
      <c r="U188" s="698"/>
      <c r="V188" s="1316"/>
      <c r="W188" s="1316"/>
      <c r="X188" s="1316"/>
      <c r="Y188" s="1316"/>
      <c r="Z188" s="1316"/>
      <c r="AA188" s="1791"/>
      <c r="AB188" s="720"/>
      <c r="AC188" s="720"/>
      <c r="AD188" s="720"/>
      <c r="AE188" s="720"/>
    </row>
    <row s="8844" customFormat="1" customHeight="1" ht="11.25">
      <c r="A189" s="1142"/>
      <c r="B189" s="1795"/>
      <c r="C189" s="1795"/>
      <c r="D189" s="505"/>
      <c r="K189" s="1316"/>
      <c r="L189" s="1795"/>
      <c r="M189" s="1795"/>
      <c r="N189" s="1316"/>
      <c r="O189" s="1316"/>
      <c r="P189" s="1316"/>
      <c r="Q189" s="1316"/>
      <c r="R189" s="1795"/>
      <c r="S189" s="1316"/>
      <c r="T189" s="1316"/>
      <c r="U189" s="698"/>
      <c r="V189" s="1316"/>
      <c r="W189" s="1316"/>
      <c r="X189" s="1316"/>
      <c r="Y189" s="1316"/>
      <c r="Z189" s="1316"/>
      <c r="AA189" s="1791"/>
      <c r="AB189" s="720"/>
      <c r="AC189" s="720"/>
      <c r="AD189" s="720"/>
      <c r="AE189" s="720"/>
    </row>
    <row s="8844" customFormat="1" customHeight="1" ht="11.25">
      <c r="A190" s="1142"/>
      <c r="B190" s="1795"/>
      <c r="C190" s="1795"/>
      <c r="D190" s="505"/>
      <c r="K190" s="1316"/>
      <c r="L190" s="1795"/>
      <c r="M190" s="1795"/>
      <c r="N190" s="1316"/>
      <c r="O190" s="1316"/>
      <c r="P190" s="1316"/>
      <c r="Q190" s="1316"/>
      <c r="R190" s="1795"/>
      <c r="S190" s="1316"/>
      <c r="T190" s="1316"/>
      <c r="U190" s="698"/>
      <c r="V190" s="1316"/>
      <c r="W190" s="1316"/>
      <c r="X190" s="1316"/>
      <c r="Y190" s="1316"/>
      <c r="Z190" s="1316"/>
      <c r="AA190" s="1791"/>
      <c r="AB190" s="720"/>
      <c r="AC190" s="720"/>
      <c r="AD190" s="720"/>
      <c r="AE190" s="720"/>
    </row>
    <row s="8844" customFormat="1" customHeight="1" ht="11.25">
      <c r="A191" s="1142"/>
      <c r="B191" s="1795"/>
      <c r="C191" s="1795"/>
      <c r="D191" s="505"/>
      <c r="K191" s="1316"/>
      <c r="L191" s="1795"/>
      <c r="M191" s="1795"/>
      <c r="N191" s="1316"/>
      <c r="O191" s="1316"/>
      <c r="P191" s="1316"/>
      <c r="Q191" s="1316"/>
      <c r="R191" s="1795"/>
      <c r="S191" s="1316"/>
      <c r="T191" s="1316"/>
      <c r="U191" s="698"/>
      <c r="V191" s="1316"/>
      <c r="W191" s="1316"/>
      <c r="X191" s="1316"/>
      <c r="Y191" s="1316"/>
      <c r="Z191" s="1316"/>
      <c r="AA191" s="1791"/>
      <c r="AB191" s="720"/>
      <c r="AC191" s="720"/>
      <c r="AD191" s="720"/>
      <c r="AE191" s="720"/>
    </row>
    <row s="8844" customFormat="1" customHeight="1" ht="11.25">
      <c r="A192" s="1142"/>
      <c r="B192" s="1795"/>
      <c r="C192" s="1795"/>
      <c r="D192" s="505"/>
      <c r="K192" s="1316"/>
      <c r="L192" s="1795"/>
      <c r="M192" s="1795"/>
      <c r="N192" s="1316"/>
      <c r="O192" s="1316"/>
      <c r="P192" s="1316"/>
      <c r="Q192" s="1316"/>
      <c r="R192" s="1795"/>
      <c r="S192" s="1316"/>
      <c r="T192" s="1316"/>
      <c r="U192" s="698"/>
      <c r="V192" s="1316"/>
      <c r="W192" s="1316"/>
      <c r="X192" s="1316"/>
      <c r="Y192" s="1316"/>
      <c r="Z192" s="1316"/>
      <c r="AA192" s="1791"/>
      <c r="AB192" s="720"/>
      <c r="AC192" s="720"/>
      <c r="AD192" s="720"/>
      <c r="AE192" s="720"/>
    </row>
    <row s="8844" customFormat="1" customHeight="1" ht="11.25">
      <c r="A193" s="1142"/>
      <c r="B193" s="1795"/>
      <c r="C193" s="1795"/>
      <c r="D193" s="505"/>
      <c r="K193" s="1316"/>
      <c r="L193" s="1795"/>
      <c r="M193" s="1795"/>
      <c r="N193" s="1316"/>
      <c r="O193" s="1316"/>
      <c r="P193" s="1316"/>
      <c r="Q193" s="1316"/>
      <c r="R193" s="1795"/>
      <c r="S193" s="1316"/>
      <c r="T193" s="1316"/>
      <c r="U193" s="698"/>
      <c r="V193" s="1316"/>
      <c r="W193" s="1316"/>
      <c r="X193" s="1316"/>
      <c r="Y193" s="1316"/>
      <c r="Z193" s="1316"/>
      <c r="AA193" s="1791"/>
      <c r="AB193" s="720"/>
      <c r="AC193" s="720"/>
      <c r="AD193" s="720"/>
      <c r="AE193" s="720"/>
    </row>
    <row s="8844" customFormat="1" customHeight="1" ht="11.25">
      <c r="A194" s="1142"/>
      <c r="B194" s="1795"/>
      <c r="C194" s="1795"/>
      <c r="D194" s="505"/>
      <c r="K194" s="1316"/>
      <c r="L194" s="1795"/>
      <c r="M194" s="1795"/>
      <c r="N194" s="1316"/>
      <c r="O194" s="1316"/>
      <c r="P194" s="1316"/>
      <c r="Q194" s="1316"/>
      <c r="R194" s="1795"/>
      <c r="S194" s="1316"/>
      <c r="T194" s="1316"/>
      <c r="U194" s="698"/>
      <c r="V194" s="1316"/>
      <c r="W194" s="1316"/>
      <c r="X194" s="1316"/>
      <c r="Y194" s="1316"/>
      <c r="Z194" s="1316"/>
      <c r="AA194" s="1791"/>
      <c r="AB194" s="720"/>
      <c r="AC194" s="720"/>
      <c r="AD194" s="720"/>
      <c r="AE194" s="720"/>
    </row>
    <row s="8844" customFormat="1" customHeight="1" ht="11.25">
      <c r="A195" s="1142"/>
      <c r="B195" s="1795"/>
      <c r="C195" s="1795"/>
      <c r="D195" s="505"/>
      <c r="K195" s="1316"/>
      <c r="L195" s="1795"/>
      <c r="M195" s="1795"/>
      <c r="N195" s="1316"/>
      <c r="O195" s="1316"/>
      <c r="P195" s="1316"/>
      <c r="Q195" s="1316"/>
      <c r="R195" s="1795"/>
      <c r="S195" s="1316"/>
      <c r="T195" s="1316"/>
      <c r="U195" s="698"/>
      <c r="V195" s="1316"/>
      <c r="W195" s="1316"/>
      <c r="X195" s="1316"/>
      <c r="Y195" s="1316"/>
      <c r="Z195" s="1316"/>
      <c r="AA195" s="1791"/>
      <c r="AB195" s="720"/>
      <c r="AC195" s="720"/>
      <c r="AD195" s="720"/>
      <c r="AE195" s="720"/>
    </row>
    <row s="8844" customFormat="1" customHeight="1" ht="11.25">
      <c r="A196" s="1142"/>
      <c r="B196" s="1795"/>
      <c r="C196" s="1795"/>
      <c r="D196" s="505"/>
      <c r="K196" s="1316"/>
      <c r="L196" s="1795"/>
      <c r="M196" s="1795"/>
      <c r="N196" s="1316"/>
      <c r="O196" s="1316"/>
      <c r="P196" s="1316"/>
      <c r="Q196" s="1316"/>
      <c r="R196" s="1795"/>
      <c r="S196" s="1316"/>
      <c r="T196" s="1316"/>
      <c r="U196" s="698"/>
      <c r="V196" s="1316"/>
      <c r="W196" s="1316"/>
      <c r="X196" s="1316"/>
      <c r="Y196" s="1316"/>
      <c r="Z196" s="1316"/>
      <c r="AA196" s="1791"/>
      <c r="AB196" s="720"/>
      <c r="AC196" s="720"/>
      <c r="AD196" s="720"/>
      <c r="AE196" s="720"/>
    </row>
    <row s="8844" customFormat="1" customHeight="1" ht="11.25">
      <c r="A197" s="1142"/>
      <c r="B197" s="1795"/>
      <c r="C197" s="1795"/>
      <c r="D197" s="505"/>
      <c r="K197" s="1316"/>
      <c r="L197" s="1795"/>
      <c r="M197" s="1795"/>
      <c r="N197" s="1316"/>
      <c r="O197" s="1316"/>
      <c r="P197" s="1316"/>
      <c r="Q197" s="1316"/>
      <c r="R197" s="1795"/>
      <c r="S197" s="1316"/>
      <c r="T197" s="1316"/>
      <c r="U197" s="698"/>
      <c r="V197" s="1316"/>
      <c r="W197" s="1316"/>
      <c r="X197" s="1316"/>
      <c r="Y197" s="1316"/>
      <c r="Z197" s="1316"/>
      <c r="AA197" s="1791"/>
      <c r="AB197" s="720"/>
      <c r="AC197" s="720"/>
      <c r="AD197" s="720"/>
      <c r="AE197" s="720"/>
    </row>
    <row s="8844" customFormat="1" customHeight="1" ht="11.25">
      <c r="A198" s="1142"/>
      <c r="B198" s="1795"/>
      <c r="C198" s="1795"/>
      <c r="D198" s="505"/>
      <c r="K198" s="1316"/>
      <c r="L198" s="1795"/>
      <c r="M198" s="1795"/>
      <c r="N198" s="1316"/>
      <c r="O198" s="1316"/>
      <c r="P198" s="1316"/>
      <c r="Q198" s="1316"/>
      <c r="R198" s="1795"/>
      <c r="S198" s="1316"/>
      <c r="T198" s="1316"/>
      <c r="U198" s="698"/>
      <c r="V198" s="1316"/>
      <c r="W198" s="1316"/>
      <c r="X198" s="1316"/>
      <c r="Y198" s="1316"/>
      <c r="Z198" s="1316"/>
      <c r="AA198" s="1791"/>
      <c r="AB198" s="720"/>
      <c r="AC198" s="720"/>
      <c r="AD198" s="720"/>
      <c r="AE198" s="720"/>
    </row>
    <row s="8844" customFormat="1" customHeight="1" ht="11.25">
      <c r="A199" s="1142"/>
      <c r="B199" s="1795"/>
      <c r="C199" s="1795"/>
      <c r="D199" s="505"/>
      <c r="K199" s="1316"/>
      <c r="L199" s="1795"/>
      <c r="M199" s="1795"/>
      <c r="N199" s="1316"/>
      <c r="O199" s="1316"/>
      <c r="P199" s="1316"/>
      <c r="Q199" s="1316"/>
      <c r="R199" s="1795"/>
      <c r="S199" s="1316"/>
      <c r="T199" s="1316"/>
      <c r="U199" s="698"/>
      <c r="V199" s="1316"/>
      <c r="W199" s="1316"/>
      <c r="X199" s="1316"/>
      <c r="Y199" s="1316"/>
      <c r="Z199" s="1316"/>
      <c r="AA199" s="1791"/>
      <c r="AB199" s="720"/>
      <c r="AC199" s="720"/>
      <c r="AD199" s="720"/>
      <c r="AE199" s="720"/>
    </row>
    <row s="8844" customFormat="1" customHeight="1" ht="11.25">
      <c r="A200" s="1142"/>
      <c r="B200" s="1795"/>
      <c r="C200" s="1795"/>
      <c r="D200" s="505"/>
      <c r="K200" s="1316"/>
      <c r="L200" s="1795"/>
      <c r="M200" s="1795"/>
      <c r="N200" s="1316"/>
      <c r="O200" s="1316"/>
      <c r="P200" s="1316"/>
      <c r="Q200" s="1316"/>
      <c r="R200" s="1795"/>
      <c r="S200" s="1316"/>
      <c r="T200" s="1316"/>
      <c r="U200" s="698"/>
      <c r="V200" s="1316"/>
      <c r="W200" s="1316"/>
      <c r="X200" s="1316"/>
      <c r="Y200" s="1316"/>
      <c r="Z200" s="1316"/>
      <c r="AA200" s="1791"/>
      <c r="AB200" s="720"/>
      <c r="AC200" s="720"/>
      <c r="AD200" s="720"/>
      <c r="AE200" s="720"/>
    </row>
    <row s="8844" customFormat="1" customHeight="1" ht="11.25">
      <c r="A201" s="1142"/>
      <c r="B201" s="1795"/>
      <c r="C201" s="1795"/>
      <c r="D201" s="505"/>
      <c r="K201" s="1316"/>
      <c r="L201" s="1795"/>
      <c r="M201" s="1795"/>
      <c r="N201" s="1316"/>
      <c r="O201" s="1316"/>
      <c r="P201" s="1316"/>
      <c r="Q201" s="1316"/>
      <c r="R201" s="1795"/>
      <c r="S201" s="1316"/>
      <c r="T201" s="1316"/>
      <c r="U201" s="698"/>
      <c r="V201" s="1316"/>
      <c r="W201" s="1316"/>
      <c r="X201" s="1316"/>
      <c r="Y201" s="1316"/>
      <c r="Z201" s="1316"/>
      <c r="AA201" s="1791"/>
      <c r="AB201" s="720"/>
      <c r="AC201" s="720"/>
      <c r="AD201" s="720"/>
      <c r="AE201" s="720"/>
    </row>
    <row s="8844" customFormat="1" customHeight="1" ht="11.25">
      <c r="A202" s="1142"/>
      <c r="B202" s="1795"/>
      <c r="C202" s="1795"/>
      <c r="D202" s="505"/>
      <c r="K202" s="1316"/>
      <c r="L202" s="1795"/>
      <c r="M202" s="1795"/>
      <c r="N202" s="1316"/>
      <c r="O202" s="1316"/>
      <c r="P202" s="1316"/>
      <c r="Q202" s="1316"/>
      <c r="R202" s="1795"/>
      <c r="S202" s="1316"/>
      <c r="T202" s="1316"/>
      <c r="U202" s="698"/>
      <c r="V202" s="1316"/>
      <c r="W202" s="1316"/>
      <c r="X202" s="1316"/>
      <c r="Y202" s="1316"/>
      <c r="Z202" s="1316"/>
      <c r="AA202" s="1791"/>
      <c r="AB202" s="720"/>
      <c r="AC202" s="720"/>
      <c r="AD202" s="720"/>
      <c r="AE202" s="720"/>
    </row>
    <row s="8844" customFormat="1" customHeight="1" ht="11.25">
      <c r="A203" s="1142"/>
      <c r="B203" s="1795"/>
      <c r="C203" s="1795"/>
      <c r="D203" s="505"/>
      <c r="K203" s="1316"/>
      <c r="L203" s="1795"/>
      <c r="M203" s="1795"/>
      <c r="N203" s="1316"/>
      <c r="O203" s="1316"/>
      <c r="P203" s="1316"/>
      <c r="Q203" s="1316"/>
      <c r="R203" s="1795"/>
      <c r="S203" s="1316"/>
      <c r="T203" s="1316"/>
      <c r="U203" s="698"/>
      <c r="V203" s="1316"/>
      <c r="W203" s="1316"/>
      <c r="X203" s="1316"/>
      <c r="Y203" s="1316"/>
      <c r="Z203" s="1316"/>
      <c r="AA203" s="1791"/>
      <c r="AB203" s="720"/>
      <c r="AC203" s="720"/>
      <c r="AD203" s="720"/>
      <c r="AE203" s="720"/>
    </row>
    <row s="8844" customFormat="1" customHeight="1" ht="11.25">
      <c r="A204" s="1142"/>
      <c r="B204" s="1795"/>
      <c r="C204" s="1795"/>
      <c r="D204" s="505"/>
      <c r="K204" s="1316"/>
      <c r="L204" s="1795"/>
      <c r="M204" s="1795"/>
      <c r="N204" s="1316"/>
      <c r="O204" s="1316"/>
      <c r="P204" s="1316"/>
      <c r="Q204" s="1316"/>
      <c r="R204" s="1795"/>
      <c r="S204" s="1316"/>
      <c r="T204" s="1316"/>
      <c r="U204" s="698"/>
      <c r="V204" s="1316"/>
      <c r="W204" s="1316"/>
      <c r="X204" s="1316"/>
      <c r="Y204" s="1316"/>
      <c r="Z204" s="1316"/>
      <c r="AA204" s="1791"/>
      <c r="AB204" s="720"/>
      <c r="AC204" s="720"/>
      <c r="AD204" s="720"/>
      <c r="AE204" s="720"/>
    </row>
    <row s="8844" customFormat="1" customHeight="1" ht="11.25">
      <c r="A205" s="1142"/>
      <c r="B205" s="1795"/>
      <c r="C205" s="1795"/>
      <c r="D205" s="505"/>
      <c r="K205" s="1316"/>
      <c r="L205" s="1795"/>
      <c r="M205" s="1795"/>
      <c r="N205" s="1316"/>
      <c r="O205" s="1316"/>
      <c r="P205" s="1316"/>
      <c r="Q205" s="1316"/>
      <c r="R205" s="1795"/>
      <c r="S205" s="1316"/>
      <c r="T205" s="1316"/>
      <c r="U205" s="698"/>
      <c r="V205" s="1316"/>
      <c r="W205" s="1316"/>
      <c r="X205" s="1316"/>
      <c r="Y205" s="1316"/>
      <c r="Z205" s="1316"/>
      <c r="AA205" s="1791"/>
      <c r="AB205" s="720"/>
      <c r="AC205" s="720"/>
      <c r="AD205" s="720"/>
      <c r="AE205" s="720"/>
    </row>
    <row s="8844" customFormat="1" customHeight="1" ht="11.25">
      <c r="A206" s="1142"/>
      <c r="B206" s="1795"/>
      <c r="C206" s="1795"/>
      <c r="D206" s="505"/>
      <c r="K206" s="1316"/>
      <c r="L206" s="1795"/>
      <c r="M206" s="1795"/>
      <c r="N206" s="1316"/>
      <c r="O206" s="1316"/>
      <c r="P206" s="1316"/>
      <c r="Q206" s="1316"/>
      <c r="R206" s="1795"/>
      <c r="S206" s="1316"/>
      <c r="T206" s="1316"/>
      <c r="U206" s="698"/>
      <c r="V206" s="1316"/>
      <c r="W206" s="1316"/>
      <c r="X206" s="1316"/>
      <c r="Y206" s="1316"/>
      <c r="Z206" s="1316"/>
      <c r="AA206" s="1791"/>
      <c r="AB206" s="720"/>
      <c r="AC206" s="720"/>
      <c r="AD206" s="720"/>
      <c r="AE206" s="720"/>
    </row>
    <row s="8844" customFormat="1" customHeight="1" ht="11.25">
      <c r="A207" s="1142"/>
      <c r="B207" s="1795"/>
      <c r="C207" s="1795"/>
      <c r="D207" s="505"/>
      <c r="K207" s="1316"/>
      <c r="L207" s="1795"/>
      <c r="M207" s="1795"/>
      <c r="N207" s="1316"/>
      <c r="O207" s="1316"/>
      <c r="P207" s="1316"/>
      <c r="Q207" s="1316"/>
      <c r="R207" s="1795"/>
      <c r="S207" s="1316"/>
      <c r="T207" s="1316"/>
      <c r="U207" s="698"/>
      <c r="V207" s="1316"/>
      <c r="W207" s="1316"/>
      <c r="X207" s="1316"/>
      <c r="Y207" s="1316"/>
      <c r="Z207" s="1316"/>
      <c r="AA207" s="1791"/>
      <c r="AB207" s="720"/>
      <c r="AC207" s="720"/>
      <c r="AD207" s="720"/>
      <c r="AE207" s="720"/>
    </row>
    <row s="8844" customFormat="1" customHeight="1" ht="11.25">
      <c r="A208" s="1142"/>
      <c r="B208" s="1795"/>
      <c r="C208" s="1795"/>
      <c r="D208" s="505"/>
      <c r="K208" s="1316"/>
      <c r="L208" s="1795"/>
      <c r="M208" s="1795"/>
      <c r="N208" s="1316"/>
      <c r="O208" s="1316"/>
      <c r="P208" s="1316"/>
      <c r="Q208" s="1316"/>
      <c r="R208" s="1795"/>
      <c r="S208" s="1316"/>
      <c r="T208" s="1316"/>
      <c r="U208" s="698"/>
      <c r="V208" s="1316"/>
      <c r="W208" s="1316"/>
      <c r="X208" s="1316"/>
      <c r="Y208" s="1316"/>
      <c r="Z208" s="1316"/>
      <c r="AA208" s="1791"/>
      <c r="AB208" s="720"/>
      <c r="AC208" s="720"/>
      <c r="AD208" s="720"/>
      <c r="AE208" s="720"/>
    </row>
    <row s="8844" customFormat="1" customHeight="1" ht="11.25">
      <c r="A209" s="1142"/>
      <c r="B209" s="1795"/>
      <c r="C209" s="1795"/>
      <c r="D209" s="505"/>
      <c r="K209" s="1316"/>
      <c r="L209" s="1795"/>
      <c r="M209" s="1795"/>
      <c r="N209" s="1316"/>
      <c r="O209" s="1316"/>
      <c r="P209" s="1316"/>
      <c r="Q209" s="1316"/>
      <c r="R209" s="1795"/>
      <c r="S209" s="1316"/>
      <c r="T209" s="1316"/>
      <c r="U209" s="698"/>
      <c r="V209" s="1316"/>
      <c r="W209" s="1316"/>
      <c r="X209" s="1316"/>
      <c r="Y209" s="1316"/>
      <c r="Z209" s="1316"/>
      <c r="AA209" s="1791"/>
      <c r="AB209" s="720"/>
      <c r="AC209" s="720"/>
      <c r="AD209" s="720"/>
      <c r="AE209" s="720"/>
    </row>
    <row s="8844" customFormat="1" customHeight="1" ht="11.25">
      <c r="A210" s="1142"/>
      <c r="B210" s="1795"/>
      <c r="C210" s="1795"/>
      <c r="D210" s="505"/>
      <c r="K210" s="1316"/>
      <c r="L210" s="1795"/>
      <c r="M210" s="1795"/>
      <c r="N210" s="1316"/>
      <c r="O210" s="1316"/>
      <c r="P210" s="1316"/>
      <c r="Q210" s="1316"/>
      <c r="R210" s="1795"/>
      <c r="S210" s="1316"/>
      <c r="T210" s="1316"/>
      <c r="U210" s="698"/>
      <c r="V210" s="1316"/>
      <c r="W210" s="1316"/>
      <c r="X210" s="1316"/>
      <c r="Y210" s="1316"/>
      <c r="Z210" s="1316"/>
      <c r="AA210" s="1791"/>
      <c r="AB210" s="720"/>
      <c r="AC210" s="720"/>
      <c r="AD210" s="720"/>
      <c r="AE210" s="720"/>
    </row>
    <row s="8844" customFormat="1" customHeight="1" ht="11.25">
      <c r="A211" s="1142"/>
      <c r="B211" s="1795"/>
      <c r="C211" s="1795"/>
      <c r="D211" s="505"/>
      <c r="K211" s="1316"/>
      <c r="L211" s="1795"/>
      <c r="M211" s="1795"/>
      <c r="N211" s="1316"/>
      <c r="O211" s="1316"/>
      <c r="P211" s="1316"/>
      <c r="Q211" s="1316"/>
      <c r="R211" s="1795"/>
      <c r="S211" s="1316"/>
      <c r="T211" s="1316"/>
      <c r="U211" s="698"/>
      <c r="V211" s="1316"/>
      <c r="W211" s="1316"/>
      <c r="X211" s="1316"/>
      <c r="Y211" s="1316"/>
      <c r="Z211" s="1316"/>
      <c r="AA211" s="1791"/>
      <c r="AB211" s="720"/>
      <c r="AC211" s="720"/>
      <c r="AD211" s="720"/>
      <c r="AE211" s="720"/>
    </row>
    <row s="8844" customFormat="1" customHeight="1" ht="11.25">
      <c r="A212" s="1142"/>
      <c r="B212" s="1795"/>
      <c r="C212" s="1795"/>
      <c r="D212" s="505"/>
      <c r="K212" s="1316"/>
      <c r="L212" s="1795"/>
      <c r="M212" s="1795"/>
      <c r="N212" s="1316"/>
      <c r="O212" s="1316"/>
      <c r="P212" s="1316"/>
      <c r="Q212" s="1316"/>
      <c r="R212" s="1795"/>
      <c r="S212" s="1316"/>
      <c r="T212" s="1316"/>
      <c r="U212" s="698"/>
      <c r="V212" s="1316"/>
      <c r="W212" s="1316"/>
      <c r="X212" s="1316"/>
      <c r="Y212" s="1316"/>
      <c r="Z212" s="1316"/>
      <c r="AA212" s="1791"/>
      <c r="AB212" s="720"/>
      <c r="AC212" s="720"/>
      <c r="AD212" s="720"/>
      <c r="AE212" s="720"/>
    </row>
    <row s="8844" customFormat="1" customHeight="1" ht="11.25">
      <c r="A213" s="1142"/>
      <c r="B213" s="1795"/>
      <c r="C213" s="1795"/>
      <c r="D213" s="505"/>
      <c r="K213" s="1316"/>
      <c r="L213" s="1795"/>
      <c r="M213" s="1795"/>
      <c r="N213" s="1316"/>
      <c r="O213" s="1316"/>
      <c r="P213" s="1316"/>
      <c r="Q213" s="1316"/>
      <c r="R213" s="1795"/>
      <c r="S213" s="1316"/>
      <c r="T213" s="1316"/>
      <c r="U213" s="698"/>
      <c r="V213" s="1316"/>
      <c r="W213" s="1316"/>
      <c r="X213" s="1316"/>
      <c r="Y213" s="1316"/>
      <c r="Z213" s="1316"/>
      <c r="AA213" s="1791"/>
      <c r="AB213" s="720"/>
      <c r="AC213" s="720"/>
      <c r="AD213" s="720"/>
      <c r="AE213" s="720"/>
    </row>
    <row s="8844" customFormat="1" customHeight="1" ht="11.25">
      <c r="A214" s="1142"/>
      <c r="B214" s="1795"/>
      <c r="C214" s="1795"/>
      <c r="D214" s="505"/>
      <c r="K214" s="1316"/>
      <c r="L214" s="1795"/>
      <c r="M214" s="1795"/>
      <c r="N214" s="1316"/>
      <c r="O214" s="1316"/>
      <c r="P214" s="1316"/>
      <c r="Q214" s="1316"/>
      <c r="R214" s="1795"/>
      <c r="S214" s="1316"/>
      <c r="T214" s="1316"/>
      <c r="U214" s="698"/>
      <c r="V214" s="1316"/>
      <c r="W214" s="1316"/>
      <c r="X214" s="1316"/>
      <c r="Y214" s="1316"/>
      <c r="Z214" s="1316"/>
      <c r="AA214" s="1791"/>
      <c r="AB214" s="720"/>
      <c r="AC214" s="720"/>
      <c r="AD214" s="720"/>
      <c r="AE214" s="720"/>
    </row>
    <row s="8844" customFormat="1" customHeight="1" ht="11.25">
      <c r="A215" s="1142"/>
      <c r="B215" s="1795"/>
      <c r="C215" s="1795"/>
      <c r="D215" s="505"/>
      <c r="K215" s="1316"/>
      <c r="L215" s="1795"/>
      <c r="M215" s="1795"/>
      <c r="N215" s="1316"/>
      <c r="O215" s="1316"/>
      <c r="P215" s="1316"/>
      <c r="Q215" s="1316"/>
      <c r="R215" s="1795"/>
      <c r="S215" s="1316"/>
      <c r="T215" s="1316"/>
      <c r="U215" s="698"/>
      <c r="V215" s="1316"/>
      <c r="W215" s="1316"/>
      <c r="X215" s="1316"/>
      <c r="Y215" s="1316"/>
      <c r="Z215" s="1316"/>
      <c r="AA215" s="1791"/>
      <c r="AB215" s="720"/>
      <c r="AC215" s="720"/>
      <c r="AD215" s="720"/>
      <c r="AE215" s="720"/>
    </row>
    <row s="8844" customFormat="1" customHeight="1" ht="11.25">
      <c r="A216" s="1142"/>
      <c r="B216" s="1795"/>
      <c r="C216" s="1795"/>
      <c r="D216" s="505"/>
      <c r="K216" s="1316"/>
      <c r="L216" s="1795"/>
      <c r="M216" s="1795"/>
      <c r="N216" s="1316"/>
      <c r="O216" s="1316"/>
      <c r="P216" s="1316"/>
      <c r="Q216" s="1316"/>
      <c r="R216" s="1795"/>
      <c r="S216" s="1316"/>
      <c r="T216" s="1316"/>
      <c r="U216" s="698"/>
      <c r="V216" s="1316"/>
      <c r="W216" s="1316"/>
      <c r="X216" s="1316"/>
      <c r="Y216" s="1316"/>
      <c r="Z216" s="1316"/>
      <c r="AA216" s="1791"/>
      <c r="AB216" s="720"/>
      <c r="AC216" s="720"/>
      <c r="AD216" s="720"/>
      <c r="AE216" s="720"/>
    </row>
    <row s="8844" customFormat="1" customHeight="1" ht="11.25">
      <c r="A217" s="1142"/>
      <c r="B217" s="1795"/>
      <c r="C217" s="1795"/>
      <c r="D217" s="505"/>
      <c r="K217" s="1316"/>
      <c r="L217" s="1795"/>
      <c r="M217" s="1795"/>
      <c r="N217" s="1316"/>
      <c r="O217" s="1316"/>
      <c r="P217" s="1316"/>
      <c r="Q217" s="1316"/>
      <c r="R217" s="1795"/>
      <c r="S217" s="1316"/>
      <c r="T217" s="1316"/>
      <c r="U217" s="698"/>
      <c r="V217" s="1316"/>
      <c r="W217" s="1316"/>
      <c r="X217" s="1316"/>
      <c r="Y217" s="1316"/>
      <c r="Z217" s="1316"/>
      <c r="AA217" s="1791"/>
      <c r="AB217" s="720"/>
      <c r="AC217" s="720"/>
      <c r="AD217" s="720"/>
      <c r="AE217" s="720"/>
    </row>
    <row s="8844" customFormat="1" customHeight="1" ht="11.25">
      <c r="A218" s="1142"/>
      <c r="B218" s="1795"/>
      <c r="C218" s="1795"/>
      <c r="D218" s="505"/>
      <c r="K218" s="1316"/>
      <c r="L218" s="1795"/>
      <c r="M218" s="1795"/>
      <c r="N218" s="1316"/>
      <c r="O218" s="1316"/>
      <c r="P218" s="1316"/>
      <c r="Q218" s="1316"/>
      <c r="R218" s="1795"/>
      <c r="S218" s="1316"/>
      <c r="T218" s="1316"/>
      <c r="U218" s="698"/>
      <c r="V218" s="1316"/>
      <c r="W218" s="1316"/>
      <c r="X218" s="1316"/>
      <c r="Y218" s="1316"/>
      <c r="Z218" s="1316"/>
      <c r="AA218" s="1791"/>
      <c r="AB218" s="720"/>
      <c r="AC218" s="720"/>
      <c r="AD218" s="720"/>
      <c r="AE218" s="720"/>
    </row>
    <row s="8844" customFormat="1" customHeight="1" ht="11.25">
      <c r="A219" s="1142"/>
      <c r="B219" s="1795"/>
      <c r="C219" s="1795"/>
      <c r="D219" s="505"/>
      <c r="K219" s="1316"/>
      <c r="L219" s="1795"/>
      <c r="M219" s="1795"/>
      <c r="N219" s="1316"/>
      <c r="O219" s="1316"/>
      <c r="P219" s="1316"/>
      <c r="Q219" s="1316"/>
      <c r="R219" s="1795"/>
      <c r="S219" s="1316"/>
      <c r="T219" s="1316"/>
      <c r="U219" s="698"/>
      <c r="V219" s="1316"/>
      <c r="W219" s="1316"/>
      <c r="X219" s="1316"/>
      <c r="Y219" s="1316"/>
      <c r="Z219" s="1316"/>
      <c r="AA219" s="1791"/>
      <c r="AB219" s="720"/>
      <c r="AC219" s="720"/>
      <c r="AD219" s="720"/>
      <c r="AE219" s="720"/>
    </row>
    <row s="8844" customFormat="1" customHeight="1" ht="11.25">
      <c r="A220" s="1142"/>
      <c r="B220" s="1795"/>
      <c r="C220" s="1795"/>
      <c r="D220" s="505"/>
      <c r="K220" s="1316"/>
      <c r="L220" s="1795"/>
      <c r="M220" s="1795"/>
      <c r="N220" s="1316"/>
      <c r="O220" s="1316"/>
      <c r="P220" s="1316"/>
      <c r="Q220" s="1316"/>
      <c r="R220" s="1795"/>
      <c r="S220" s="1316"/>
      <c r="T220" s="1316"/>
      <c r="U220" s="698"/>
      <c r="V220" s="1316"/>
      <c r="W220" s="1316"/>
      <c r="X220" s="1316"/>
      <c r="Y220" s="1316"/>
      <c r="Z220" s="1316"/>
      <c r="AA220" s="1791"/>
      <c r="AB220" s="720"/>
      <c r="AC220" s="720"/>
      <c r="AD220" s="720"/>
      <c r="AE220" s="720"/>
    </row>
    <row s="8844" customFormat="1" customHeight="1" ht="11.25">
      <c r="A221" s="1142"/>
      <c r="B221" s="1795"/>
      <c r="C221" s="1795"/>
      <c r="D221" s="505"/>
      <c r="K221" s="1316"/>
      <c r="L221" s="1795"/>
      <c r="M221" s="1795"/>
      <c r="N221" s="1316"/>
      <c r="O221" s="1316"/>
      <c r="P221" s="1316"/>
      <c r="Q221" s="1316"/>
      <c r="R221" s="1795"/>
      <c r="S221" s="1316"/>
      <c r="T221" s="1316"/>
      <c r="U221" s="698"/>
      <c r="V221" s="1316"/>
      <c r="W221" s="1316"/>
      <c r="X221" s="1316"/>
      <c r="Y221" s="1316"/>
      <c r="Z221" s="1316"/>
      <c r="AA221" s="1791"/>
      <c r="AB221" s="720"/>
      <c r="AC221" s="720"/>
      <c r="AD221" s="720"/>
      <c r="AE221" s="720"/>
    </row>
    <row s="8844" customFormat="1" customHeight="1" ht="11.25">
      <c r="A222" s="1142"/>
      <c r="B222" s="1795"/>
      <c r="C222" s="1795"/>
      <c r="D222" s="505"/>
      <c r="K222" s="1316"/>
      <c r="L222" s="1795"/>
      <c r="M222" s="1795"/>
      <c r="N222" s="1316"/>
      <c r="O222" s="1316"/>
      <c r="P222" s="1316"/>
      <c r="Q222" s="1316"/>
      <c r="R222" s="1795"/>
      <c r="S222" s="1316"/>
      <c r="T222" s="1316"/>
      <c r="U222" s="698"/>
      <c r="V222" s="1316"/>
      <c r="W222" s="1316"/>
      <c r="X222" s="1316"/>
      <c r="Y222" s="1316"/>
      <c r="Z222" s="1316"/>
      <c r="AA222" s="1791"/>
      <c r="AB222" s="720"/>
      <c r="AC222" s="720"/>
      <c r="AD222" s="720"/>
      <c r="AE222" s="720"/>
    </row>
    <row s="8844" customFormat="1" customHeight="1" ht="11.25">
      <c r="A223" s="1142"/>
      <c r="B223" s="1795"/>
      <c r="C223" s="1795"/>
      <c r="D223" s="505"/>
      <c r="K223" s="1316"/>
      <c r="L223" s="1795"/>
      <c r="M223" s="1795"/>
      <c r="N223" s="1316"/>
      <c r="O223" s="1316"/>
      <c r="P223" s="1316"/>
      <c r="Q223" s="1316"/>
      <c r="R223" s="1795"/>
      <c r="S223" s="1316"/>
      <c r="T223" s="1316"/>
      <c r="U223" s="698"/>
      <c r="V223" s="1316"/>
      <c r="W223" s="1316"/>
      <c r="X223" s="1316"/>
      <c r="Y223" s="1316"/>
      <c r="Z223" s="1316"/>
      <c r="AA223" s="1791"/>
      <c r="AB223" s="720"/>
      <c r="AC223" s="720"/>
      <c r="AD223" s="720"/>
      <c r="AE223" s="720"/>
    </row>
    <row s="8844" customFormat="1" customHeight="1" ht="11.25">
      <c r="A224" s="1142"/>
      <c r="B224" s="1795"/>
      <c r="C224" s="1795"/>
      <c r="D224" s="505"/>
      <c r="K224" s="1316"/>
      <c r="L224" s="1795"/>
      <c r="M224" s="1795"/>
      <c r="N224" s="1316"/>
      <c r="O224" s="1316"/>
      <c r="P224" s="1316"/>
      <c r="Q224" s="1316"/>
      <c r="R224" s="1795"/>
      <c r="S224" s="1316"/>
      <c r="T224" s="1316"/>
      <c r="U224" s="698"/>
      <c r="V224" s="1316"/>
      <c r="W224" s="1316"/>
      <c r="X224" s="1316"/>
      <c r="Y224" s="1316"/>
      <c r="Z224" s="1316"/>
      <c r="AA224" s="1791"/>
      <c r="AB224" s="720"/>
      <c r="AC224" s="720"/>
      <c r="AD224" s="720"/>
      <c r="AE224" s="720"/>
    </row>
    <row s="8844" customFormat="1" customHeight="1" ht="11.25">
      <c r="A225" s="1142"/>
      <c r="B225" s="1795"/>
      <c r="C225" s="1795"/>
      <c r="D225" s="505"/>
      <c r="K225" s="1316"/>
      <c r="L225" s="1795"/>
      <c r="M225" s="1795"/>
      <c r="N225" s="1316"/>
      <c r="O225" s="1316"/>
      <c r="P225" s="1316"/>
      <c r="Q225" s="1316"/>
      <c r="R225" s="1795"/>
      <c r="S225" s="1316"/>
      <c r="T225" s="1316"/>
      <c r="U225" s="698"/>
      <c r="V225" s="1316"/>
      <c r="W225" s="1316"/>
      <c r="X225" s="1316"/>
      <c r="Y225" s="1316"/>
      <c r="Z225" s="1316"/>
      <c r="AA225" s="1791"/>
      <c r="AB225" s="720"/>
      <c r="AC225" s="720"/>
      <c r="AD225" s="720"/>
      <c r="AE225" s="720"/>
    </row>
    <row s="8844" customFormat="1" customHeight="1" ht="11.25">
      <c r="A226" s="1142"/>
      <c r="B226" s="1795"/>
      <c r="C226" s="1795"/>
      <c r="D226" s="505"/>
      <c r="K226" s="1316"/>
      <c r="L226" s="1795"/>
      <c r="M226" s="1795"/>
      <c r="N226" s="1316"/>
      <c r="O226" s="1316"/>
      <c r="P226" s="1316"/>
      <c r="Q226" s="1316"/>
      <c r="R226" s="1795"/>
      <c r="S226" s="1316"/>
      <c r="T226" s="1316"/>
      <c r="U226" s="698"/>
      <c r="V226" s="1316"/>
      <c r="W226" s="1316"/>
      <c r="X226" s="1316"/>
      <c r="Y226" s="1316"/>
      <c r="Z226" s="1316"/>
      <c r="AA226" s="1791"/>
      <c r="AB226" s="720"/>
      <c r="AC226" s="720"/>
      <c r="AD226" s="720"/>
      <c r="AE226" s="720"/>
    </row>
    <row s="8844" customFormat="1" customHeight="1" ht="11.25">
      <c r="A227" s="1142"/>
      <c r="B227" s="1795"/>
      <c r="C227" s="1795"/>
      <c r="D227" s="505"/>
      <c r="K227" s="1316"/>
      <c r="L227" s="1795"/>
      <c r="M227" s="1795"/>
      <c r="N227" s="1316"/>
      <c r="O227" s="1316"/>
      <c r="P227" s="1316"/>
      <c r="Q227" s="1316"/>
      <c r="R227" s="1795"/>
      <c r="S227" s="1316"/>
      <c r="T227" s="1316"/>
      <c r="U227" s="698"/>
      <c r="V227" s="1316"/>
      <c r="W227" s="1316"/>
      <c r="X227" s="1316"/>
      <c r="Y227" s="1316"/>
      <c r="Z227" s="1316"/>
      <c r="AA227" s="1791"/>
      <c r="AB227" s="720"/>
      <c r="AC227" s="720"/>
      <c r="AD227" s="720"/>
      <c r="AE227" s="720"/>
    </row>
    <row s="8844" customFormat="1" customHeight="1" ht="11.25">
      <c r="A228" s="1142"/>
      <c r="B228" s="1795"/>
      <c r="C228" s="1795"/>
      <c r="D228" s="505"/>
      <c r="K228" s="1316"/>
      <c r="L228" s="1795"/>
      <c r="M228" s="1795"/>
      <c r="N228" s="1316"/>
      <c r="O228" s="1316"/>
      <c r="P228" s="1316"/>
      <c r="Q228" s="1316"/>
      <c r="R228" s="1795"/>
      <c r="S228" s="1316"/>
      <c r="T228" s="1316"/>
      <c r="U228" s="698"/>
      <c r="V228" s="1316"/>
      <c r="W228" s="1316"/>
      <c r="X228" s="1316"/>
      <c r="Y228" s="1316"/>
      <c r="Z228" s="1316"/>
      <c r="AA228" s="1791"/>
      <c r="AB228" s="720"/>
      <c r="AC228" s="720"/>
      <c r="AD228" s="720"/>
      <c r="AE228" s="720"/>
    </row>
    <row s="8844" customFormat="1" customHeight="1" ht="11.25">
      <c r="A229" s="1142"/>
      <c r="B229" s="1795"/>
      <c r="C229" s="1795"/>
      <c r="D229" s="505"/>
      <c r="K229" s="1316"/>
      <c r="L229" s="1795"/>
      <c r="M229" s="1795"/>
      <c r="N229" s="1316"/>
      <c r="O229" s="1316"/>
      <c r="P229" s="1316"/>
      <c r="Q229" s="1316"/>
      <c r="R229" s="1795"/>
      <c r="S229" s="1316"/>
      <c r="T229" s="1316"/>
      <c r="U229" s="698"/>
      <c r="V229" s="1316"/>
      <c r="W229" s="1316"/>
      <c r="X229" s="1316"/>
      <c r="Y229" s="1316"/>
      <c r="Z229" s="1316"/>
      <c r="AA229" s="1791"/>
      <c r="AB229" s="720"/>
      <c r="AC229" s="720"/>
      <c r="AD229" s="720"/>
      <c r="AE229" s="720"/>
    </row>
    <row s="8844" customFormat="1" customHeight="1" ht="11.25">
      <c r="A230" s="1142"/>
      <c r="B230" s="1795"/>
      <c r="C230" s="1795"/>
      <c r="D230" s="505"/>
      <c r="K230" s="1316"/>
      <c r="L230" s="1795"/>
      <c r="M230" s="1795"/>
      <c r="N230" s="1316"/>
      <c r="O230" s="1316"/>
      <c r="P230" s="1316"/>
      <c r="Q230" s="1316"/>
      <c r="R230" s="1795"/>
      <c r="S230" s="1316"/>
      <c r="T230" s="1316"/>
      <c r="U230" s="698"/>
      <c r="V230" s="1316"/>
      <c r="W230" s="1316"/>
      <c r="X230" s="1316"/>
      <c r="Y230" s="1316"/>
      <c r="Z230" s="1316"/>
      <c r="AA230" s="1791"/>
      <c r="AB230" s="720"/>
      <c r="AC230" s="720"/>
      <c r="AD230" s="720"/>
      <c r="AE230" s="720"/>
    </row>
    <row s="8844" customFormat="1" customHeight="1" ht="11.25">
      <c r="A231" s="1142"/>
      <c r="B231" s="1795"/>
      <c r="C231" s="1795"/>
      <c r="D231" s="505"/>
      <c r="K231" s="1316"/>
      <c r="L231" s="1795"/>
      <c r="M231" s="1795"/>
      <c r="N231" s="1316"/>
      <c r="O231" s="1316"/>
      <c r="P231" s="1316"/>
      <c r="Q231" s="1316"/>
      <c r="R231" s="1795"/>
      <c r="S231" s="1316"/>
      <c r="T231" s="1316"/>
      <c r="U231" s="698"/>
      <c r="V231" s="1316"/>
      <c r="W231" s="1316"/>
      <c r="X231" s="1316"/>
      <c r="Y231" s="1316"/>
      <c r="Z231" s="1316"/>
      <c r="AA231" s="1791"/>
      <c r="AB231" s="720"/>
      <c r="AC231" s="720"/>
      <c r="AD231" s="720"/>
      <c r="AE231" s="720"/>
    </row>
    <row s="8844" customFormat="1" customHeight="1" ht="11.25">
      <c r="A232" s="1142"/>
      <c r="B232" s="1795"/>
      <c r="C232" s="1795"/>
      <c r="D232" s="505"/>
      <c r="K232" s="1316"/>
      <c r="L232" s="1795"/>
      <c r="M232" s="1795"/>
      <c r="N232" s="1316"/>
      <c r="O232" s="1316"/>
      <c r="P232" s="1316"/>
      <c r="Q232" s="1316"/>
      <c r="R232" s="1795"/>
      <c r="S232" s="1316"/>
      <c r="T232" s="1316"/>
      <c r="U232" s="698"/>
      <c r="V232" s="1316"/>
      <c r="W232" s="1316"/>
      <c r="X232" s="1316"/>
      <c r="Y232" s="1316"/>
      <c r="Z232" s="1316"/>
      <c r="AA232" s="1791"/>
      <c r="AB232" s="720"/>
      <c r="AC232" s="720"/>
      <c r="AD232" s="720"/>
      <c r="AE232" s="720"/>
    </row>
    <row s="8844" customFormat="1" customHeight="1" ht="11.25">
      <c r="A233" s="1142"/>
      <c r="B233" s="1795"/>
      <c r="C233" s="1795"/>
      <c r="D233" s="505"/>
      <c r="K233" s="1316"/>
      <c r="L233" s="1795"/>
      <c r="M233" s="1795"/>
      <c r="N233" s="1316"/>
      <c r="O233" s="1316"/>
      <c r="P233" s="1316"/>
      <c r="Q233" s="1316"/>
      <c r="R233" s="1795"/>
      <c r="S233" s="1316"/>
      <c r="T233" s="1316"/>
      <c r="U233" s="698"/>
      <c r="V233" s="1316"/>
      <c r="W233" s="1316"/>
      <c r="X233" s="1316"/>
      <c r="Y233" s="1316"/>
      <c r="Z233" s="1316"/>
      <c r="AA233" s="1791"/>
      <c r="AB233" s="720"/>
      <c r="AC233" s="720"/>
      <c r="AD233" s="720"/>
      <c r="AE233" s="720"/>
    </row>
    <row s="8844" customFormat="1" customHeight="1" ht="11.25">
      <c r="A234" s="1142"/>
      <c r="B234" s="1795"/>
      <c r="C234" s="1795"/>
      <c r="D234" s="505"/>
      <c r="K234" s="1316"/>
      <c r="L234" s="1795"/>
      <c r="M234" s="1795"/>
      <c r="N234" s="1316"/>
      <c r="O234" s="1316"/>
      <c r="P234" s="1316"/>
      <c r="Q234" s="1316"/>
      <c r="R234" s="1795"/>
      <c r="S234" s="1316"/>
      <c r="T234" s="1316"/>
      <c r="U234" s="698"/>
      <c r="V234" s="1316"/>
      <c r="W234" s="1316"/>
      <c r="X234" s="1316"/>
      <c r="Y234" s="1316"/>
      <c r="Z234" s="1316"/>
      <c r="AA234" s="1791"/>
      <c r="AB234" s="720"/>
      <c r="AC234" s="720"/>
      <c r="AD234" s="720"/>
      <c r="AE234" s="720"/>
    </row>
    <row s="8844" customFormat="1" customHeight="1" ht="11.25">
      <c r="A235" s="1142"/>
      <c r="B235" s="1795"/>
      <c r="C235" s="1795"/>
      <c r="D235" s="505"/>
      <c r="K235" s="1316"/>
      <c r="L235" s="1795"/>
      <c r="M235" s="1795"/>
      <c r="N235" s="1316"/>
      <c r="O235" s="1316"/>
      <c r="P235" s="1316"/>
      <c r="Q235" s="1316"/>
      <c r="R235" s="1795"/>
      <c r="S235" s="1316"/>
      <c r="T235" s="1316"/>
      <c r="U235" s="698"/>
      <c r="V235" s="1316"/>
      <c r="W235" s="1316"/>
      <c r="X235" s="1316"/>
      <c r="Y235" s="1316"/>
      <c r="Z235" s="1316"/>
      <c r="AA235" s="1791"/>
      <c r="AB235" s="720"/>
      <c r="AC235" s="720"/>
      <c r="AD235" s="720"/>
      <c r="AE235" s="720"/>
    </row>
    <row s="8844" customFormat="1" customHeight="1" ht="11.25">
      <c r="A236" s="1142"/>
      <c r="B236" s="1795"/>
      <c r="C236" s="1795"/>
      <c r="D236" s="505"/>
      <c r="K236" s="1316"/>
      <c r="L236" s="1795"/>
      <c r="M236" s="1795"/>
      <c r="N236" s="1316"/>
      <c r="O236" s="1316"/>
      <c r="P236" s="1316"/>
      <c r="Q236" s="1316"/>
      <c r="R236" s="1795"/>
      <c r="S236" s="1316"/>
      <c r="T236" s="1316"/>
      <c r="U236" s="698"/>
      <c r="V236" s="1316"/>
      <c r="W236" s="1316"/>
      <c r="X236" s="1316"/>
      <c r="Y236" s="1316"/>
      <c r="Z236" s="1316"/>
      <c r="AA236" s="1791"/>
      <c r="AB236" s="720"/>
      <c r="AC236" s="720"/>
      <c r="AD236" s="720"/>
      <c r="AE236" s="720"/>
    </row>
    <row s="8844" customFormat="1" customHeight="1" ht="11.25">
      <c r="A237" s="1142"/>
      <c r="B237" s="1795"/>
      <c r="C237" s="1795"/>
      <c r="D237" s="505"/>
      <c r="K237" s="1316"/>
      <c r="L237" s="1795"/>
      <c r="M237" s="1795"/>
      <c r="N237" s="1316"/>
      <c r="O237" s="1316"/>
      <c r="P237" s="1316"/>
      <c r="Q237" s="1316"/>
      <c r="R237" s="1795"/>
      <c r="S237" s="1316"/>
      <c r="T237" s="1316"/>
      <c r="U237" s="698"/>
      <c r="V237" s="1316"/>
      <c r="W237" s="1316"/>
      <c r="X237" s="1316"/>
      <c r="Y237" s="1316"/>
      <c r="Z237" s="1316"/>
      <c r="AA237" s="1791"/>
      <c r="AB237" s="720"/>
      <c r="AC237" s="720"/>
      <c r="AD237" s="720"/>
      <c r="AE237" s="720"/>
    </row>
    <row s="8844" customFormat="1" customHeight="1" ht="11.25">
      <c r="A238" s="1142"/>
      <c r="B238" s="1795"/>
      <c r="C238" s="1795"/>
      <c r="D238" s="505"/>
      <c r="K238" s="1316"/>
      <c r="L238" s="1795"/>
      <c r="M238" s="1795"/>
      <c r="N238" s="1316"/>
      <c r="O238" s="1316"/>
      <c r="P238" s="1316"/>
      <c r="Q238" s="1316"/>
      <c r="R238" s="1795"/>
      <c r="S238" s="1316"/>
      <c r="T238" s="1316"/>
      <c r="U238" s="698"/>
      <c r="V238" s="1316"/>
      <c r="W238" s="1316"/>
      <c r="X238" s="1316"/>
      <c r="Y238" s="1316"/>
      <c r="Z238" s="1316"/>
      <c r="AA238" s="1791"/>
      <c r="AB238" s="720"/>
      <c r="AC238" s="720"/>
      <c r="AD238" s="720"/>
      <c r="AE238" s="720"/>
    </row>
    <row s="8844" customFormat="1" customHeight="1" ht="11.25">
      <c r="A239" s="1142"/>
      <c r="B239" s="1795"/>
      <c r="C239" s="1795"/>
      <c r="D239" s="505"/>
      <c r="K239" s="1316"/>
      <c r="L239" s="1795"/>
      <c r="M239" s="1795"/>
      <c r="N239" s="1316"/>
      <c r="O239" s="1316"/>
      <c r="P239" s="1316"/>
      <c r="Q239" s="1316"/>
      <c r="R239" s="1795"/>
      <c r="S239" s="1316"/>
      <c r="T239" s="1316"/>
      <c r="U239" s="698"/>
      <c r="V239" s="1316"/>
      <c r="W239" s="1316"/>
      <c r="X239" s="1316"/>
      <c r="Y239" s="1316"/>
      <c r="Z239" s="1316"/>
      <c r="AA239" s="1791"/>
      <c r="AB239" s="720"/>
      <c r="AC239" s="720"/>
      <c r="AD239" s="720"/>
      <c r="AE239" s="720"/>
    </row>
    <row s="8844" customFormat="1" customHeight="1" ht="11.25">
      <c r="A240" s="1142"/>
      <c r="B240" s="1795"/>
      <c r="C240" s="1795"/>
      <c r="D240" s="505"/>
      <c r="K240" s="1316"/>
      <c r="L240" s="1795"/>
      <c r="M240" s="1795"/>
      <c r="N240" s="1316"/>
      <c r="O240" s="1316"/>
      <c r="P240" s="1316"/>
      <c r="Q240" s="1316"/>
      <c r="R240" s="1795"/>
      <c r="S240" s="1316"/>
      <c r="T240" s="1316"/>
      <c r="U240" s="698"/>
      <c r="V240" s="1316"/>
      <c r="W240" s="1316"/>
      <c r="X240" s="1316"/>
      <c r="Y240" s="1316"/>
      <c r="Z240" s="1316"/>
      <c r="AA240" s="1791"/>
      <c r="AB240" s="720"/>
      <c r="AC240" s="720"/>
      <c r="AD240" s="720"/>
      <c r="AE240" s="720"/>
    </row>
    <row s="8844" customFormat="1" customHeight="1" ht="11.25">
      <c r="A241" s="1142"/>
      <c r="B241" s="1795"/>
      <c r="C241" s="1795"/>
      <c r="D241" s="505"/>
      <c r="K241" s="1316"/>
      <c r="L241" s="1795"/>
      <c r="M241" s="1795"/>
      <c r="N241" s="1316"/>
      <c r="O241" s="1316"/>
      <c r="P241" s="1316"/>
      <c r="Q241" s="1316"/>
      <c r="R241" s="1795"/>
      <c r="S241" s="1316"/>
      <c r="T241" s="1316"/>
      <c r="U241" s="698"/>
      <c r="V241" s="1316"/>
      <c r="W241" s="1316"/>
      <c r="X241" s="1316"/>
      <c r="Y241" s="1316"/>
      <c r="Z241" s="1316"/>
      <c r="AA241" s="1791"/>
      <c r="AB241" s="720"/>
      <c r="AC241" s="720"/>
      <c r="AD241" s="720"/>
      <c r="AE241" s="720"/>
    </row>
    <row s="8844" customFormat="1" customHeight="1" ht="11.25">
      <c r="A242" s="1142"/>
      <c r="B242" s="1795"/>
      <c r="C242" s="1795"/>
      <c r="D242" s="505"/>
      <c r="K242" s="1316"/>
      <c r="L242" s="1795"/>
      <c r="M242" s="1795"/>
      <c r="N242" s="1316"/>
      <c r="O242" s="1316"/>
      <c r="P242" s="1316"/>
      <c r="Q242" s="1316"/>
      <c r="R242" s="1795"/>
      <c r="S242" s="1316"/>
      <c r="T242" s="1316"/>
      <c r="U242" s="698"/>
      <c r="V242" s="1316"/>
      <c r="W242" s="1316"/>
      <c r="X242" s="1316"/>
      <c r="Y242" s="1316"/>
      <c r="Z242" s="1316"/>
      <c r="AA242" s="1791"/>
      <c r="AB242" s="720"/>
      <c r="AC242" s="720"/>
      <c r="AD242" s="720"/>
      <c r="AE242" s="720"/>
    </row>
    <row s="8844" customFormat="1" customHeight="1" ht="11.25">
      <c r="A243" s="1142"/>
      <c r="B243" s="1795"/>
      <c r="C243" s="1795"/>
      <c r="D243" s="505"/>
      <c r="K243" s="1316"/>
      <c r="L243" s="1795"/>
      <c r="M243" s="1795"/>
      <c r="N243" s="1316"/>
      <c r="O243" s="1316"/>
      <c r="P243" s="1316"/>
      <c r="Q243" s="1316"/>
      <c r="R243" s="1795"/>
      <c r="S243" s="1316"/>
      <c r="T243" s="1316"/>
      <c r="U243" s="698"/>
      <c r="V243" s="1316"/>
      <c r="W243" s="1316"/>
      <c r="X243" s="1316"/>
      <c r="Y243" s="1316"/>
      <c r="Z243" s="1316"/>
      <c r="AA243" s="1791"/>
      <c r="AB243" s="720"/>
      <c r="AC243" s="720"/>
      <c r="AD243" s="720"/>
      <c r="AE243" s="720"/>
    </row>
    <row s="8844" customFormat="1" customHeight="1" ht="11.25">
      <c r="A244" s="1142"/>
      <c r="B244" s="1795"/>
      <c r="C244" s="1795"/>
      <c r="D244" s="505"/>
      <c r="K244" s="1316"/>
      <c r="L244" s="1795"/>
      <c r="M244" s="1795"/>
      <c r="N244" s="1316"/>
      <c r="O244" s="1316"/>
      <c r="P244" s="1316"/>
      <c r="Q244" s="1316"/>
      <c r="R244" s="1795"/>
      <c r="S244" s="1316"/>
      <c r="T244" s="1316"/>
      <c r="U244" s="698"/>
      <c r="V244" s="1316"/>
      <c r="W244" s="1316"/>
      <c r="X244" s="1316"/>
      <c r="Y244" s="1316"/>
      <c r="Z244" s="1316"/>
      <c r="AA244" s="1791"/>
      <c r="AB244" s="720"/>
      <c r="AC244" s="720"/>
      <c r="AD244" s="720"/>
      <c r="AE244" s="720"/>
    </row>
    <row s="8844" customFormat="1" customHeight="1" ht="11.25">
      <c r="A245" s="1142"/>
      <c r="B245" s="1795"/>
      <c r="C245" s="1795"/>
      <c r="D245" s="505"/>
      <c r="K245" s="1316"/>
      <c r="L245" s="1795"/>
      <c r="M245" s="1795"/>
      <c r="N245" s="1316"/>
      <c r="O245" s="1316"/>
      <c r="P245" s="1316"/>
      <c r="Q245" s="1316"/>
      <c r="R245" s="1795"/>
      <c r="S245" s="1316"/>
      <c r="T245" s="1316"/>
      <c r="U245" s="698"/>
      <c r="V245" s="1316"/>
      <c r="W245" s="1316"/>
      <c r="X245" s="1316"/>
      <c r="Y245" s="1316"/>
      <c r="Z245" s="1316"/>
      <c r="AA245" s="1791"/>
      <c r="AB245" s="720"/>
      <c r="AC245" s="720"/>
      <c r="AD245" s="720"/>
      <c r="AE245" s="720"/>
    </row>
    <row s="8844" customFormat="1" customHeight="1" ht="11.25">
      <c r="A246" s="1142"/>
      <c r="B246" s="1795"/>
      <c r="C246" s="1795"/>
      <c r="D246" s="505"/>
      <c r="K246" s="1316"/>
      <c r="L246" s="1795"/>
      <c r="M246" s="1795"/>
      <c r="N246" s="1316"/>
      <c r="O246" s="1316"/>
      <c r="P246" s="1316"/>
      <c r="Q246" s="1316"/>
      <c r="R246" s="1795"/>
      <c r="S246" s="1316"/>
      <c r="T246" s="1316"/>
      <c r="U246" s="698"/>
      <c r="V246" s="1316"/>
      <c r="W246" s="1316"/>
      <c r="X246" s="1316"/>
      <c r="Y246" s="1316"/>
      <c r="Z246" s="1316"/>
      <c r="AA246" s="1791"/>
      <c r="AB246" s="720"/>
      <c r="AC246" s="720"/>
      <c r="AD246" s="720"/>
      <c r="AE246" s="720"/>
    </row>
    <row s="8844" customFormat="1" customHeight="1" ht="11.25">
      <c r="A247" s="1142"/>
      <c r="B247" s="1795"/>
      <c r="C247" s="1795"/>
      <c r="D247" s="505"/>
      <c r="K247" s="1316"/>
      <c r="L247" s="1795"/>
      <c r="M247" s="1795"/>
      <c r="N247" s="1316"/>
      <c r="O247" s="1316"/>
      <c r="P247" s="1316"/>
      <c r="Q247" s="1316"/>
      <c r="R247" s="1795"/>
      <c r="S247" s="1316"/>
      <c r="T247" s="1316"/>
      <c r="U247" s="698"/>
      <c r="V247" s="1316"/>
      <c r="W247" s="1316"/>
      <c r="X247" s="1316"/>
      <c r="Y247" s="1316"/>
      <c r="Z247" s="1316"/>
      <c r="AA247" s="1791"/>
      <c r="AB247" s="720"/>
      <c r="AC247" s="720"/>
      <c r="AD247" s="720"/>
      <c r="AE247" s="720"/>
    </row>
    <row s="8844" customFormat="1" customHeight="1" ht="11.25">
      <c r="A248" s="1142"/>
      <c r="B248" s="1795"/>
      <c r="C248" s="1795"/>
      <c r="D248" s="505"/>
      <c r="K248" s="1316"/>
      <c r="L248" s="1795"/>
      <c r="M248" s="1795"/>
      <c r="N248" s="1316"/>
      <c r="O248" s="1316"/>
      <c r="P248" s="1316"/>
      <c r="Q248" s="1316"/>
      <c r="R248" s="1795"/>
      <c r="S248" s="1316"/>
      <c r="T248" s="1316"/>
      <c r="U248" s="698"/>
      <c r="V248" s="1316"/>
      <c r="W248" s="1316"/>
      <c r="X248" s="1316"/>
      <c r="Y248" s="1316"/>
      <c r="Z248" s="1316"/>
      <c r="AA248" s="1791"/>
      <c r="AB248" s="720"/>
      <c r="AC248" s="720"/>
      <c r="AD248" s="720"/>
      <c r="AE248" s="720"/>
    </row>
    <row s="8844" customFormat="1" customHeight="1" ht="11.25">
      <c r="A249" s="1142"/>
      <c r="B249" s="1795"/>
      <c r="C249" s="1795"/>
      <c r="D249" s="505"/>
      <c r="K249" s="1316"/>
      <c r="L249" s="1795"/>
      <c r="M249" s="1795"/>
      <c r="N249" s="1316"/>
      <c r="O249" s="1316"/>
      <c r="P249" s="1316"/>
      <c r="Q249" s="1316"/>
      <c r="R249" s="1795"/>
      <c r="S249" s="1316"/>
      <c r="T249" s="1316"/>
      <c r="U249" s="698"/>
      <c r="V249" s="1316"/>
      <c r="W249" s="1316"/>
      <c r="X249" s="1316"/>
      <c r="Y249" s="1316"/>
      <c r="Z249" s="1316"/>
      <c r="AA249" s="1791"/>
      <c r="AB249" s="720"/>
      <c r="AC249" s="720"/>
      <c r="AD249" s="720"/>
      <c r="AE249" s="720"/>
    </row>
    <row s="8844" customFormat="1" customHeight="1" ht="11.25">
      <c r="A250" s="1142"/>
      <c r="B250" s="1795"/>
      <c r="C250" s="1795"/>
      <c r="D250" s="505"/>
      <c r="K250" s="1316"/>
      <c r="L250" s="1795"/>
      <c r="M250" s="1795"/>
      <c r="N250" s="1316"/>
      <c r="O250" s="1316"/>
      <c r="P250" s="1316"/>
      <c r="Q250" s="1316"/>
      <c r="R250" s="1795"/>
      <c r="S250" s="1316"/>
      <c r="T250" s="1316"/>
      <c r="U250" s="698"/>
      <c r="V250" s="1316"/>
      <c r="W250" s="1316"/>
      <c r="X250" s="1316"/>
      <c r="Y250" s="1316"/>
      <c r="Z250" s="1316"/>
      <c r="AA250" s="1791"/>
      <c r="AB250" s="720"/>
      <c r="AC250" s="720"/>
      <c r="AD250" s="720"/>
      <c r="AE250" s="720"/>
    </row>
    <row s="8844" customFormat="1" customHeight="1" ht="11.25">
      <c r="A251" s="1142"/>
      <c r="B251" s="1795"/>
      <c r="C251" s="1795"/>
      <c r="D251" s="505"/>
      <c r="K251" s="1316"/>
      <c r="L251" s="1795"/>
      <c r="M251" s="1795"/>
      <c r="N251" s="1316"/>
      <c r="O251" s="1316"/>
      <c r="P251" s="1316"/>
      <c r="Q251" s="1316"/>
      <c r="R251" s="1795"/>
      <c r="S251" s="1316"/>
      <c r="T251" s="1316"/>
      <c r="U251" s="698"/>
      <c r="V251" s="1316"/>
      <c r="W251" s="1316"/>
      <c r="X251" s="1316"/>
      <c r="Y251" s="1316"/>
      <c r="Z251" s="1316"/>
      <c r="AA251" s="1791"/>
      <c r="AB251" s="720"/>
      <c r="AC251" s="720"/>
      <c r="AD251" s="720"/>
      <c r="AE251" s="720"/>
    </row>
    <row s="8844" customFormat="1" customHeight="1" ht="11.25">
      <c r="A252" s="1142"/>
      <c r="B252" s="1795"/>
      <c r="C252" s="1795"/>
      <c r="D252" s="505"/>
      <c r="K252" s="1316"/>
      <c r="L252" s="1795"/>
      <c r="M252" s="1795"/>
      <c r="N252" s="1316"/>
      <c r="O252" s="1316"/>
      <c r="P252" s="1316"/>
      <c r="Q252" s="1316"/>
      <c r="R252" s="1795"/>
      <c r="S252" s="1316"/>
      <c r="T252" s="1316"/>
      <c r="U252" s="698"/>
      <c r="V252" s="1316"/>
      <c r="W252" s="1316"/>
      <c r="X252" s="1316"/>
      <c r="Y252" s="1316"/>
      <c r="Z252" s="1316"/>
      <c r="AA252" s="1791"/>
      <c r="AB252" s="720"/>
      <c r="AC252" s="720"/>
      <c r="AD252" s="720"/>
      <c r="AE252" s="720"/>
    </row>
    <row s="8844" customFormat="1" customHeight="1" ht="11.25">
      <c r="A253" s="1142"/>
      <c r="B253" s="1795"/>
      <c r="C253" s="1795"/>
      <c r="D253" s="505"/>
      <c r="K253" s="1316"/>
      <c r="L253" s="1795"/>
      <c r="M253" s="1795"/>
      <c r="N253" s="1316"/>
      <c r="O253" s="1316"/>
      <c r="P253" s="1316"/>
      <c r="Q253" s="1316"/>
      <c r="R253" s="1795"/>
      <c r="S253" s="1316"/>
      <c r="T253" s="1316"/>
      <c r="U253" s="698"/>
      <c r="V253" s="1316"/>
      <c r="W253" s="1316"/>
      <c r="X253" s="1316"/>
      <c r="Y253" s="1316"/>
      <c r="Z253" s="1316"/>
      <c r="AA253" s="1791"/>
      <c r="AB253" s="720"/>
      <c r="AC253" s="720"/>
      <c r="AD253" s="720"/>
      <c r="AE253" s="720"/>
    </row>
    <row s="8844" customFormat="1" customHeight="1" ht="11.25">
      <c r="A254" s="1142"/>
      <c r="B254" s="1795"/>
      <c r="C254" s="1795"/>
      <c r="D254" s="505"/>
      <c r="K254" s="1316"/>
      <c r="L254" s="1795"/>
      <c r="M254" s="1795"/>
      <c r="N254" s="1316"/>
      <c r="O254" s="1316"/>
      <c r="P254" s="1316"/>
      <c r="Q254" s="1316"/>
      <c r="R254" s="1795"/>
      <c r="S254" s="1316"/>
      <c r="T254" s="1316"/>
      <c r="U254" s="698"/>
      <c r="V254" s="1316"/>
      <c r="W254" s="1316"/>
      <c r="X254" s="1316"/>
      <c r="Y254" s="1316"/>
      <c r="Z254" s="1316"/>
      <c r="AA254" s="1791"/>
      <c r="AB254" s="720"/>
      <c r="AC254" s="720"/>
      <c r="AD254" s="720"/>
      <c r="AE254" s="720"/>
    </row>
    <row s="8844" customFormat="1" customHeight="1" ht="11.25">
      <c r="A255" s="1142"/>
      <c r="B255" s="1795"/>
      <c r="C255" s="1795"/>
      <c r="D255" s="505"/>
      <c r="K255" s="1316"/>
      <c r="L255" s="1795"/>
      <c r="M255" s="1795"/>
      <c r="N255" s="1316"/>
      <c r="O255" s="1316"/>
      <c r="P255" s="1316"/>
      <c r="Q255" s="1316"/>
      <c r="R255" s="1795"/>
      <c r="S255" s="1316"/>
      <c r="T255" s="1316"/>
      <c r="U255" s="698"/>
      <c r="V255" s="1316"/>
      <c r="W255" s="1316"/>
      <c r="X255" s="1316"/>
      <c r="Y255" s="1316"/>
      <c r="Z255" s="1316"/>
      <c r="AA255" s="1791"/>
      <c r="AB255" s="720"/>
      <c r="AC255" s="720"/>
      <c r="AD255" s="720"/>
      <c r="AE255" s="720"/>
    </row>
    <row s="8844" customFormat="1" customHeight="1" ht="11.25">
      <c r="A256" s="1142"/>
      <c r="B256" s="1795"/>
      <c r="C256" s="1795"/>
      <c r="D256" s="505"/>
      <c r="K256" s="1316"/>
      <c r="L256" s="1795"/>
      <c r="M256" s="1795"/>
      <c r="N256" s="1316"/>
      <c r="O256" s="1316"/>
      <c r="P256" s="1316"/>
      <c r="Q256" s="1316"/>
      <c r="R256" s="1795"/>
      <c r="S256" s="1316"/>
      <c r="T256" s="1316"/>
      <c r="U256" s="698"/>
      <c r="V256" s="1316"/>
      <c r="W256" s="1316"/>
      <c r="X256" s="1316"/>
      <c r="Y256" s="1316"/>
      <c r="Z256" s="1316"/>
      <c r="AA256" s="1791"/>
      <c r="AB256" s="720"/>
      <c r="AC256" s="720"/>
      <c r="AD256" s="720"/>
      <c r="AE256" s="720"/>
    </row>
    <row s="8844" customFormat="1" customHeight="1" ht="11.25">
      <c r="A257" s="1142"/>
      <c r="B257" s="1795"/>
      <c r="C257" s="1795"/>
      <c r="D257" s="505"/>
      <c r="K257" s="1316"/>
      <c r="L257" s="1795"/>
      <c r="M257" s="1795"/>
      <c r="N257" s="1316"/>
      <c r="O257" s="1316"/>
      <c r="P257" s="1316"/>
      <c r="Q257" s="1316"/>
      <c r="R257" s="1795"/>
      <c r="S257" s="1316"/>
      <c r="T257" s="1316"/>
      <c r="U257" s="698"/>
      <c r="V257" s="1316"/>
      <c r="W257" s="1316"/>
      <c r="X257" s="1316"/>
      <c r="Y257" s="1316"/>
      <c r="Z257" s="1316"/>
      <c r="AA257" s="1791"/>
      <c r="AB257" s="720"/>
      <c r="AC257" s="720"/>
      <c r="AD257" s="720"/>
      <c r="AE257" s="720"/>
    </row>
    <row s="8844" customFormat="1" customHeight="1" ht="11.25">
      <c r="A258" s="1142"/>
      <c r="B258" s="1795"/>
      <c r="C258" s="1795"/>
      <c r="D258" s="505"/>
      <c r="K258" s="1316"/>
      <c r="L258" s="1795"/>
      <c r="M258" s="1795"/>
      <c r="N258" s="1316"/>
      <c r="O258" s="1316"/>
      <c r="P258" s="1316"/>
      <c r="Q258" s="1316"/>
      <c r="R258" s="1795"/>
      <c r="S258" s="1316"/>
      <c r="T258" s="1316"/>
      <c r="U258" s="698"/>
      <c r="V258" s="1316"/>
      <c r="W258" s="1316"/>
      <c r="X258" s="1316"/>
      <c r="Y258" s="1316"/>
      <c r="Z258" s="1316"/>
      <c r="AA258" s="1791"/>
      <c r="AB258" s="720"/>
      <c r="AC258" s="720"/>
      <c r="AD258" s="720"/>
      <c r="AE258" s="720"/>
    </row>
    <row s="8844" customFormat="1" customHeight="1" ht="11.25">
      <c r="A259" s="1142"/>
      <c r="B259" s="1795"/>
      <c r="C259" s="1795"/>
      <c r="D259" s="505"/>
      <c r="K259" s="1316"/>
      <c r="L259" s="1795"/>
      <c r="M259" s="1795"/>
      <c r="N259" s="1316"/>
      <c r="O259" s="1316"/>
      <c r="P259" s="1316"/>
      <c r="Q259" s="1316"/>
      <c r="R259" s="1795"/>
      <c r="S259" s="1316"/>
      <c r="T259" s="1316"/>
      <c r="U259" s="698"/>
      <c r="V259" s="1316"/>
      <c r="W259" s="1316"/>
      <c r="X259" s="1316"/>
      <c r="Y259" s="1316"/>
      <c r="Z259" s="1316"/>
      <c r="AA259" s="1791"/>
      <c r="AB259" s="720"/>
      <c r="AC259" s="720"/>
      <c r="AD259" s="720"/>
      <c r="AE259" s="720"/>
    </row>
    <row s="8844" customFormat="1" customHeight="1" ht="11.25">
      <c r="A260" s="1142"/>
      <c r="B260" s="1795"/>
      <c r="C260" s="1795"/>
      <c r="D260" s="505"/>
      <c r="K260" s="1316"/>
      <c r="L260" s="1795"/>
      <c r="M260" s="1795"/>
      <c r="N260" s="1316"/>
      <c r="O260" s="1316"/>
      <c r="P260" s="1316"/>
      <c r="Q260" s="1316"/>
      <c r="R260" s="1795"/>
      <c r="S260" s="1316"/>
      <c r="T260" s="1316"/>
      <c r="U260" s="698"/>
      <c r="V260" s="1316"/>
      <c r="W260" s="1316"/>
      <c r="X260" s="1316"/>
      <c r="Y260" s="1316"/>
      <c r="Z260" s="1316"/>
      <c r="AA260" s="1791"/>
      <c r="AB260" s="720"/>
      <c r="AC260" s="720"/>
      <c r="AD260" s="720"/>
      <c r="AE260" s="720"/>
    </row>
    <row s="8844" customFormat="1" customHeight="1" ht="11.25">
      <c r="A261" s="1142"/>
      <c r="B261" s="1795"/>
      <c r="C261" s="1795"/>
      <c r="D261" s="505"/>
      <c r="K261" s="1316"/>
      <c r="L261" s="1795"/>
      <c r="M261" s="1795"/>
      <c r="N261" s="1316"/>
      <c r="O261" s="1316"/>
      <c r="P261" s="1316"/>
      <c r="Q261" s="1316"/>
      <c r="R261" s="1795"/>
      <c r="S261" s="1316"/>
      <c r="T261" s="1316"/>
      <c r="U261" s="698"/>
      <c r="V261" s="1316"/>
      <c r="W261" s="1316"/>
      <c r="X261" s="1316"/>
      <c r="Y261" s="1316"/>
      <c r="Z261" s="1316"/>
      <c r="AA261" s="1791"/>
      <c r="AB261" s="720"/>
      <c r="AC261" s="720"/>
      <c r="AD261" s="720"/>
      <c r="AE261" s="720"/>
    </row>
    <row s="8844" customFormat="1" customHeight="1" ht="11.25">
      <c r="A262" s="1142"/>
      <c r="B262" s="1795"/>
      <c r="C262" s="1795"/>
      <c r="D262" s="505"/>
      <c r="K262" s="1316"/>
      <c r="L262" s="1795"/>
      <c r="M262" s="1795"/>
      <c r="N262" s="1316"/>
      <c r="O262" s="1316"/>
      <c r="P262" s="1316"/>
      <c r="Q262" s="1316"/>
      <c r="R262" s="1795"/>
      <c r="S262" s="1316"/>
      <c r="T262" s="1316"/>
      <c r="U262" s="698"/>
      <c r="V262" s="1316"/>
      <c r="W262" s="1316"/>
      <c r="X262" s="1316"/>
      <c r="Y262" s="1316"/>
      <c r="Z262" s="1316"/>
      <c r="AA262" s="1791"/>
      <c r="AB262" s="720"/>
      <c r="AC262" s="720"/>
      <c r="AD262" s="720"/>
      <c r="AE262" s="720"/>
    </row>
    <row s="8844" customFormat="1" customHeight="1" ht="11.25">
      <c r="A263" s="1142"/>
      <c r="B263" s="1795"/>
      <c r="C263" s="1795"/>
      <c r="D263" s="505"/>
      <c r="K263" s="1316"/>
      <c r="L263" s="1795"/>
      <c r="M263" s="1795"/>
      <c r="N263" s="1316"/>
      <c r="O263" s="1316"/>
      <c r="P263" s="1316"/>
      <c r="Q263" s="1316"/>
      <c r="R263" s="1795"/>
      <c r="S263" s="1316"/>
      <c r="T263" s="1316"/>
      <c r="U263" s="698"/>
      <c r="V263" s="1316"/>
      <c r="W263" s="1316"/>
      <c r="X263" s="1316"/>
      <c r="Y263" s="1316"/>
      <c r="Z263" s="1316"/>
      <c r="AA263" s="1791"/>
      <c r="AB263" s="720"/>
      <c r="AC263" s="720"/>
      <c r="AD263" s="720"/>
      <c r="AE263" s="720"/>
    </row>
    <row s="8844" customFormat="1" customHeight="1" ht="11.25">
      <c r="A264" s="1142"/>
      <c r="B264" s="1795"/>
      <c r="C264" s="1795"/>
      <c r="D264" s="505"/>
      <c r="K264" s="1316"/>
      <c r="L264" s="1795"/>
      <c r="M264" s="1795"/>
      <c r="N264" s="1316"/>
      <c r="O264" s="1316"/>
      <c r="P264" s="1316"/>
      <c r="Q264" s="1316"/>
      <c r="R264" s="1795"/>
      <c r="S264" s="1316"/>
      <c r="T264" s="1316"/>
      <c r="U264" s="698"/>
      <c r="V264" s="1316"/>
      <c r="W264" s="1316"/>
      <c r="X264" s="1316"/>
      <c r="Y264" s="1316"/>
      <c r="Z264" s="1316"/>
      <c r="AA264" s="1791"/>
      <c r="AB264" s="720"/>
      <c r="AC264" s="720"/>
      <c r="AD264" s="720"/>
      <c r="AE264" s="720"/>
    </row>
    <row s="8844" customFormat="1" customHeight="1" ht="11.25">
      <c r="A265" s="1142"/>
      <c r="B265" s="1795"/>
      <c r="C265" s="1795"/>
      <c r="D265" s="505"/>
      <c r="K265" s="1316"/>
      <c r="L265" s="1795"/>
      <c r="M265" s="1795"/>
      <c r="N265" s="1316"/>
      <c r="O265" s="1316"/>
      <c r="P265" s="1316"/>
      <c r="Q265" s="1316"/>
      <c r="R265" s="1795"/>
      <c r="S265" s="1316"/>
      <c r="T265" s="1316"/>
      <c r="U265" s="698"/>
      <c r="V265" s="1316"/>
      <c r="W265" s="1316"/>
      <c r="X265" s="1316"/>
      <c r="Y265" s="1316"/>
      <c r="Z265" s="1316"/>
      <c r="AA265" s="1791"/>
      <c r="AB265" s="720"/>
      <c r="AC265" s="720"/>
      <c r="AD265" s="720"/>
      <c r="AE265" s="720"/>
    </row>
    <row s="8844" customFormat="1" customHeight="1" ht="11.25">
      <c r="A266" s="1142"/>
      <c r="B266" s="1795"/>
      <c r="C266" s="1795"/>
      <c r="D266" s="505"/>
      <c r="K266" s="1316"/>
      <c r="L266" s="1795"/>
      <c r="M266" s="1795"/>
      <c r="N266" s="1316"/>
      <c r="O266" s="1316"/>
      <c r="P266" s="1316"/>
      <c r="Q266" s="1316"/>
      <c r="R266" s="1795"/>
      <c r="S266" s="1316"/>
      <c r="T266" s="1316"/>
      <c r="U266" s="698"/>
      <c r="V266" s="1316"/>
      <c r="W266" s="1316"/>
      <c r="X266" s="1316"/>
      <c r="Y266" s="1316"/>
      <c r="Z266" s="1316"/>
      <c r="AA266" s="1791"/>
      <c r="AB266" s="720"/>
      <c r="AC266" s="720"/>
      <c r="AD266" s="720"/>
      <c r="AE266" s="720"/>
    </row>
    <row s="8844" customFormat="1" customHeight="1" ht="11.25">
      <c r="A267" s="1142"/>
      <c r="B267" s="1795"/>
      <c r="C267" s="1795"/>
      <c r="D267" s="505"/>
      <c r="K267" s="1316"/>
      <c r="L267" s="1795"/>
      <c r="M267" s="1795"/>
      <c r="N267" s="1316"/>
      <c r="O267" s="1316"/>
      <c r="P267" s="1316"/>
      <c r="Q267" s="1316"/>
      <c r="R267" s="1795"/>
      <c r="S267" s="1316"/>
      <c r="T267" s="1316"/>
      <c r="U267" s="698"/>
      <c r="V267" s="1316"/>
      <c r="W267" s="1316"/>
      <c r="X267" s="1316"/>
      <c r="Y267" s="1316"/>
      <c r="Z267" s="1316"/>
      <c r="AA267" s="1791"/>
      <c r="AB267" s="720"/>
      <c r="AC267" s="720"/>
      <c r="AD267" s="720"/>
      <c r="AE267" s="720"/>
    </row>
    <row s="8844" customFormat="1" customHeight="1" ht="11.25">
      <c r="A268" s="1142"/>
      <c r="B268" s="1795"/>
      <c r="C268" s="1795"/>
      <c r="D268" s="505"/>
      <c r="K268" s="1316"/>
      <c r="L268" s="1795"/>
      <c r="M268" s="1795"/>
      <c r="N268" s="1316"/>
      <c r="O268" s="1316"/>
      <c r="P268" s="1316"/>
      <c r="Q268" s="1316"/>
      <c r="R268" s="1795"/>
      <c r="S268" s="1316"/>
      <c r="T268" s="1316"/>
      <c r="U268" s="698"/>
      <c r="V268" s="1316"/>
      <c r="W268" s="1316"/>
      <c r="X268" s="1316"/>
      <c r="Y268" s="1316"/>
      <c r="Z268" s="1316"/>
      <c r="AA268" s="1791"/>
      <c r="AB268" s="720"/>
      <c r="AC268" s="720"/>
      <c r="AD268" s="720"/>
      <c r="AE268" s="720"/>
    </row>
    <row s="8844" customFormat="1" customHeight="1" ht="11.25">
      <c r="A269" s="1142"/>
      <c r="B269" s="1795"/>
      <c r="C269" s="1795"/>
      <c r="D269" s="505"/>
      <c r="K269" s="1316"/>
      <c r="L269" s="1795"/>
      <c r="M269" s="1795"/>
      <c r="N269" s="1316"/>
      <c r="O269" s="1316"/>
      <c r="P269" s="1316"/>
      <c r="Q269" s="1316"/>
      <c r="R269" s="1795"/>
      <c r="S269" s="1316"/>
      <c r="T269" s="1316"/>
      <c r="U269" s="698"/>
      <c r="V269" s="1316"/>
      <c r="W269" s="1316"/>
      <c r="X269" s="1316"/>
      <c r="Y269" s="1316"/>
      <c r="Z269" s="1316"/>
      <c r="AA269" s="1791"/>
      <c r="AB269" s="720"/>
      <c r="AC269" s="720"/>
      <c r="AD269" s="720"/>
      <c r="AE269" s="720"/>
    </row>
    <row s="8844" customFormat="1" customHeight="1" ht="11.25">
      <c r="A270" s="1142"/>
      <c r="B270" s="1795"/>
      <c r="C270" s="1795"/>
      <c r="D270" s="505"/>
      <c r="K270" s="1316"/>
      <c r="L270" s="1795"/>
      <c r="M270" s="1795"/>
      <c r="N270" s="1316"/>
      <c r="O270" s="1316"/>
      <c r="P270" s="1316"/>
      <c r="Q270" s="1316"/>
      <c r="R270" s="1795"/>
      <c r="S270" s="1316"/>
      <c r="T270" s="1316"/>
      <c r="U270" s="698"/>
      <c r="V270" s="1316"/>
      <c r="W270" s="1316"/>
      <c r="X270" s="1316"/>
      <c r="Y270" s="1316"/>
      <c r="Z270" s="1316"/>
      <c r="AA270" s="1791"/>
      <c r="AB270" s="720"/>
      <c r="AC270" s="720"/>
      <c r="AD270" s="720"/>
      <c r="AE270" s="720"/>
    </row>
    <row s="8844" customFormat="1" customHeight="1" ht="11.25">
      <c r="A271" s="1142"/>
      <c r="B271" s="1795"/>
      <c r="C271" s="1795"/>
      <c r="D271" s="505"/>
      <c r="K271" s="1316"/>
      <c r="L271" s="1795"/>
      <c r="M271" s="1795"/>
      <c r="N271" s="1316"/>
      <c r="O271" s="1316"/>
      <c r="P271" s="1316"/>
      <c r="Q271" s="1316"/>
      <c r="R271" s="1795"/>
      <c r="S271" s="1316"/>
      <c r="T271" s="1316"/>
      <c r="U271" s="698"/>
      <c r="V271" s="1316"/>
      <c r="W271" s="1316"/>
      <c r="X271" s="1316"/>
      <c r="Y271" s="1316"/>
      <c r="Z271" s="1316"/>
      <c r="AA271" s="1791"/>
      <c r="AB271" s="720"/>
      <c r="AC271" s="720"/>
      <c r="AD271" s="720"/>
      <c r="AE271" s="720"/>
    </row>
    <row s="8844" customFormat="1" customHeight="1" ht="11.25">
      <c r="A272" s="1142"/>
      <c r="B272" s="1795"/>
      <c r="C272" s="1795"/>
      <c r="D272" s="505"/>
      <c r="K272" s="1316"/>
      <c r="L272" s="1795"/>
      <c r="M272" s="1795"/>
      <c r="N272" s="1316"/>
      <c r="O272" s="1316"/>
      <c r="P272" s="1316"/>
      <c r="Q272" s="1316"/>
      <c r="R272" s="1795"/>
      <c r="S272" s="1316"/>
      <c r="T272" s="1316"/>
      <c r="U272" s="698"/>
      <c r="V272" s="1316"/>
      <c r="W272" s="1316"/>
      <c r="X272" s="1316"/>
      <c r="Y272" s="1316"/>
      <c r="Z272" s="1316"/>
      <c r="AA272" s="1791"/>
      <c r="AB272" s="720"/>
      <c r="AC272" s="720"/>
      <c r="AD272" s="720"/>
      <c r="AE272" s="720"/>
    </row>
    <row s="8844" customFormat="1" customHeight="1" ht="11.25">
      <c r="A273" s="1142"/>
      <c r="B273" s="1795"/>
      <c r="C273" s="1795"/>
      <c r="D273" s="505"/>
      <c r="K273" s="1316"/>
      <c r="L273" s="1795"/>
      <c r="M273" s="1795"/>
      <c r="N273" s="1316"/>
      <c r="O273" s="1316"/>
      <c r="P273" s="1316"/>
      <c r="Q273" s="1316"/>
      <c r="R273" s="1795"/>
      <c r="S273" s="1316"/>
      <c r="T273" s="1316"/>
      <c r="U273" s="698"/>
      <c r="V273" s="1316"/>
      <c r="W273" s="1316"/>
      <c r="X273" s="1316"/>
      <c r="Y273" s="1316"/>
      <c r="Z273" s="1316"/>
      <c r="AA273" s="1791"/>
      <c r="AB273" s="720"/>
      <c r="AC273" s="720"/>
      <c r="AD273" s="720"/>
      <c r="AE273" s="720"/>
    </row>
    <row s="8844" customFormat="1" customHeight="1" ht="11.25">
      <c r="A274" s="1142"/>
      <c r="B274" s="1795"/>
      <c r="C274" s="1795"/>
      <c r="D274" s="505"/>
      <c r="K274" s="1316"/>
      <c r="L274" s="1795"/>
      <c r="M274" s="1795"/>
      <c r="N274" s="1316"/>
      <c r="O274" s="1316"/>
      <c r="P274" s="1316"/>
      <c r="Q274" s="1316"/>
      <c r="R274" s="1795"/>
      <c r="S274" s="1316"/>
      <c r="T274" s="1316"/>
      <c r="U274" s="698"/>
      <c r="V274" s="1316"/>
      <c r="W274" s="1316"/>
      <c r="X274" s="1316"/>
      <c r="Y274" s="1316"/>
      <c r="Z274" s="1316"/>
      <c r="AA274" s="1791"/>
      <c r="AB274" s="720"/>
      <c r="AC274" s="720"/>
      <c r="AD274" s="720"/>
      <c r="AE274" s="720"/>
    </row>
    <row s="8844" customFormat="1" customHeight="1" ht="11.25">
      <c r="A275" s="1142"/>
      <c r="B275" s="1795"/>
      <c r="C275" s="1795"/>
      <c r="D275" s="505"/>
      <c r="K275" s="1316"/>
      <c r="L275" s="1795"/>
      <c r="M275" s="1795"/>
      <c r="N275" s="1316"/>
      <c r="O275" s="1316"/>
      <c r="P275" s="1316"/>
      <c r="Q275" s="1316"/>
      <c r="R275" s="1795"/>
      <c r="S275" s="1316"/>
      <c r="T275" s="1316"/>
      <c r="U275" s="698"/>
      <c r="V275" s="1316"/>
      <c r="W275" s="1316"/>
      <c r="X275" s="1316"/>
      <c r="Y275" s="1316"/>
      <c r="Z275" s="1316"/>
      <c r="AA275" s="1791"/>
      <c r="AB275" s="720"/>
      <c r="AC275" s="720"/>
      <c r="AD275" s="720"/>
      <c r="AE275" s="720"/>
    </row>
    <row s="8844" customFormat="1" customHeight="1" ht="11.25">
      <c r="A276" s="1142"/>
      <c r="B276" s="1795"/>
      <c r="C276" s="1795"/>
      <c r="D276" s="505"/>
      <c r="K276" s="1316"/>
      <c r="L276" s="1795"/>
      <c r="M276" s="1795"/>
      <c r="N276" s="1316"/>
      <c r="O276" s="1316"/>
      <c r="P276" s="1316"/>
      <c r="Q276" s="1316"/>
      <c r="R276" s="1795"/>
      <c r="S276" s="1316"/>
      <c r="T276" s="1316"/>
      <c r="U276" s="698"/>
      <c r="V276" s="1316"/>
      <c r="W276" s="1316"/>
      <c r="X276" s="1316"/>
      <c r="Y276" s="1316"/>
      <c r="Z276" s="1316"/>
      <c r="AA276" s="1791"/>
      <c r="AB276" s="720"/>
      <c r="AC276" s="720"/>
      <c r="AD276" s="720"/>
      <c r="AE276" s="720"/>
    </row>
    <row s="8844" customFormat="1" customHeight="1" ht="11.25">
      <c r="A277" s="1142"/>
      <c r="B277" s="1795"/>
      <c r="C277" s="1795"/>
      <c r="D277" s="505"/>
      <c r="K277" s="1316"/>
      <c r="L277" s="1795"/>
      <c r="M277" s="1795"/>
      <c r="N277" s="1316"/>
      <c r="O277" s="1316"/>
      <c r="P277" s="1316"/>
      <c r="Q277" s="1316"/>
      <c r="R277" s="1795"/>
      <c r="S277" s="1316"/>
      <c r="T277" s="1316"/>
      <c r="U277" s="698"/>
      <c r="V277" s="1316"/>
      <c r="W277" s="1316"/>
      <c r="X277" s="1316"/>
      <c r="Y277" s="1316"/>
      <c r="Z277" s="1316"/>
      <c r="AA277" s="1791"/>
      <c r="AB277" s="720"/>
      <c r="AC277" s="720"/>
      <c r="AD277" s="720"/>
      <c r="AE277" s="720"/>
    </row>
    <row s="8844" customFormat="1" customHeight="1" ht="11.25">
      <c r="A278" s="1142"/>
      <c r="B278" s="1795"/>
      <c r="C278" s="1795"/>
      <c r="D278" s="505"/>
      <c r="K278" s="1316"/>
      <c r="L278" s="1795"/>
      <c r="M278" s="1795"/>
      <c r="N278" s="1316"/>
      <c r="O278" s="1316"/>
      <c r="P278" s="1316"/>
      <c r="Q278" s="1316"/>
      <c r="R278" s="1795"/>
      <c r="S278" s="1316"/>
      <c r="T278" s="1316"/>
      <c r="U278" s="698"/>
      <c r="V278" s="1316"/>
      <c r="W278" s="1316"/>
      <c r="X278" s="1316"/>
      <c r="Y278" s="1316"/>
      <c r="Z278" s="1316"/>
      <c r="AA278" s="1791"/>
      <c r="AB278" s="720"/>
      <c r="AC278" s="720"/>
      <c r="AD278" s="720"/>
      <c r="AE278" s="720"/>
    </row>
    <row s="8844" customFormat="1" customHeight="1" ht="11.25">
      <c r="A279" s="1142"/>
      <c r="B279" s="1795"/>
      <c r="C279" s="1795"/>
      <c r="D279" s="505"/>
      <c r="K279" s="1316"/>
      <c r="L279" s="1795"/>
      <c r="M279" s="1795"/>
      <c r="N279" s="1316"/>
      <c r="O279" s="1316"/>
      <c r="P279" s="1316"/>
      <c r="Q279" s="1316"/>
      <c r="R279" s="1795"/>
      <c r="S279" s="1316"/>
      <c r="T279" s="1316"/>
      <c r="U279" s="698"/>
      <c r="V279" s="1316"/>
      <c r="W279" s="1316"/>
      <c r="X279" s="1316"/>
      <c r="Y279" s="1316"/>
      <c r="Z279" s="1316"/>
      <c r="AA279" s="1791"/>
      <c r="AB279" s="720"/>
      <c r="AC279" s="720"/>
      <c r="AD279" s="720"/>
      <c r="AE279" s="720"/>
    </row>
    <row s="8844" customFormat="1" customHeight="1" ht="11.25">
      <c r="A280" s="1142"/>
      <c r="B280" s="1795"/>
      <c r="C280" s="1795"/>
      <c r="D280" s="505"/>
      <c r="K280" s="1316"/>
      <c r="L280" s="1795"/>
      <c r="M280" s="1795"/>
      <c r="N280" s="1316"/>
      <c r="O280" s="1316"/>
      <c r="P280" s="1316"/>
      <c r="Q280" s="1316"/>
      <c r="R280" s="1795"/>
      <c r="S280" s="1316"/>
      <c r="T280" s="1316"/>
      <c r="U280" s="698"/>
      <c r="V280" s="1316"/>
      <c r="W280" s="1316"/>
      <c r="X280" s="1316"/>
      <c r="Y280" s="1316"/>
      <c r="Z280" s="1316"/>
      <c r="AA280" s="1791"/>
      <c r="AB280" s="720"/>
      <c r="AC280" s="720"/>
      <c r="AD280" s="720"/>
      <c r="AE280" s="720"/>
    </row>
    <row s="8844" customFormat="1" customHeight="1" ht="11.25">
      <c r="A281" s="1142"/>
      <c r="B281" s="1795"/>
      <c r="C281" s="1795"/>
      <c r="D281" s="505"/>
      <c r="K281" s="1316"/>
      <c r="L281" s="1795"/>
      <c r="M281" s="1795"/>
      <c r="N281" s="1316"/>
      <c r="O281" s="1316"/>
      <c r="P281" s="1316"/>
      <c r="Q281" s="1316"/>
      <c r="R281" s="1795"/>
      <c r="S281" s="1316"/>
      <c r="T281" s="1316"/>
      <c r="U281" s="698"/>
      <c r="V281" s="1316"/>
      <c r="W281" s="1316"/>
      <c r="X281" s="1316"/>
      <c r="Y281" s="1316"/>
      <c r="Z281" s="1316"/>
      <c r="AA281" s="1791"/>
      <c r="AB281" s="720"/>
      <c r="AC281" s="720"/>
      <c r="AD281" s="720"/>
      <c r="AE281" s="720"/>
    </row>
    <row s="8844" customFormat="1" customHeight="1" ht="11.25">
      <c r="A282" s="1142"/>
      <c r="B282" s="1795"/>
      <c r="C282" s="1795"/>
      <c r="D282" s="505"/>
      <c r="K282" s="1316"/>
      <c r="L282" s="1795"/>
      <c r="M282" s="1795"/>
      <c r="N282" s="1316"/>
      <c r="O282" s="1316"/>
      <c r="P282" s="1316"/>
      <c r="Q282" s="1316"/>
      <c r="R282" s="1795"/>
      <c r="S282" s="1316"/>
      <c r="T282" s="1316"/>
      <c r="U282" s="698"/>
      <c r="V282" s="1316"/>
      <c r="W282" s="1316"/>
      <c r="X282" s="1316"/>
      <c r="Y282" s="1316"/>
      <c r="Z282" s="1316"/>
      <c r="AA282" s="1791"/>
      <c r="AB282" s="720"/>
      <c r="AC282" s="720"/>
      <c r="AD282" s="720"/>
      <c r="AE282" s="720"/>
    </row>
    <row s="8844" customFormat="1" customHeight="1" ht="11.25">
      <c r="A283" s="1142"/>
      <c r="B283" s="1795"/>
      <c r="C283" s="1795"/>
      <c r="D283" s="505"/>
      <c r="K283" s="1316"/>
      <c r="L283" s="1795"/>
      <c r="M283" s="1795"/>
      <c r="N283" s="1316"/>
      <c r="O283" s="1316"/>
      <c r="P283" s="1316"/>
      <c r="Q283" s="1316"/>
      <c r="R283" s="1795"/>
      <c r="S283" s="1316"/>
      <c r="T283" s="1316"/>
      <c r="U283" s="698"/>
      <c r="V283" s="1316"/>
      <c r="W283" s="1316"/>
      <c r="X283" s="1316"/>
      <c r="Y283" s="1316"/>
      <c r="Z283" s="1316"/>
      <c r="AA283" s="1791"/>
      <c r="AB283" s="720"/>
      <c r="AC283" s="720"/>
      <c r="AD283" s="720"/>
      <c r="AE283" s="720"/>
    </row>
    <row s="8844" customFormat="1" customHeight="1" ht="11.25">
      <c r="A284" s="1142"/>
      <c r="B284" s="1795"/>
      <c r="C284" s="1795"/>
      <c r="D284" s="505"/>
      <c r="K284" s="1316"/>
      <c r="L284" s="1795"/>
      <c r="M284" s="1795"/>
      <c r="N284" s="1316"/>
      <c r="O284" s="1316"/>
      <c r="P284" s="1316"/>
      <c r="Q284" s="1316"/>
      <c r="R284" s="1795"/>
      <c r="S284" s="1316"/>
      <c r="T284" s="1316"/>
      <c r="U284" s="698"/>
      <c r="V284" s="1316"/>
      <c r="W284" s="1316"/>
      <c r="X284" s="1316"/>
      <c r="Y284" s="1316"/>
      <c r="Z284" s="1316"/>
      <c r="AA284" s="1791"/>
      <c r="AB284" s="720"/>
      <c r="AC284" s="720"/>
      <c r="AD284" s="720"/>
      <c r="AE284" s="720"/>
    </row>
    <row s="8844" customFormat="1" customHeight="1" ht="11.25">
      <c r="A285" s="1142"/>
      <c r="B285" s="1795"/>
      <c r="C285" s="1795"/>
      <c r="D285" s="505"/>
      <c r="K285" s="1316"/>
      <c r="L285" s="1795"/>
      <c r="M285" s="1795"/>
      <c r="N285" s="1316"/>
      <c r="O285" s="1316"/>
      <c r="P285" s="1316"/>
      <c r="Q285" s="1316"/>
      <c r="R285" s="1795"/>
      <c r="S285" s="1316"/>
      <c r="T285" s="1316"/>
      <c r="U285" s="698"/>
      <c r="V285" s="1316"/>
      <c r="W285" s="1316"/>
      <c r="X285" s="1316"/>
      <c r="Y285" s="1316"/>
      <c r="Z285" s="1316"/>
      <c r="AA285" s="1791"/>
      <c r="AB285" s="720"/>
      <c r="AC285" s="720"/>
      <c r="AD285" s="720"/>
      <c r="AE285" s="720"/>
    </row>
    <row s="8844" customFormat="1" customHeight="1" ht="11.25">
      <c r="A286" s="1142"/>
      <c r="B286" s="1795"/>
      <c r="C286" s="1795"/>
      <c r="D286" s="505"/>
      <c r="K286" s="1316"/>
      <c r="L286" s="1795"/>
      <c r="M286" s="1795"/>
      <c r="N286" s="1316"/>
      <c r="O286" s="1316"/>
      <c r="P286" s="1316"/>
      <c r="Q286" s="1316"/>
      <c r="R286" s="1795"/>
      <c r="S286" s="1316"/>
      <c r="T286" s="1316"/>
      <c r="U286" s="698"/>
      <c r="V286" s="1316"/>
      <c r="W286" s="1316"/>
      <c r="X286" s="1316"/>
      <c r="Y286" s="1316"/>
      <c r="Z286" s="1316"/>
      <c r="AA286" s="1791"/>
      <c r="AB286" s="720"/>
      <c r="AC286" s="720"/>
      <c r="AD286" s="720"/>
      <c r="AE286" s="720"/>
    </row>
    <row s="8844" customFormat="1" customHeight="1" ht="11.25">
      <c r="A287" s="1142"/>
      <c r="B287" s="1795"/>
      <c r="C287" s="1795"/>
      <c r="D287" s="505"/>
      <c r="K287" s="1316"/>
      <c r="L287" s="1795"/>
      <c r="M287" s="1795"/>
      <c r="N287" s="1316"/>
      <c r="O287" s="1316"/>
      <c r="P287" s="1316"/>
      <c r="Q287" s="1316"/>
      <c r="R287" s="1795"/>
      <c r="S287" s="1316"/>
      <c r="T287" s="1316"/>
      <c r="U287" s="698"/>
      <c r="V287" s="1316"/>
      <c r="W287" s="1316"/>
      <c r="X287" s="1316"/>
      <c r="Y287" s="1316"/>
      <c r="Z287" s="1316"/>
      <c r="AA287" s="1791"/>
      <c r="AB287" s="720"/>
      <c r="AC287" s="720"/>
      <c r="AD287" s="720"/>
      <c r="AE287" s="720"/>
    </row>
    <row s="8844" customFormat="1" customHeight="1" ht="11.25">
      <c r="A288" s="1142"/>
      <c r="B288" s="1795"/>
      <c r="C288" s="1795"/>
      <c r="D288" s="505"/>
      <c r="K288" s="1316"/>
      <c r="L288" s="1795"/>
      <c r="M288" s="1795"/>
      <c r="N288" s="1316"/>
      <c r="O288" s="1316"/>
      <c r="P288" s="1316"/>
      <c r="Q288" s="1316"/>
      <c r="R288" s="1795"/>
      <c r="S288" s="1316"/>
      <c r="T288" s="1316"/>
      <c r="U288" s="698"/>
      <c r="V288" s="1316"/>
      <c r="W288" s="1316"/>
      <c r="X288" s="1316"/>
      <c r="Y288" s="1316"/>
      <c r="Z288" s="1316"/>
      <c r="AA288" s="1791"/>
      <c r="AB288" s="720"/>
      <c r="AC288" s="720"/>
      <c r="AD288" s="720"/>
      <c r="AE288" s="720"/>
    </row>
    <row r="292" customHeight="1" ht="11.25">
      <c r="A292" s="1145"/>
      <c r="B292" s="1790"/>
      <c r="D292" s="1790"/>
      <c r="K292" s="1790"/>
      <c r="N292" s="1790"/>
      <c r="O292" s="1790"/>
      <c r="P292" s="1790"/>
      <c r="Q292" s="1790"/>
      <c r="S292" s="1790"/>
      <c r="T292" s="1790"/>
      <c r="U292" s="1790"/>
      <c r="V292" s="1790"/>
      <c r="W292" s="1790"/>
      <c r="X292" s="1790"/>
      <c r="Y292" s="1790"/>
      <c r="Z292" s="1790"/>
      <c r="AA292" s="1790"/>
      <c r="AB292" s="1790"/>
      <c r="AC292" s="1790"/>
      <c r="AD292" s="1790"/>
      <c r="AE292" s="1790"/>
    </row>
    <row customHeight="1" ht="11.25">
      <c r="A293" s="1145"/>
      <c r="B293" s="1790"/>
      <c r="D293" s="1790"/>
      <c r="K293" s="1790"/>
      <c r="N293" s="1790"/>
      <c r="O293" s="1790"/>
      <c r="P293" s="1790"/>
      <c r="Q293" s="1790"/>
      <c r="S293" s="1790"/>
      <c r="T293" s="1790"/>
      <c r="U293" s="1790"/>
      <c r="V293" s="1790"/>
      <c r="W293" s="1790"/>
      <c r="X293" s="1790"/>
      <c r="Y293" s="1790"/>
      <c r="Z293" s="1790"/>
      <c r="AA293" s="1790"/>
      <c r="AB293" s="1790"/>
      <c r="AC293" s="1790"/>
      <c r="AD293" s="1790"/>
      <c r="AE293" s="1790"/>
    </row>
    <row customHeight="1" ht="11.25">
      <c r="A294" s="1145"/>
      <c r="B294" s="1790"/>
      <c r="D294" s="1790"/>
      <c r="K294" s="1790"/>
      <c r="N294" s="1790"/>
      <c r="O294" s="1790"/>
      <c r="P294" s="1790"/>
      <c r="Q294" s="1790"/>
      <c r="S294" s="1790"/>
      <c r="T294" s="1790"/>
      <c r="U294" s="1790"/>
      <c r="V294" s="1790"/>
      <c r="W294" s="1790"/>
      <c r="X294" s="1790"/>
      <c r="Y294" s="1790"/>
      <c r="Z294" s="1790"/>
      <c r="AA294" s="1790"/>
      <c r="AB294" s="1790"/>
      <c r="AC294" s="1790"/>
      <c r="AD294" s="1790"/>
      <c r="AE294" s="1790"/>
    </row>
    <row customHeight="1" ht="11.25">
      <c r="A295" s="1145"/>
      <c r="B295" s="1790"/>
      <c r="D295" s="1790"/>
      <c r="K295" s="1790"/>
      <c r="N295" s="1790"/>
      <c r="O295" s="1790"/>
      <c r="P295" s="1790"/>
      <c r="Q295" s="1790"/>
      <c r="S295" s="1790"/>
      <c r="T295" s="1790"/>
      <c r="U295" s="1790"/>
      <c r="V295" s="1790"/>
      <c r="W295" s="1790"/>
      <c r="X295" s="1790"/>
      <c r="Y295" s="1790"/>
      <c r="Z295" s="1790"/>
      <c r="AA295" s="1790"/>
      <c r="AB295" s="1790"/>
      <c r="AC295" s="1790"/>
      <c r="AD295" s="1790"/>
      <c r="AE295" s="1790"/>
    </row>
    <row customHeight="1" ht="11.25">
      <c r="A296" s="1145"/>
      <c r="B296" s="1790"/>
      <c r="D296" s="1790"/>
      <c r="K296" s="1790"/>
      <c r="N296" s="1790"/>
      <c r="O296" s="1790"/>
      <c r="P296" s="1790"/>
      <c r="Q296" s="1790"/>
      <c r="S296" s="1790"/>
      <c r="T296" s="1790"/>
      <c r="U296" s="1790"/>
      <c r="V296" s="1790"/>
      <c r="W296" s="1790"/>
      <c r="X296" s="1790"/>
      <c r="Y296" s="1790"/>
      <c r="Z296" s="1790"/>
      <c r="AA296" s="1790"/>
      <c r="AB296" s="1790"/>
      <c r="AC296" s="1790"/>
      <c r="AD296" s="1790"/>
      <c r="AE296" s="1790"/>
    </row>
    <row customHeight="1" ht="11.25">
      <c r="A297" s="1145"/>
      <c r="B297" s="1790"/>
      <c r="D297" s="1790"/>
      <c r="K297" s="1790"/>
      <c r="N297" s="1790"/>
      <c r="O297" s="1790"/>
      <c r="P297" s="1790"/>
      <c r="Q297" s="1790"/>
      <c r="S297" s="1790"/>
      <c r="T297" s="1790"/>
      <c r="U297" s="1790"/>
      <c r="V297" s="1790"/>
      <c r="W297" s="1790"/>
      <c r="X297" s="1790"/>
      <c r="Y297" s="1790"/>
      <c r="Z297" s="1790"/>
      <c r="AA297" s="1790"/>
      <c r="AB297" s="1790"/>
      <c r="AC297" s="1790"/>
      <c r="AD297" s="1790"/>
      <c r="AE297" s="1790"/>
    </row>
    <row customHeight="1" ht="11.25">
      <c r="A298" s="1145"/>
      <c r="B298" s="1790"/>
      <c r="D298" s="1790"/>
      <c r="K298" s="1790"/>
      <c r="N298" s="1790"/>
      <c r="O298" s="1790"/>
      <c r="P298" s="1790"/>
      <c r="Q298" s="1790"/>
      <c r="S298" s="1790"/>
      <c r="T298" s="1790"/>
      <c r="U298" s="1790"/>
      <c r="V298" s="1790"/>
      <c r="W298" s="1790"/>
      <c r="X298" s="1790"/>
      <c r="Y298" s="1790"/>
      <c r="Z298" s="1790"/>
      <c r="AA298" s="1790"/>
      <c r="AB298" s="1790"/>
      <c r="AC298" s="1790"/>
      <c r="AD298" s="1790"/>
      <c r="AE298" s="1790"/>
    </row>
    <row customHeight="1" ht="11.25">
      <c r="A299" s="1145"/>
      <c r="B299" s="1790"/>
      <c r="D299" s="1790"/>
      <c r="K299" s="1790"/>
      <c r="N299" s="1790"/>
      <c r="O299" s="1790"/>
      <c r="P299" s="1790"/>
      <c r="Q299" s="1790"/>
      <c r="S299" s="1790"/>
      <c r="T299" s="1790"/>
      <c r="U299" s="1790"/>
      <c r="V299" s="1790"/>
      <c r="W299" s="1790"/>
      <c r="X299" s="1790"/>
      <c r="Y299" s="1790"/>
      <c r="Z299" s="1790"/>
      <c r="AA299" s="1790"/>
      <c r="AB299" s="1790"/>
      <c r="AC299" s="1790"/>
      <c r="AD299" s="1790"/>
      <c r="AE299" s="1790"/>
    </row>
    <row customHeight="1" ht="11.25">
      <c r="A300" s="1145"/>
      <c r="B300" s="1790"/>
      <c r="D300" s="1790"/>
      <c r="K300" s="1790"/>
      <c r="N300" s="1790"/>
      <c r="O300" s="1790"/>
      <c r="P300" s="1790"/>
      <c r="Q300" s="1790"/>
      <c r="S300" s="1790"/>
      <c r="T300" s="1790"/>
      <c r="U300" s="1790"/>
      <c r="V300" s="1790"/>
      <c r="W300" s="1790"/>
      <c r="X300" s="1790"/>
      <c r="Y300" s="1790"/>
      <c r="Z300" s="1790"/>
      <c r="AA300" s="1790"/>
      <c r="AB300" s="1790"/>
      <c r="AC300" s="1790"/>
      <c r="AD300" s="1790"/>
      <c r="AE300" s="1790"/>
    </row>
    <row customHeight="1" ht="11.25">
      <c r="A301" s="1145"/>
      <c r="B301" s="1790"/>
      <c r="D301" s="1790"/>
      <c r="K301" s="1790"/>
      <c r="N301" s="1790"/>
      <c r="O301" s="1790"/>
      <c r="P301" s="1790"/>
      <c r="Q301" s="1790"/>
      <c r="S301" s="1790"/>
      <c r="T301" s="1790"/>
      <c r="U301" s="1790"/>
      <c r="V301" s="1790"/>
      <c r="W301" s="1790"/>
      <c r="X301" s="1790"/>
      <c r="Y301" s="1790"/>
      <c r="Z301" s="1790"/>
      <c r="AA301" s="1790"/>
      <c r="AB301" s="1790"/>
      <c r="AC301" s="1790"/>
      <c r="AD301" s="1790"/>
      <c r="AE301" s="1790"/>
    </row>
    <row customHeight="1" ht="11.25">
      <c r="A302" s="1145"/>
      <c r="B302" s="1790"/>
      <c r="D302" s="1790"/>
      <c r="K302" s="1790"/>
      <c r="N302" s="1790"/>
      <c r="O302" s="1790"/>
      <c r="P302" s="1790"/>
      <c r="Q302" s="1790"/>
      <c r="S302" s="1790"/>
      <c r="T302" s="1790"/>
      <c r="U302" s="1790"/>
      <c r="V302" s="1790"/>
      <c r="W302" s="1790"/>
      <c r="X302" s="1790"/>
      <c r="Y302" s="1790"/>
      <c r="Z302" s="1790"/>
      <c r="AA302" s="1790"/>
      <c r="AB302" s="1790"/>
      <c r="AC302" s="1790"/>
      <c r="AD302" s="1790"/>
      <c r="AE302" s="1790"/>
    </row>
  </sheetData>
  <sheetProtection formatColumns="0" formatRows="0" autoFilter="0" sort="0" insertRows="0" insertColumns="1" deleteRows="0" deleteColumns="0"/>
  <mergeCells count="18">
    <mergeCell ref="B2:B7"/>
    <mergeCell ref="J25:J29"/>
    <mergeCell ref="F25:G25"/>
    <mergeCell ref="F26:G26"/>
    <mergeCell ref="F27:G27"/>
    <mergeCell ref="E28:G28"/>
    <mergeCell ref="A120:A130"/>
    <mergeCell ref="E21:I21"/>
    <mergeCell ref="E22:I22"/>
    <mergeCell ref="A33:A40"/>
    <mergeCell ref="B34:B39"/>
    <mergeCell ref="A41:A43"/>
    <mergeCell ref="A67:A68"/>
    <mergeCell ref="A82:A90"/>
    <mergeCell ref="A91:A95"/>
    <mergeCell ref="A96:A98"/>
    <mergeCell ref="A99:A111"/>
    <mergeCell ref="A115:A119"/>
  </mergeCells>
  <dataValidations count="12">
    <dataValidation allowBlank="1" showInputMessage="1" showErrorMessage="1" prompt="Для выбора выполните двойной щелчок левой клавиши мыши по соответствующей ячейке." sqref="H68:I68 H66:I66"/>
    <dataValidation type="decimal" allowBlank="1" showErrorMessage="1" errorTitle="Ошибка" error="Введите значение от 0 до 100%" sqref="H90:I90 H95:I95">
      <formula1>0</formula1>
      <formula2>100</formula2>
    </dataValidation>
    <dataValidation type="decimal" allowBlank="1" showErrorMessage="1" errorTitle="Ошибка" error="Допускается ввод только действительных чисел!" sqref="H123:I123 H120:I120 H126:I126 H75:I80">
      <formula1>-9.99999999999999E+37</formula1>
      <formula2>9.99999999999999E+37</formula2>
    </dataValidation>
    <dataValidation type="decimal" allowBlank="1" showErrorMessage="1" errorTitle="Ошибка" error="Допускается ввод только действительных чисел!" sqref="H72:I73">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81:I81 H128:I130">
      <formula1>900</formula1>
    </dataValidation>
    <dataValidation type="list" allowBlank="1" showInputMessage="1" showErrorMessage="1" errorTitle="Ошибка" error="Выберите значение из списка" prompt="Выберите значение из списка" sqref="G93">
      <formula1>kind_of_volume_te_unit</formula1>
    </dataValidation>
    <dataValidation type="list" allowBlank="1" showInputMessage="1" showErrorMessage="1" errorTitle="Ошибка" error="Выберите значение из списка" prompt="Выберите значение из списка" sqref="F2">
      <formula1>kind_of_fuels</formula1>
    </dataValidation>
    <dataValidation type="textLength" operator="lessThanOrEqual" allowBlank="1" showInputMessage="1" showErrorMessage="1" errorTitle="Ошибка" error="Допускается ввод не более 900 символов!" prompt="Введите источник тепловой энергии" sqref="1:1">
      <formula1>900</formula1>
    </dataValidation>
    <dataValidation type="decimal" allowBlank="1" showErrorMessage="1" errorTitle="Ошибка" error="Допускается ввод только неотрицательных чисел!" sqref="H67:I67 H69:I69 H91:I94 H127:I127 H30:I30 H32:I33 H35:I38 H40:I65 H82:I86 H17:I17 H9:I13 H15:I15 H96:I119 H74:I74 H88:I89 H4:I6">
      <formula1>0</formula1>
      <formula2>9.99999999999999E+23</formula2>
    </dataValidation>
    <dataValidation type="textLength" operator="lessThanOrEqual" allowBlank="1" showInputMessage="1" showErrorMessage="1" errorTitle="Ошибка" error="Допускается ввод не более 900 символов!" sqref="G4 H34:I34 H39:I39">
      <formula1>900</formula1>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F12 F10 H70:I70">
      <formula1>900</formula1>
    </dataValidation>
    <dataValidation type="list" allowBlank="1" showInputMessage="1" showErrorMessage="1" errorTitle="Ошибка" error="Выберите значение из списка" prompt="Выберите значение из списка" sqref="H7:I7">
      <formula1>kind_of_purchase_method</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8659014-C276-717F-C54A-E3B43EBF8317}" mc:Ignorable="x14ac xr xr2 xr3">
  <sheetPr>
    <tabColor theme="9" tint="-0.25"/>
  </sheetPr>
  <dimension ref="A1:CE28"/>
  <sheetViews>
    <sheetView topLeftCell="A1" showGridLines="0" zoomScale="90" workbookViewId="0">
      <selection activeCell="A1" sqref="A1"/>
    </sheetView>
  </sheetViews>
  <sheetFormatPr defaultColWidth="9.140625" customHeight="1" defaultRowHeight="11.25"/>
  <cols>
    <col min="1" max="1" style="9398" width="14.7109375" hidden="1" customWidth="1"/>
    <col min="2" max="2" style="8573" width="17.00390625" hidden="1" customWidth="1"/>
    <col min="3" max="3" style="8576" width="3.7109375" customWidth="1"/>
    <col min="4" max="4" style="8576" width="1.8515625" hidden="1" customWidth="1"/>
    <col min="5" max="6" style="8576" width="7.7109375" customWidth="1"/>
    <col min="7" max="7" style="8576" width="29.7109375" customWidth="1"/>
    <col min="8" max="8" style="8576" width="3.7109375" customWidth="1"/>
    <col min="9" max="9" style="8576" width="5.421875" customWidth="1"/>
    <col min="10" max="10" style="8576" width="24.57421875" customWidth="1"/>
    <col min="11" max="11" style="8576" width="24.421875" customWidth="1"/>
    <col min="12" max="12" style="8576" width="3.7109375" customWidth="1"/>
    <col min="13" max="13" style="8576" width="6.28125" customWidth="1"/>
    <col min="14" max="14" style="8576" width="25.8515625" customWidth="1"/>
    <col min="15" max="18" style="8576" width="18.7109375" customWidth="1"/>
    <col min="19" max="19" style="8576" width="93.421875" customWidth="1"/>
    <col min="20" max="20" style="8576" width="10.57421875" customWidth="1"/>
    <col min="21" max="21" style="9399" width="10.57421875" customWidth="1"/>
    <col min="22" max="22" style="9399" width="11.7109375" customWidth="1"/>
    <col min="23" max="23" style="9400" width="10.57421875" customWidth="1"/>
    <col min="24" max="27" style="8573" width="10.57421875" customWidth="1"/>
    <col min="28" max="83" style="8576" width="9.140625"/>
  </cols>
  <sheetData>
    <row customHeight="1" ht="11.25" hidden="1"/>
    <row customHeight="1" ht="11.25" hidden="1"/>
    <row customHeight="1" ht="11.25" hidden="1"/>
    <row customHeight="1" ht="3">
      <c r="C4" s="663"/>
      <c r="D4" s="663"/>
      <c r="E4" s="663"/>
      <c r="F4" s="663"/>
      <c r="G4" s="663"/>
      <c r="H4" s="663"/>
      <c r="I4" s="663"/>
      <c r="J4" s="663"/>
      <c r="K4" s="321"/>
      <c r="L4" s="321"/>
      <c r="M4" s="321"/>
    </row>
    <row customHeight="1" ht="28.5">
      <c r="C5" s="663"/>
      <c r="D5" s="1212"/>
      <c r="E5" s="2298" t="str">
        <f>FHD20_NAME_FORM</f>
        <v>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F5" s="2298"/>
      <c r="G5" s="2298"/>
      <c r="H5" s="2298"/>
      <c r="I5" s="2298"/>
      <c r="J5" s="2298"/>
      <c r="K5" s="2298"/>
      <c r="L5" s="767"/>
      <c r="M5" s="767"/>
    </row>
    <row s="8080" customFormat="1" customHeight="1" ht="16.5">
      <c r="A6" s="764"/>
      <c r="B6" s="913"/>
      <c r="C6" s="663"/>
      <c r="D6" s="1213"/>
      <c r="E6" s="2267" t="str">
        <f>IF(org=0,"Не определено",org)</f>
        <v>АО "Теплокоммунэнерго"</v>
      </c>
      <c r="F6" s="2267"/>
      <c r="G6" s="2267"/>
      <c r="H6" s="2267"/>
      <c r="I6" s="2267"/>
      <c r="J6" s="2267"/>
      <c r="K6" s="2267"/>
      <c r="L6" s="767"/>
      <c r="M6" s="767"/>
      <c r="U6" s="765"/>
      <c r="V6" s="765"/>
      <c r="W6" s="766"/>
      <c r="X6" s="913"/>
      <c r="Y6" s="913"/>
      <c r="Z6" s="913"/>
      <c r="AA6" s="913"/>
    </row>
    <row customHeight="1" ht="11.25">
      <c r="C7" s="663"/>
      <c r="D7" s="663"/>
      <c r="E7" s="663"/>
      <c r="F7" s="663"/>
      <c r="G7" s="676"/>
      <c r="H7" s="676"/>
      <c r="I7" s="676"/>
      <c r="J7" s="676"/>
      <c r="K7" s="768"/>
      <c r="L7" s="768"/>
      <c r="M7" s="768"/>
      <c r="R7" s="906"/>
    </row>
    <row s="8552" customFormat="1" customHeight="1" ht="5.25">
      <c r="A8" s="775"/>
      <c r="B8" s="720"/>
      <c r="C8" s="505"/>
      <c r="D8" s="505"/>
      <c r="E8" s="505"/>
      <c r="F8" s="505"/>
      <c r="G8" s="1130"/>
      <c r="H8" s="1130"/>
      <c r="I8" s="1130"/>
      <c r="J8" s="1130"/>
      <c r="K8" s="1173"/>
      <c r="L8" s="1173"/>
      <c r="M8" s="1173"/>
      <c r="R8" s="1174"/>
      <c r="U8" s="765"/>
      <c r="V8" s="765"/>
      <c r="W8" s="776"/>
      <c r="X8" s="720"/>
      <c r="Y8" s="720"/>
      <c r="Z8" s="720"/>
      <c r="AA8" s="720"/>
    </row>
    <row customHeight="1" ht="18.75">
      <c r="D9" s="443"/>
      <c r="E9" s="2169" t="s">
        <v>300</v>
      </c>
      <c r="F9" s="2170"/>
      <c r="G9" s="2170"/>
      <c r="H9" s="2170"/>
      <c r="I9" s="2170"/>
      <c r="J9" s="2170"/>
      <c r="K9" s="2170"/>
      <c r="L9" s="2170"/>
      <c r="M9" s="2170"/>
      <c r="N9" s="2170"/>
      <c r="O9" s="2170"/>
      <c r="P9" s="2170"/>
      <c r="Q9" s="2170"/>
      <c r="R9" s="2171"/>
      <c r="S9" s="2185" t="s">
        <v>301</v>
      </c>
      <c r="T9" s="488"/>
    </row>
    <row customHeight="1" ht="33.75">
      <c r="D10" s="705" t="s">
        <v>85</v>
      </c>
      <c r="E10" s="2185" t="s">
        <v>85</v>
      </c>
      <c r="F10" s="2185"/>
      <c r="G10" s="675" t="s">
        <v>302</v>
      </c>
      <c r="H10" s="2185" t="s">
        <v>85</v>
      </c>
      <c r="I10" s="2185"/>
      <c r="J10" s="675" t="s">
        <v>603</v>
      </c>
      <c r="K10" s="675" t="s">
        <v>604</v>
      </c>
      <c r="L10" s="2185" t="s">
        <v>85</v>
      </c>
      <c r="M10" s="2185"/>
      <c r="N10" s="675" t="s">
        <v>605</v>
      </c>
      <c r="O10" s="675" t="s">
        <v>606</v>
      </c>
      <c r="P10" s="675" t="s">
        <v>607</v>
      </c>
      <c r="Q10" s="675" t="s">
        <v>608</v>
      </c>
      <c r="R10" s="675" t="s">
        <v>609</v>
      </c>
      <c r="S10" s="2185"/>
      <c r="T10" s="488"/>
    </row>
    <row s="8794" customFormat="1" customHeight="1" ht="15" hidden="1">
      <c r="A11" s="1207"/>
      <c r="D11" s="1180" t="s">
        <v>106</v>
      </c>
      <c r="E11" s="1180"/>
      <c r="F11" s="1180" t="s">
        <v>107</v>
      </c>
      <c r="G11" s="1180" t="s">
        <v>87</v>
      </c>
      <c r="H11" s="1180"/>
      <c r="I11" s="1180" t="s">
        <v>88</v>
      </c>
      <c r="J11" s="1180" t="s">
        <v>108</v>
      </c>
      <c r="K11" s="1180" t="s">
        <v>89</v>
      </c>
      <c r="L11" s="1180"/>
      <c r="M11" s="1180" t="s">
        <v>90</v>
      </c>
      <c r="N11" s="1180" t="s">
        <v>109</v>
      </c>
      <c r="O11" s="1180" t="s">
        <v>145</v>
      </c>
      <c r="P11" s="1180" t="s">
        <v>146</v>
      </c>
      <c r="Q11" s="1180" t="s">
        <v>147</v>
      </c>
      <c r="R11" s="1180" t="s">
        <v>148</v>
      </c>
      <c r="S11" s="1180" t="s">
        <v>149</v>
      </c>
      <c r="U11" s="765"/>
      <c r="V11" s="765"/>
      <c r="W11" s="765"/>
    </row>
    <row s="9347" customFormat="1" customHeight="1" ht="0.75">
      <c r="A12" s="769"/>
      <c r="B12" s="516"/>
      <c r="D12" s="702"/>
      <c r="E12" s="500"/>
      <c r="F12" s="500"/>
      <c r="Q12" s="770"/>
      <c r="R12" s="771"/>
      <c r="T12" s="772"/>
      <c r="U12" s="773"/>
      <c r="V12" s="773"/>
      <c r="W12" s="774"/>
      <c r="X12" s="516"/>
      <c r="Y12" s="516"/>
      <c r="Z12" s="516"/>
      <c r="AA12" s="516"/>
    </row>
    <row s="8552" customFormat="1" customHeight="1" ht="0.75">
      <c r="A13" s="775"/>
      <c r="B13" s="720"/>
      <c r="D13" s="702" t="s">
        <v>376</v>
      </c>
      <c r="E13" s="714"/>
      <c r="F13" s="714"/>
      <c r="G13" s="714"/>
      <c r="H13" s="714"/>
      <c r="I13" s="714"/>
      <c r="J13" s="714"/>
      <c r="K13" s="714"/>
      <c r="L13" s="714"/>
      <c r="M13" s="714"/>
      <c r="N13" s="714"/>
      <c r="O13" s="714"/>
      <c r="P13" s="714"/>
      <c r="Q13" s="714"/>
      <c r="R13" s="714"/>
      <c r="T13" s="488"/>
      <c r="U13" s="765"/>
      <c r="V13" s="765"/>
      <c r="W13" s="776"/>
      <c r="X13" s="720"/>
      <c r="Y13" s="720"/>
      <c r="Z13" s="720"/>
      <c r="AA13" s="720"/>
    </row>
    <row s="8423" customFormat="1" customHeight="1" ht="15" hidden="1">
      <c r="A14" s="777" t="s">
        <v>114</v>
      </c>
      <c r="B14" s="778"/>
      <c r="C14" s="778"/>
      <c r="D14" s="2433" t="s">
        <v>106</v>
      </c>
      <c r="E14" s="2441" t="s">
        <v>102</v>
      </c>
      <c r="F14" s="2442"/>
      <c r="G14" s="2443"/>
      <c r="H14" s="2436">
        <f>IF(A14="","",INDEX(DIFFERENTIATION_UNMERGE_VD,MATCH(A14,DIFFERENTIATION_ID_DIFF,0)))</f>
        <v>0</v>
      </c>
      <c r="I14" s="2436"/>
      <c r="J14" s="2436"/>
      <c r="K14" s="2436"/>
      <c r="L14" s="2436"/>
      <c r="M14" s="2436"/>
      <c r="N14" s="2436"/>
      <c r="O14" s="2436"/>
      <c r="P14" s="2436"/>
      <c r="Q14" s="2436"/>
      <c r="R14" s="2436"/>
      <c r="S14" s="873"/>
      <c r="T14" s="870"/>
      <c r="U14" s="779"/>
      <c r="V14" s="779"/>
      <c r="W14" s="780"/>
      <c r="X14" s="780"/>
      <c r="Y14" s="780"/>
      <c r="Z14" s="780"/>
      <c r="AA14" s="781"/>
      <c r="AB14" s="782"/>
      <c r="AC14" s="2440"/>
      <c r="AD14" s="783"/>
      <c r="AE14" s="784" t="s">
        <v>24</v>
      </c>
      <c r="AF14" s="784"/>
      <c r="AG14" s="785" t="s">
        <v>610</v>
      </c>
      <c r="AH14" s="786">
        <v>3</v>
      </c>
      <c r="AI14" s="779"/>
      <c r="AJ14" s="779"/>
      <c r="AK14" s="779"/>
      <c r="AL14" s="779"/>
      <c r="AM14" s="779"/>
      <c r="AN14" s="779"/>
      <c r="AO14" s="779"/>
      <c r="AP14" s="779"/>
      <c r="AQ14" s="779"/>
      <c r="AR14" s="779"/>
      <c r="AS14" s="779"/>
      <c r="AT14" s="779"/>
      <c r="AU14" s="779"/>
      <c r="AV14" s="779"/>
      <c r="AW14" s="779"/>
      <c r="AX14" s="779"/>
      <c r="AY14" s="779"/>
      <c r="AZ14" s="779"/>
      <c r="BA14" s="779"/>
      <c r="BB14" s="779"/>
      <c r="BC14" s="779"/>
      <c r="BD14" s="779"/>
      <c r="BE14" s="779"/>
      <c r="BF14" s="779"/>
      <c r="BG14" s="779"/>
      <c r="BH14" s="779"/>
      <c r="BI14" s="779"/>
      <c r="BJ14" s="779"/>
      <c r="BK14" s="779"/>
      <c r="BL14" s="779"/>
      <c r="BM14" s="779"/>
      <c r="BN14" s="779"/>
      <c r="BO14" s="779"/>
      <c r="BP14" s="779"/>
      <c r="BQ14" s="779"/>
      <c r="BR14" s="779"/>
      <c r="BS14" s="779"/>
      <c r="BT14" s="779"/>
      <c r="BU14" s="779"/>
      <c r="BV14" s="780"/>
      <c r="BW14" s="780"/>
      <c r="BX14" s="780"/>
      <c r="BY14" s="780"/>
      <c r="BZ14" s="780"/>
      <c r="CA14" s="780"/>
      <c r="CB14" s="780"/>
      <c r="CC14" s="780"/>
      <c r="CD14" s="780"/>
      <c r="CE14" s="780"/>
    </row>
    <row s="8423" customFormat="1" customHeight="1" ht="15" hidden="1">
      <c r="A15" s="777"/>
      <c r="B15" s="778"/>
      <c r="C15" s="778"/>
      <c r="D15" s="2434"/>
      <c r="E15" s="2441" t="s">
        <v>565</v>
      </c>
      <c r="F15" s="2442"/>
      <c r="G15" s="2443"/>
      <c r="H15" s="2436" t="str">
        <f>IF(A14="","",INDEX(DIFFERENTIATION_UNMERGE_AREA,MATCH(A14,DIFFERENTIATION_ID_DIFF,0)))</f>
        <v/>
      </c>
      <c r="I15" s="2436"/>
      <c r="J15" s="2436"/>
      <c r="K15" s="2436"/>
      <c r="L15" s="2436"/>
      <c r="M15" s="2436"/>
      <c r="N15" s="2436"/>
      <c r="O15" s="2436"/>
      <c r="P15" s="2436"/>
      <c r="Q15" s="2436"/>
      <c r="R15" s="2436"/>
      <c r="S15" s="873"/>
      <c r="T15" s="870"/>
      <c r="U15" s="779"/>
      <c r="V15" s="779"/>
      <c r="W15" s="780"/>
      <c r="X15" s="780"/>
      <c r="Y15" s="780"/>
      <c r="Z15" s="780"/>
      <c r="AA15" s="781"/>
      <c r="AB15" s="782"/>
      <c r="AC15" s="2440"/>
      <c r="AD15" s="783"/>
      <c r="AE15" s="784"/>
      <c r="AF15" s="784"/>
      <c r="AG15" s="785"/>
      <c r="AH15" s="786"/>
      <c r="AI15" s="779"/>
      <c r="AJ15" s="779"/>
      <c r="AK15" s="779"/>
      <c r="AL15" s="779"/>
      <c r="AM15" s="779"/>
      <c r="AN15" s="779"/>
      <c r="AO15" s="779"/>
      <c r="AP15" s="779"/>
      <c r="AQ15" s="779"/>
      <c r="AR15" s="779"/>
      <c r="AS15" s="779"/>
      <c r="AT15" s="779"/>
      <c r="AU15" s="779"/>
      <c r="AV15" s="779"/>
      <c r="AW15" s="779"/>
      <c r="AX15" s="779"/>
      <c r="AY15" s="779"/>
      <c r="AZ15" s="779"/>
      <c r="BA15" s="779"/>
      <c r="BB15" s="779"/>
      <c r="BC15" s="779"/>
      <c r="BD15" s="779"/>
      <c r="BE15" s="779"/>
      <c r="BF15" s="779"/>
      <c r="BG15" s="779"/>
      <c r="BH15" s="779"/>
      <c r="BI15" s="779"/>
      <c r="BJ15" s="779"/>
      <c r="BK15" s="779"/>
      <c r="BL15" s="779"/>
      <c r="BM15" s="779"/>
      <c r="BN15" s="779"/>
      <c r="BO15" s="779"/>
      <c r="BP15" s="779"/>
      <c r="BQ15" s="779"/>
      <c r="BR15" s="779"/>
      <c r="BS15" s="779"/>
      <c r="BT15" s="779"/>
      <c r="BU15" s="779"/>
      <c r="BV15" s="780"/>
      <c r="BW15" s="780"/>
      <c r="BX15" s="780"/>
      <c r="BY15" s="780"/>
      <c r="BZ15" s="780"/>
      <c r="CA15" s="780"/>
      <c r="CB15" s="780"/>
      <c r="CC15" s="780"/>
      <c r="CD15" s="780"/>
      <c r="CE15" s="780"/>
    </row>
    <row s="8423" customFormat="1" customHeight="1" ht="15" hidden="1">
      <c r="A16" s="777"/>
      <c r="B16" s="778"/>
      <c r="C16" s="778"/>
      <c r="D16" s="2434"/>
      <c r="E16" s="2441" t="s">
        <v>566</v>
      </c>
      <c r="F16" s="2442"/>
      <c r="G16" s="2443"/>
      <c r="H16" s="2436" t="str">
        <f>IF(A14="","",INDEX(DIFFERENTIATION_UNMERGE_SYSTEM,MATCH(A14,DIFFERENTIATION_ID_DIFF,0)))</f>
        <v>без дифференциации</v>
      </c>
      <c r="I16" s="2436"/>
      <c r="J16" s="2436"/>
      <c r="K16" s="2436"/>
      <c r="L16" s="2436"/>
      <c r="M16" s="2436"/>
      <c r="N16" s="2436"/>
      <c r="O16" s="2436"/>
      <c r="P16" s="2436"/>
      <c r="Q16" s="2436"/>
      <c r="R16" s="2436"/>
      <c r="S16" s="873"/>
      <c r="T16" s="870"/>
      <c r="U16" s="779"/>
      <c r="V16" s="779"/>
      <c r="W16" s="780"/>
      <c r="X16" s="780"/>
      <c r="Y16" s="780"/>
      <c r="Z16" s="780"/>
      <c r="AA16" s="781"/>
      <c r="AB16" s="782"/>
      <c r="AC16" s="2440"/>
      <c r="AD16" s="783"/>
      <c r="AE16" s="784"/>
      <c r="AF16" s="784"/>
      <c r="AG16" s="785"/>
      <c r="AH16" s="786"/>
      <c r="AI16" s="779"/>
      <c r="AJ16" s="779"/>
      <c r="AK16" s="779"/>
      <c r="AL16" s="779"/>
      <c r="AM16" s="779"/>
      <c r="AN16" s="779"/>
      <c r="AO16" s="779"/>
      <c r="AP16" s="779"/>
      <c r="AQ16" s="779"/>
      <c r="AR16" s="779"/>
      <c r="AS16" s="779"/>
      <c r="AT16" s="779"/>
      <c r="AU16" s="779"/>
      <c r="AV16" s="779"/>
      <c r="AW16" s="779"/>
      <c r="AX16" s="779"/>
      <c r="AY16" s="779"/>
      <c r="AZ16" s="779"/>
      <c r="BA16" s="779"/>
      <c r="BB16" s="779"/>
      <c r="BC16" s="779"/>
      <c r="BD16" s="779"/>
      <c r="BE16" s="779"/>
      <c r="BF16" s="779"/>
      <c r="BG16" s="779"/>
      <c r="BH16" s="779"/>
      <c r="BI16" s="779"/>
      <c r="BJ16" s="779"/>
      <c r="BK16" s="779"/>
      <c r="BL16" s="779"/>
      <c r="BM16" s="779"/>
      <c r="BN16" s="779"/>
      <c r="BO16" s="779"/>
      <c r="BP16" s="779"/>
      <c r="BQ16" s="779"/>
      <c r="BR16" s="779"/>
      <c r="BS16" s="779"/>
      <c r="BT16" s="779"/>
      <c r="BU16" s="779"/>
      <c r="BV16" s="780"/>
      <c r="BW16" s="780"/>
      <c r="BX16" s="780"/>
      <c r="BY16" s="780"/>
      <c r="BZ16" s="780"/>
      <c r="CA16" s="780"/>
      <c r="CB16" s="780"/>
      <c r="CC16" s="780"/>
      <c r="CD16" s="780"/>
      <c r="CE16" s="780"/>
    </row>
    <row s="8423" customFormat="1" customHeight="1" ht="22.5" hidden="1">
      <c r="A17" s="787"/>
      <c r="B17" s="571"/>
      <c r="C17" s="566"/>
      <c r="D17" s="2434"/>
      <c r="E17" s="2438" t="s">
        <v>611</v>
      </c>
      <c r="F17" s="2438"/>
      <c r="G17" s="2438"/>
      <c r="H17" s="2438"/>
      <c r="I17" s="2438"/>
      <c r="J17" s="2438"/>
      <c r="K17" s="2438"/>
      <c r="L17" s="2438"/>
      <c r="M17" s="2438"/>
      <c r="N17" s="2438"/>
      <c r="O17" s="2438"/>
      <c r="P17" s="2438"/>
      <c r="Q17" s="712">
        <f>SUMIF(T18:T19,"i",Q18:Q19)</f>
        <v>0</v>
      </c>
      <c r="R17" s="1172"/>
      <c r="S17" s="1051" t="s">
        <v>612</v>
      </c>
      <c r="T17" s="871" t="s">
        <v>613</v>
      </c>
      <c r="U17" s="2439">
        <v>1</v>
      </c>
      <c r="V17" s="2439" t="str">
        <f>INDEX(B_FHD_FLAG_INDEX_1,1,MATCH(A14,B_FHD_FLAG_DIFFERENTIATION,0))</f>
        <v>отсутствует</v>
      </c>
      <c r="W17" s="571"/>
      <c r="X17" s="571"/>
      <c r="Y17" s="571"/>
      <c r="Z17" s="571"/>
      <c r="AA17" s="665"/>
      <c r="AB17" s="571"/>
      <c r="AC17" s="2440"/>
      <c r="AD17" s="783"/>
      <c r="AE17" s="571"/>
      <c r="AF17" s="571"/>
      <c r="AG17" s="665"/>
      <c r="AH17" s="665"/>
      <c r="AI17" s="665"/>
      <c r="AJ17" s="665"/>
      <c r="AK17" s="665"/>
      <c r="AL17" s="665"/>
      <c r="AM17" s="665"/>
      <c r="AN17" s="665"/>
      <c r="AO17" s="665"/>
      <c r="AP17" s="665"/>
      <c r="AQ17" s="665"/>
      <c r="AR17" s="665"/>
      <c r="AS17" s="665"/>
      <c r="AT17" s="665"/>
      <c r="AU17" s="665"/>
      <c r="AV17" s="665"/>
      <c r="AW17" s="665"/>
      <c r="AX17" s="665"/>
      <c r="AY17" s="665"/>
      <c r="AZ17" s="665"/>
      <c r="BA17" s="665"/>
      <c r="BB17" s="665"/>
      <c r="BC17" s="665"/>
      <c r="BD17" s="665"/>
      <c r="BE17" s="665"/>
      <c r="BF17" s="665"/>
      <c r="BG17" s="665"/>
      <c r="BH17" s="665"/>
      <c r="BI17" s="665"/>
      <c r="BJ17" s="665"/>
      <c r="BK17" s="665"/>
      <c r="BL17" s="665"/>
      <c r="BM17" s="665"/>
      <c r="BN17" s="665"/>
      <c r="BO17" s="665"/>
      <c r="BP17" s="665"/>
      <c r="BQ17" s="665"/>
      <c r="BR17" s="665"/>
      <c r="BS17" s="665"/>
      <c r="BT17" s="665"/>
      <c r="BU17" s="665"/>
      <c r="BV17" s="571"/>
      <c r="BW17" s="571"/>
      <c r="BX17" s="571"/>
      <c r="BY17" s="571"/>
      <c r="BZ17" s="571"/>
      <c r="CA17" s="571"/>
      <c r="CB17" s="571"/>
      <c r="CC17" s="571"/>
      <c r="CD17" s="571"/>
      <c r="CE17" s="571"/>
    </row>
    <row s="8423" customFormat="1" customHeight="1" ht="11.25" hidden="1">
      <c r="A18" s="788"/>
      <c r="B18" s="665"/>
      <c r="C18" s="665"/>
      <c r="D18" s="2434"/>
      <c r="E18" s="789"/>
      <c r="F18" s="789">
        <v>0</v>
      </c>
      <c r="G18" s="789"/>
      <c r="H18" s="789"/>
      <c r="I18" s="789"/>
      <c r="J18" s="789"/>
      <c r="K18" s="789"/>
      <c r="L18" s="789"/>
      <c r="M18" s="789"/>
      <c r="N18" s="789"/>
      <c r="O18" s="789"/>
      <c r="P18" s="789"/>
      <c r="Q18" s="789"/>
      <c r="R18" s="789"/>
      <c r="S18" s="790"/>
      <c r="T18" s="872"/>
      <c r="U18" s="2439"/>
      <c r="V18" s="2439"/>
      <c r="W18" s="665"/>
      <c r="X18" s="665"/>
      <c r="Y18" s="665"/>
      <c r="Z18" s="665"/>
      <c r="AA18" s="665"/>
      <c r="AB18" s="571"/>
      <c r="AC18" s="2440"/>
      <c r="AD18" s="783"/>
      <c r="AE18" s="571"/>
      <c r="AF18" s="571"/>
      <c r="AG18" s="665"/>
      <c r="AH18" s="665"/>
      <c r="AI18" s="665"/>
      <c r="AJ18" s="665"/>
      <c r="AK18" s="665"/>
      <c r="AL18" s="665"/>
      <c r="AM18" s="665"/>
      <c r="AN18" s="665"/>
      <c r="AO18" s="665"/>
      <c r="AP18" s="665"/>
      <c r="AQ18" s="665"/>
      <c r="AR18" s="665"/>
      <c r="AS18" s="665"/>
      <c r="AT18" s="665"/>
      <c r="AU18" s="665"/>
      <c r="AV18" s="665"/>
      <c r="AW18" s="665"/>
      <c r="AX18" s="665"/>
      <c r="AY18" s="665"/>
      <c r="AZ18" s="665"/>
      <c r="BA18" s="665"/>
      <c r="BB18" s="665"/>
      <c r="BC18" s="665"/>
      <c r="BD18" s="665"/>
      <c r="BE18" s="665"/>
      <c r="BF18" s="665"/>
      <c r="BG18" s="665"/>
      <c r="BH18" s="665"/>
      <c r="BI18" s="665"/>
      <c r="BJ18" s="665"/>
      <c r="BK18" s="665"/>
      <c r="BL18" s="665"/>
      <c r="BM18" s="665"/>
      <c r="BN18" s="665"/>
      <c r="BO18" s="665"/>
      <c r="BP18" s="665"/>
      <c r="BQ18" s="665"/>
      <c r="BR18" s="665"/>
      <c r="BS18" s="665"/>
      <c r="BT18" s="665"/>
      <c r="BU18" s="665"/>
      <c r="BV18" s="665"/>
      <c r="BW18" s="665"/>
      <c r="BX18" s="665"/>
      <c r="BY18" s="665"/>
      <c r="BZ18" s="665"/>
      <c r="CA18" s="665"/>
      <c r="CB18" s="665"/>
      <c r="CC18" s="665"/>
      <c r="CD18" s="665"/>
      <c r="CE18" s="665"/>
    </row>
    <row s="8423" customFormat="1" customHeight="1" ht="11.25" hidden="1">
      <c r="A19" s="787"/>
      <c r="B19" s="571"/>
      <c r="C19" s="566"/>
      <c r="D19" s="2434"/>
      <c r="E19" s="803" t="s">
        <v>24</v>
      </c>
      <c r="F19" s="804" t="s">
        <v>24</v>
      </c>
      <c r="G19" s="804" t="s">
        <v>24</v>
      </c>
      <c r="H19" s="805" t="s">
        <v>24</v>
      </c>
      <c r="I19" s="805"/>
      <c r="J19" s="805"/>
      <c r="K19" s="805"/>
      <c r="L19" s="805"/>
      <c r="M19" s="805"/>
      <c r="N19" s="805"/>
      <c r="O19" s="805"/>
      <c r="P19" s="805"/>
      <c r="Q19" s="805"/>
      <c r="R19" s="806"/>
      <c r="S19" s="1175"/>
      <c r="T19" s="872"/>
      <c r="U19" s="2439"/>
      <c r="V19" s="2439"/>
      <c r="W19" s="571"/>
      <c r="X19" s="571"/>
      <c r="Y19" s="571"/>
      <c r="Z19" s="571"/>
      <c r="AA19" s="665"/>
      <c r="AB19" s="571"/>
      <c r="AC19" s="2440"/>
      <c r="AD19" s="783"/>
      <c r="AE19" s="571"/>
      <c r="AF19" s="571"/>
      <c r="AG19" s="665"/>
      <c r="AH19" s="665"/>
      <c r="AI19" s="665"/>
      <c r="AJ19" s="665"/>
      <c r="AK19" s="665"/>
      <c r="AL19" s="665"/>
      <c r="AM19" s="665"/>
      <c r="AN19" s="665"/>
      <c r="AO19" s="665"/>
      <c r="AP19" s="665"/>
      <c r="AQ19" s="665"/>
      <c r="AR19" s="665"/>
      <c r="AS19" s="665"/>
      <c r="AT19" s="665"/>
      <c r="AU19" s="665"/>
      <c r="AV19" s="665"/>
      <c r="AW19" s="665"/>
      <c r="AX19" s="665"/>
      <c r="AY19" s="665"/>
      <c r="AZ19" s="665"/>
      <c r="BA19" s="665"/>
      <c r="BB19" s="665"/>
      <c r="BC19" s="665"/>
      <c r="BD19" s="665"/>
      <c r="BE19" s="665"/>
      <c r="BF19" s="665"/>
      <c r="BG19" s="665"/>
      <c r="BH19" s="665"/>
      <c r="BI19" s="665"/>
      <c r="BJ19" s="665"/>
      <c r="BK19" s="665"/>
      <c r="BL19" s="665"/>
      <c r="BM19" s="665"/>
      <c r="BN19" s="665"/>
      <c r="BO19" s="665"/>
      <c r="BP19" s="665"/>
      <c r="BQ19" s="665"/>
      <c r="BR19" s="665"/>
      <c r="BS19" s="665"/>
      <c r="BT19" s="665"/>
      <c r="BU19" s="665"/>
      <c r="BV19" s="571"/>
      <c r="BW19" s="571"/>
      <c r="BX19" s="571"/>
      <c r="BY19" s="571"/>
      <c r="BZ19" s="571"/>
      <c r="CA19" s="571"/>
      <c r="CB19" s="571"/>
      <c r="CC19" s="571"/>
      <c r="CD19" s="571"/>
      <c r="CE19" s="571"/>
    </row>
    <row s="8423" customFormat="1" customHeight="1" ht="22.5" hidden="1">
      <c r="A20" s="787"/>
      <c r="B20" s="571"/>
      <c r="C20" s="566"/>
      <c r="D20" s="2434"/>
      <c r="E20" s="2438" t="s">
        <v>614</v>
      </c>
      <c r="F20" s="2438"/>
      <c r="G20" s="2438"/>
      <c r="H20" s="2438"/>
      <c r="I20" s="2438"/>
      <c r="J20" s="2438"/>
      <c r="K20" s="2438"/>
      <c r="L20" s="2438"/>
      <c r="M20" s="2438"/>
      <c r="N20" s="2438"/>
      <c r="O20" s="2438"/>
      <c r="P20" s="2438"/>
      <c r="Q20" s="712">
        <f>SUMIF(T21:T22,"i",Q21:Q22)</f>
        <v>0</v>
      </c>
      <c r="R20" s="1172"/>
      <c r="S20" s="863" t="s">
        <v>615</v>
      </c>
      <c r="T20" s="871" t="s">
        <v>613</v>
      </c>
      <c r="U20" s="2439">
        <v>2</v>
      </c>
      <c r="V20" s="2439" t="str">
        <f>INDEX(B_FHD_FLAG_INDEX_2,1,MATCH(A14,B_FHD_FLAG_DIFFERENTIATION,0))</f>
        <v>отсутствует</v>
      </c>
      <c r="W20" s="571"/>
      <c r="X20" s="571"/>
      <c r="Y20" s="571"/>
      <c r="Z20" s="571"/>
      <c r="AA20" s="665"/>
      <c r="AB20" s="571"/>
      <c r="AC20" s="860"/>
      <c r="AD20" s="783"/>
      <c r="AE20" s="571"/>
      <c r="AF20" s="571"/>
      <c r="AG20" s="665"/>
      <c r="AH20" s="665"/>
      <c r="AI20" s="665"/>
      <c r="AJ20" s="665"/>
      <c r="AK20" s="665"/>
      <c r="AL20" s="665"/>
      <c r="AM20" s="665"/>
      <c r="AN20" s="665"/>
      <c r="AO20" s="665"/>
      <c r="AP20" s="665"/>
      <c r="AQ20" s="665"/>
      <c r="AR20" s="665"/>
      <c r="AS20" s="665"/>
      <c r="AT20" s="665"/>
      <c r="AU20" s="665"/>
      <c r="AV20" s="665"/>
      <c r="AW20" s="665"/>
      <c r="AX20" s="665"/>
      <c r="AY20" s="665"/>
      <c r="AZ20" s="665"/>
      <c r="BA20" s="665"/>
      <c r="BB20" s="665"/>
      <c r="BC20" s="665"/>
      <c r="BD20" s="665"/>
      <c r="BE20" s="665"/>
      <c r="BF20" s="665"/>
      <c r="BG20" s="665"/>
      <c r="BH20" s="665"/>
      <c r="BI20" s="665"/>
      <c r="BJ20" s="665"/>
      <c r="BK20" s="665"/>
      <c r="BL20" s="665"/>
      <c r="BM20" s="665"/>
      <c r="BN20" s="665"/>
      <c r="BO20" s="665"/>
      <c r="BP20" s="665"/>
      <c r="BQ20" s="665"/>
      <c r="BR20" s="665"/>
      <c r="BS20" s="665"/>
      <c r="BT20" s="665"/>
      <c r="BU20" s="665"/>
      <c r="BV20" s="571"/>
      <c r="BW20" s="571"/>
      <c r="BX20" s="571"/>
      <c r="BY20" s="571"/>
      <c r="BZ20" s="571"/>
      <c r="CA20" s="571"/>
      <c r="CB20" s="571"/>
      <c r="CC20" s="571"/>
      <c r="CD20" s="571"/>
      <c r="CE20" s="571"/>
    </row>
    <row s="8423" customFormat="1" customHeight="1" ht="11.25" hidden="1">
      <c r="A21" s="862"/>
      <c r="B21" s="665"/>
      <c r="C21" s="665"/>
      <c r="D21" s="2434"/>
      <c r="E21" s="789"/>
      <c r="F21" s="789">
        <v>0</v>
      </c>
      <c r="G21" s="789"/>
      <c r="H21" s="789"/>
      <c r="I21" s="789"/>
      <c r="J21" s="789"/>
      <c r="K21" s="789"/>
      <c r="L21" s="789"/>
      <c r="M21" s="789"/>
      <c r="N21" s="789"/>
      <c r="O21" s="789"/>
      <c r="P21" s="789"/>
      <c r="Q21" s="789"/>
      <c r="R21" s="789"/>
      <c r="S21" s="790"/>
      <c r="T21" s="872"/>
      <c r="U21" s="2439"/>
      <c r="V21" s="2439"/>
      <c r="W21" s="665"/>
      <c r="X21" s="665"/>
      <c r="Y21" s="665"/>
      <c r="Z21" s="665"/>
      <c r="AA21" s="665"/>
      <c r="AB21" s="571"/>
      <c r="AC21" s="860"/>
      <c r="AD21" s="783"/>
      <c r="AE21" s="571"/>
      <c r="AF21" s="571"/>
      <c r="AG21" s="665"/>
      <c r="AH21" s="665"/>
      <c r="AI21" s="665"/>
      <c r="AJ21" s="665"/>
      <c r="AK21" s="665"/>
      <c r="AL21" s="665"/>
      <c r="AM21" s="665"/>
      <c r="AN21" s="665"/>
      <c r="AO21" s="665"/>
      <c r="AP21" s="665"/>
      <c r="AQ21" s="665"/>
      <c r="AR21" s="665"/>
      <c r="AS21" s="665"/>
      <c r="AT21" s="665"/>
      <c r="AU21" s="665"/>
      <c r="AV21" s="665"/>
      <c r="AW21" s="665"/>
      <c r="AX21" s="665"/>
      <c r="AY21" s="665"/>
      <c r="AZ21" s="665"/>
      <c r="BA21" s="665"/>
      <c r="BB21" s="665"/>
      <c r="BC21" s="665"/>
      <c r="BD21" s="665"/>
      <c r="BE21" s="665"/>
      <c r="BF21" s="665"/>
      <c r="BG21" s="665"/>
      <c r="BH21" s="665"/>
      <c r="BI21" s="665"/>
      <c r="BJ21" s="665"/>
      <c r="BK21" s="665"/>
      <c r="BL21" s="665"/>
      <c r="BM21" s="665"/>
      <c r="BN21" s="665"/>
      <c r="BO21" s="665"/>
      <c r="BP21" s="665"/>
      <c r="BQ21" s="665"/>
      <c r="BR21" s="665"/>
      <c r="BS21" s="665"/>
      <c r="BT21" s="665"/>
      <c r="BU21" s="665"/>
      <c r="BV21" s="665"/>
      <c r="BW21" s="665"/>
      <c r="BX21" s="665"/>
      <c r="BY21" s="665"/>
      <c r="BZ21" s="665"/>
      <c r="CA21" s="665"/>
      <c r="CB21" s="665"/>
      <c r="CC21" s="665"/>
      <c r="CD21" s="665"/>
      <c r="CE21" s="665"/>
    </row>
    <row s="8423" customFormat="1" customHeight="1" ht="11.25" hidden="1">
      <c r="A22" s="787"/>
      <c r="B22" s="571"/>
      <c r="C22" s="566"/>
      <c r="D22" s="2435"/>
      <c r="E22" s="803" t="s">
        <v>24</v>
      </c>
      <c r="F22" s="804" t="s">
        <v>24</v>
      </c>
      <c r="G22" s="804" t="s">
        <v>24</v>
      </c>
      <c r="H22" s="805" t="s">
        <v>24</v>
      </c>
      <c r="I22" s="805"/>
      <c r="J22" s="805"/>
      <c r="K22" s="805"/>
      <c r="L22" s="805"/>
      <c r="M22" s="805"/>
      <c r="N22" s="805"/>
      <c r="O22" s="805"/>
      <c r="P22" s="805"/>
      <c r="Q22" s="805"/>
      <c r="R22" s="806"/>
      <c r="S22" s="1175"/>
      <c r="T22" s="872"/>
      <c r="U22" s="2439"/>
      <c r="V22" s="2439"/>
      <c r="W22" s="571"/>
      <c r="X22" s="571"/>
      <c r="Y22" s="571"/>
      <c r="Z22" s="571"/>
      <c r="AA22" s="665"/>
      <c r="AB22" s="571"/>
      <c r="AC22" s="860"/>
      <c r="AD22" s="783"/>
      <c r="AE22" s="571"/>
      <c r="AF22" s="571"/>
      <c r="AG22" s="665"/>
      <c r="AH22" s="665"/>
      <c r="AI22" s="665"/>
      <c r="AJ22" s="665"/>
      <c r="AK22" s="665"/>
      <c r="AL22" s="665"/>
      <c r="AM22" s="665"/>
      <c r="AN22" s="665"/>
      <c r="AO22" s="665"/>
      <c r="AP22" s="665"/>
      <c r="AQ22" s="665"/>
      <c r="AR22" s="665"/>
      <c r="AS22" s="665"/>
      <c r="AT22" s="665"/>
      <c r="AU22" s="665"/>
      <c r="AV22" s="665"/>
      <c r="AW22" s="665"/>
      <c r="AX22" s="665"/>
      <c r="AY22" s="665"/>
      <c r="AZ22" s="665"/>
      <c r="BA22" s="665"/>
      <c r="BB22" s="665"/>
      <c r="BC22" s="665"/>
      <c r="BD22" s="665"/>
      <c r="BE22" s="665"/>
      <c r="BF22" s="665"/>
      <c r="BG22" s="665"/>
      <c r="BH22" s="665"/>
      <c r="BI22" s="665"/>
      <c r="BJ22" s="665"/>
      <c r="BK22" s="665"/>
      <c r="BL22" s="665"/>
      <c r="BM22" s="665"/>
      <c r="BN22" s="665"/>
      <c r="BO22" s="665"/>
      <c r="BP22" s="665"/>
      <c r="BQ22" s="665"/>
      <c r="BR22" s="665"/>
      <c r="BS22" s="665"/>
      <c r="BT22" s="665"/>
      <c r="BU22" s="665"/>
      <c r="BV22" s="571"/>
      <c r="BW22" s="571"/>
      <c r="BX22" s="571"/>
      <c r="BY22" s="571"/>
      <c r="BZ22" s="571"/>
      <c r="CA22" s="571"/>
      <c r="CB22" s="571"/>
      <c r="CC22" s="571"/>
      <c r="CD22" s="571"/>
      <c r="CE22" s="571"/>
    </row>
    <row customHeight="1" ht="18.75">
      <c r="D23" s="1202"/>
      <c r="E23" s="1202"/>
      <c r="F23" s="1202"/>
      <c r="G23" s="1202"/>
      <c r="H23" s="1202"/>
      <c r="I23" s="1202"/>
      <c r="J23" s="1202"/>
      <c r="K23" s="1202"/>
      <c r="L23" s="1202"/>
      <c r="M23" s="1202"/>
      <c r="N23" s="1202"/>
      <c r="O23" s="1202"/>
      <c r="P23" s="1202"/>
      <c r="Q23" s="1202"/>
      <c r="R23" s="1202"/>
      <c r="S23" s="1202"/>
      <c r="T23" s="488"/>
    </row>
    <row customHeight="1" ht="11.25">
      <c r="D24" s="663"/>
    </row>
    <row customHeight="1" ht="11.25">
      <c r="D25" s="808"/>
      <c r="E25" s="808"/>
      <c r="F25" s="808"/>
      <c r="G25" s="809"/>
    </row>
    <row r="27" customHeight="1" ht="11.25">
      <c r="D27" s="810"/>
      <c r="E27" s="2437"/>
      <c r="F27" s="2437"/>
      <c r="G27" s="2437"/>
      <c r="H27" s="2437"/>
      <c r="I27" s="2437"/>
      <c r="J27" s="2437"/>
      <c r="K27" s="2437"/>
      <c r="L27" s="2437"/>
      <c r="M27" s="2437"/>
      <c r="N27" s="2437"/>
      <c r="O27" s="2437"/>
      <c r="P27" s="2437"/>
      <c r="Q27" s="2437"/>
      <c r="R27" s="2437"/>
    </row>
    <row customHeight="1" ht="11.25">
      <c r="F28" s="912"/>
      <c r="G28" s="912"/>
    </row>
  </sheetData>
  <sheetProtection formatColumns="0" formatRows="0" autoFilter="0" sort="0" insertRows="0" insertColumns="1" deleteRows="0" deleteColumns="0"/>
  <mergeCells count="22">
    <mergeCell ref="U20:U22"/>
    <mergeCell ref="V20:V22"/>
    <mergeCell ref="AC14:AC19"/>
    <mergeCell ref="E17:P17"/>
    <mergeCell ref="U17:U19"/>
    <mergeCell ref="V17:V19"/>
    <mergeCell ref="E14:G14"/>
    <mergeCell ref="E15:G15"/>
    <mergeCell ref="E16:G16"/>
    <mergeCell ref="D14:D22"/>
    <mergeCell ref="H14:R14"/>
    <mergeCell ref="H15:R15"/>
    <mergeCell ref="H16:R16"/>
    <mergeCell ref="E27:R27"/>
    <mergeCell ref="E20:P20"/>
    <mergeCell ref="E5:K5"/>
    <mergeCell ref="E6:K6"/>
    <mergeCell ref="E9:R9"/>
    <mergeCell ref="S9:S10"/>
    <mergeCell ref="E10:F10"/>
    <mergeCell ref="H10:I10"/>
    <mergeCell ref="L10:M10"/>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1A230CD-4E49-201E-557C-AA5A0D09EC0D}" mc:Ignorable="x14ac xr xr2 xr3">
  <sheetPr>
    <tabColor theme="9" tint="-0.25"/>
  </sheetPr>
  <dimension ref="A1:AE218"/>
  <sheetViews>
    <sheetView topLeftCell="A1" showGridLines="0" zoomScale="90" workbookViewId="0">
      <selection activeCell="A1" sqref="A1"/>
    </sheetView>
  </sheetViews>
  <sheetFormatPr defaultColWidth="9.140625" customHeight="1" defaultRowHeight="11.25"/>
  <cols>
    <col min="1" max="1" style="9328" width="10.7109375" hidden="1" customWidth="1"/>
    <col min="2" max="2" style="8721" width="16.8515625" hidden="1" customWidth="1"/>
    <col min="3" max="3" style="8847" width="5.57421875" hidden="1" customWidth="1"/>
    <col min="4" max="4" style="9329" width="3.7109375" customWidth="1"/>
    <col min="5" max="5" style="8849" width="7.7109375" customWidth="1"/>
    <col min="6" max="6" style="8849" width="56.140625" customWidth="1"/>
    <col min="7" max="7" style="8849" width="10.421875" customWidth="1"/>
    <col min="8" max="8" style="8849" width="40.7109375" hidden="1" customWidth="1"/>
    <col min="9" max="9" style="8849" width="40.7109375" customWidth="1"/>
    <col min="10" max="10" style="8849" width="102.8515625" customWidth="1"/>
    <col min="11" max="11" style="8721" width="9.7109375" customWidth="1"/>
    <col min="12" max="12" style="8847" width="5.28125" customWidth="1"/>
    <col min="13" max="13" style="8847" width="3.7109375" customWidth="1"/>
    <col min="14" max="17" style="8721" width="3.7109375" customWidth="1"/>
    <col min="18" max="18" style="8847" width="10.57421875" customWidth="1"/>
    <col min="19" max="19" style="8721" width="34.7109375" customWidth="1"/>
    <col min="20" max="20" style="8721" width="9.421875" customWidth="1"/>
    <col min="21" max="21" style="9330" width="9.140625"/>
    <col min="22" max="26" style="8721" width="9.140625"/>
    <col min="27" max="31" style="9232" width="9.140625"/>
  </cols>
  <sheetData>
    <row s="8721" customFormat="1" customHeight="1" ht="11.25" hidden="1">
      <c r="A1" s="1142"/>
      <c r="C1" s="1795"/>
      <c r="D1" s="691"/>
      <c r="H1" s="1316">
        <v>4</v>
      </c>
      <c r="I1" s="1316">
        <v>4</v>
      </c>
      <c r="L1" s="1795"/>
      <c r="M1" s="1795"/>
      <c r="R1" s="1795"/>
    </row>
    <row s="8721" customFormat="1" customHeight="1" ht="22.5" hidden="1">
      <c r="A2" s="1142"/>
      <c r="C2" s="1795"/>
      <c r="D2" s="692"/>
      <c r="E2" s="1796"/>
      <c r="F2" s="694"/>
      <c r="G2" s="1798" t="s">
        <v>553</v>
      </c>
      <c r="H2" s="695"/>
      <c r="I2" s="695"/>
      <c r="J2" s="696" t="s">
        <v>616</v>
      </c>
      <c r="K2" s="697"/>
      <c r="L2" s="1795"/>
      <c r="M2" s="1795"/>
      <c r="R2" s="1795"/>
      <c r="U2" s="698"/>
      <c r="AA2" s="1791"/>
      <c r="AB2" s="1791"/>
      <c r="AC2" s="1791"/>
      <c r="AD2" s="1791"/>
      <c r="AE2" s="1791"/>
    </row>
    <row customHeight="1" ht="11.25" hidden="1"/>
    <row s="9232" customFormat="1" customHeight="1" ht="11.25" hidden="1">
      <c r="A4" s="1142"/>
      <c r="B4" s="1316"/>
      <c r="C4" s="1795"/>
      <c r="D4" s="516"/>
      <c r="J4" s="1791">
        <v>4</v>
      </c>
      <c r="K4" s="1316"/>
      <c r="L4" s="1795"/>
      <c r="M4" s="1795"/>
      <c r="N4" s="1316"/>
      <c r="O4" s="1316"/>
      <c r="P4" s="1316"/>
      <c r="Q4" s="1316"/>
      <c r="R4" s="1795"/>
      <c r="S4" s="1316"/>
      <c r="T4" s="1316"/>
      <c r="U4" s="698"/>
      <c r="V4" s="1316"/>
      <c r="W4" s="1316"/>
      <c r="X4" s="1316"/>
      <c r="Y4" s="1316"/>
      <c r="Z4" s="1316"/>
    </row>
    <row r="6" customHeight="1" ht="22.5">
      <c r="E6" s="2366" t="s">
        <v>617</v>
      </c>
      <c r="F6" s="2366"/>
      <c r="G6" s="2366"/>
      <c r="H6" s="2366"/>
      <c r="I6" s="2366"/>
      <c r="J6" s="710"/>
    </row>
    <row customHeight="1" ht="24">
      <c r="E7" s="2354" t="str">
        <f>IF(org=0,"Не определено",org)</f>
        <v>АО "Теплокоммунэнерго"</v>
      </c>
      <c r="F7" s="2354"/>
      <c r="G7" s="2354"/>
      <c r="H7" s="2354"/>
      <c r="I7" s="2354"/>
    </row>
    <row customHeight="1" ht="11.25">
      <c r="E8" s="1291"/>
      <c r="F8" s="1291"/>
      <c r="G8" s="1291"/>
      <c r="H8" s="1291"/>
      <c r="I8" s="1291"/>
    </row>
    <row s="8847" customFormat="1" customHeight="1" ht="0.75">
      <c r="A9" s="1323"/>
      <c r="D9" s="1801"/>
      <c r="H9" s="1043"/>
      <c r="I9" s="1043" t="s">
        <v>114</v>
      </c>
    </row>
    <row customHeight="1" ht="11.25">
      <c r="E10" s="865"/>
      <c r="F10" s="2429" t="s">
        <v>102</v>
      </c>
      <c r="G10" s="2430"/>
      <c r="H10" s="1711" t="str">
        <f>IF(H9="","",INDEX(DIFFERENTIATION_UNMERGE_VD,MATCH(H9,DIFFERENTIATION_ID_DIFF,0)))</f>
        <v/>
      </c>
      <c r="I10" s="1711">
        <f>IF(I9="","",INDEX(DIFFERENTIATION_UNMERGE_VD,MATCH(I9,DIFFERENTIATION_ID_DIFF,0)))</f>
        <v>0</v>
      </c>
      <c r="J10" s="2185"/>
    </row>
    <row customHeight="1" ht="11.25">
      <c r="E11" s="865"/>
      <c r="F11" s="2429" t="s">
        <v>565</v>
      </c>
      <c r="G11" s="2430"/>
      <c r="H11" s="1711" t="str">
        <f>IF(H9="","",INDEX(DIFFERENTIATION_UNMERGE_AREA,MATCH(H9,DIFFERENTIATION_ID_DIFF,0)))</f>
        <v/>
      </c>
      <c r="I11" s="1711" t="str">
        <f>IF(I9="","",INDEX(DIFFERENTIATION_UNMERGE_AREA,MATCH(I9,DIFFERENTIATION_ID_DIFF,0)))</f>
        <v/>
      </c>
      <c r="J11" s="2185"/>
    </row>
    <row customHeight="1" ht="11.25" hidden="1">
      <c r="E12" s="1821"/>
      <c r="F12" s="2444" t="s">
        <v>566</v>
      </c>
      <c r="G12" s="2445"/>
      <c r="H12" s="1822" t="str">
        <f>IF(H9="","",INDEX(DIFFERENTIATION_UNMERGE_SYSTEM,MATCH(H9,DIFFERENTIATION_ID_DIFF,0)))</f>
        <v/>
      </c>
      <c r="I12" s="1822" t="str">
        <f>IF(I9="","",INDEX(DIFFERENTIATION_UNMERGE_SYSTEM,MATCH(I9,DIFFERENTIATION_ID_DIFF,0)))</f>
        <v>без дифференциации</v>
      </c>
      <c r="J12" s="2185"/>
    </row>
    <row customHeight="1" ht="11.25">
      <c r="E13" s="2431" t="s">
        <v>300</v>
      </c>
      <c r="F13" s="2432"/>
      <c r="G13" s="2432"/>
      <c r="H13" s="1710"/>
      <c r="I13" s="1710"/>
      <c r="J13" s="2185"/>
    </row>
    <row customHeight="1" ht="22.5">
      <c r="E14" s="1798" t="s">
        <v>85</v>
      </c>
      <c r="F14" s="1793" t="s">
        <v>302</v>
      </c>
      <c r="G14" s="1793" t="s">
        <v>567</v>
      </c>
      <c r="H14" s="1793" t="s">
        <v>303</v>
      </c>
      <c r="I14" s="1793" t="s">
        <v>303</v>
      </c>
      <c r="J14" s="2185"/>
    </row>
    <row customHeight="1" ht="18.75">
      <c r="D15" s="1797"/>
      <c r="E15" s="1789" t="s">
        <v>106</v>
      </c>
      <c r="F15" s="861" t="s">
        <v>618</v>
      </c>
      <c r="G15" s="1805" t="s">
        <v>553</v>
      </c>
      <c r="H15" s="711"/>
      <c r="I15" s="711"/>
      <c r="J15" s="443" t="s">
        <v>619</v>
      </c>
      <c r="K15" s="697" t="s">
        <v>620</v>
      </c>
    </row>
    <row customHeight="1" ht="33.75">
      <c r="D16" s="1797"/>
      <c r="E16" s="1789" t="s">
        <v>107</v>
      </c>
      <c r="F16" s="861" t="s">
        <v>621</v>
      </c>
      <c r="G16" s="1805" t="s">
        <v>553</v>
      </c>
      <c r="H16" s="712">
        <f>SUM(H17,H20:H32)</f>
        <v>0</v>
      </c>
      <c r="I16" s="712">
        <f>SUM(I17,I20:I32)</f>
        <v>0</v>
      </c>
      <c r="J16" s="443" t="s">
        <v>622</v>
      </c>
      <c r="K16" s="697" t="s">
        <v>620</v>
      </c>
    </row>
    <row customHeight="1" ht="18.75">
      <c r="D17" s="1797"/>
      <c r="E17" s="1823" t="s">
        <v>623</v>
      </c>
      <c r="F17" s="1109" t="s">
        <v>624</v>
      </c>
      <c r="G17" s="1802" t="s">
        <v>553</v>
      </c>
      <c r="H17" s="711"/>
      <c r="I17" s="711"/>
      <c r="J17" s="443" t="s">
        <v>625</v>
      </c>
      <c r="K17" s="697"/>
    </row>
    <row customHeight="1" ht="22.5">
      <c r="D18" s="1797"/>
      <c r="E18" s="1823" t="s">
        <v>626</v>
      </c>
      <c r="F18" s="1809" t="s">
        <v>627</v>
      </c>
      <c r="G18" s="1802" t="s">
        <v>553</v>
      </c>
      <c r="H18" s="711"/>
      <c r="I18" s="711"/>
      <c r="J18" s="443" t="s">
        <v>628</v>
      </c>
      <c r="K18" s="697"/>
    </row>
    <row customHeight="1" ht="33.75">
      <c r="D19" s="1797"/>
      <c r="E19" s="1823" t="s">
        <v>629</v>
      </c>
      <c r="F19" s="1809" t="s">
        <v>630</v>
      </c>
      <c r="G19" s="1802" t="s">
        <v>553</v>
      </c>
      <c r="H19" s="711"/>
      <c r="I19" s="711"/>
      <c r="J19" s="443"/>
      <c r="K19" s="697"/>
    </row>
    <row customHeight="1" ht="18.75">
      <c r="D20" s="1797"/>
      <c r="E20" s="1823" t="s">
        <v>307</v>
      </c>
      <c r="F20" s="1109" t="s">
        <v>631</v>
      </c>
      <c r="G20" s="1802" t="s">
        <v>553</v>
      </c>
      <c r="H20" s="711"/>
      <c r="I20" s="711"/>
      <c r="J20" s="443" t="s">
        <v>632</v>
      </c>
      <c r="K20" s="697"/>
    </row>
    <row customHeight="1" ht="18.75">
      <c r="D21" s="1797"/>
      <c r="E21" s="1823" t="s">
        <v>633</v>
      </c>
      <c r="F21" s="1809" t="s">
        <v>634</v>
      </c>
      <c r="G21" s="1802" t="s">
        <v>553</v>
      </c>
      <c r="H21" s="711"/>
      <c r="I21" s="711"/>
      <c r="J21" s="443"/>
      <c r="K21" s="697"/>
    </row>
    <row customHeight="1" ht="18.75">
      <c r="D22" s="1797"/>
      <c r="E22" s="1823" t="s">
        <v>635</v>
      </c>
      <c r="F22" s="1809" t="s">
        <v>636</v>
      </c>
      <c r="G22" s="1802" t="s">
        <v>553</v>
      </c>
      <c r="H22" s="711"/>
      <c r="I22" s="711"/>
      <c r="J22" s="443"/>
      <c r="K22" s="697"/>
    </row>
    <row customHeight="1" ht="22.5">
      <c r="D23" s="1797"/>
      <c r="E23" s="1823" t="s">
        <v>310</v>
      </c>
      <c r="F23" s="1109" t="s">
        <v>637</v>
      </c>
      <c r="G23" s="1802" t="s">
        <v>553</v>
      </c>
      <c r="H23" s="711"/>
      <c r="I23" s="711"/>
      <c r="J23" s="443" t="s">
        <v>638</v>
      </c>
      <c r="K23" s="697"/>
    </row>
    <row customHeight="1" ht="18.75">
      <c r="D24" s="1797"/>
      <c r="E24" s="1823" t="s">
        <v>639</v>
      </c>
      <c r="F24" s="1809" t="s">
        <v>640</v>
      </c>
      <c r="G24" s="1802" t="s">
        <v>553</v>
      </c>
      <c r="H24" s="711"/>
      <c r="I24" s="711"/>
      <c r="J24" s="443"/>
      <c r="K24" s="697"/>
    </row>
    <row customHeight="1" ht="33.75">
      <c r="D25" s="1797"/>
      <c r="E25" s="1823" t="s">
        <v>641</v>
      </c>
      <c r="F25" s="1809" t="s">
        <v>642</v>
      </c>
      <c r="G25" s="1802" t="s">
        <v>553</v>
      </c>
      <c r="H25" s="711"/>
      <c r="I25" s="711"/>
      <c r="J25" s="443"/>
      <c r="K25" s="697"/>
    </row>
    <row customHeight="1" ht="22.5">
      <c r="D26" s="1797"/>
      <c r="E26" s="1823" t="s">
        <v>643</v>
      </c>
      <c r="F26" s="1109" t="s">
        <v>644</v>
      </c>
      <c r="G26" s="1802" t="s">
        <v>553</v>
      </c>
      <c r="H26" s="711"/>
      <c r="I26" s="711"/>
      <c r="J26" s="443" t="s">
        <v>645</v>
      </c>
      <c r="K26" s="697"/>
    </row>
    <row customHeight="1" ht="18.75">
      <c r="D27" s="1797"/>
      <c r="E27" s="1834" t="s">
        <v>646</v>
      </c>
      <c r="F27" s="1809" t="s">
        <v>647</v>
      </c>
      <c r="G27" s="1813" t="s">
        <v>553</v>
      </c>
      <c r="H27" s="1835"/>
      <c r="I27" s="1835"/>
      <c r="J27" s="443"/>
      <c r="K27" s="697"/>
    </row>
    <row customHeight="1" ht="18.75">
      <c r="D28" s="1797"/>
      <c r="E28" s="1834" t="s">
        <v>648</v>
      </c>
      <c r="F28" s="1809" t="s">
        <v>649</v>
      </c>
      <c r="G28" s="1813" t="s">
        <v>553</v>
      </c>
      <c r="H28" s="1835"/>
      <c r="I28" s="1835"/>
      <c r="J28" s="443"/>
      <c r="K28" s="697"/>
    </row>
    <row customHeight="1" ht="18.75">
      <c r="D29" s="1797"/>
      <c r="E29" s="1834" t="s">
        <v>650</v>
      </c>
      <c r="F29" s="1109" t="s">
        <v>651</v>
      </c>
      <c r="G29" s="1813" t="s">
        <v>553</v>
      </c>
      <c r="H29" s="1835"/>
      <c r="I29" s="1835"/>
      <c r="J29" s="443"/>
      <c r="K29" s="697"/>
    </row>
    <row customHeight="1" ht="18.75">
      <c r="D30" s="1797"/>
      <c r="E30" s="1834" t="s">
        <v>652</v>
      </c>
      <c r="F30" s="1109" t="s">
        <v>653</v>
      </c>
      <c r="G30" s="1813" t="s">
        <v>553</v>
      </c>
      <c r="H30" s="1835"/>
      <c r="I30" s="1835"/>
      <c r="J30" s="443"/>
      <c r="K30" s="697"/>
    </row>
    <row customHeight="1" ht="18.75">
      <c r="D31" s="1797"/>
      <c r="E31" s="1834" t="s">
        <v>654</v>
      </c>
      <c r="F31" s="1109" t="s">
        <v>655</v>
      </c>
      <c r="G31" s="1813" t="s">
        <v>553</v>
      </c>
      <c r="H31" s="1835"/>
      <c r="I31" s="1835"/>
      <c r="J31" s="443"/>
      <c r="K31" s="697"/>
    </row>
    <row s="8721" customFormat="1" customHeight="1" ht="22.5">
      <c r="A32" s="1142"/>
      <c r="C32" s="1795"/>
      <c r="D32" s="1797"/>
      <c r="E32" s="1834" t="s">
        <v>656</v>
      </c>
      <c r="F32" s="1109" t="s">
        <v>657</v>
      </c>
      <c r="G32" s="1803" t="s">
        <v>553</v>
      </c>
      <c r="H32" s="733">
        <f>SUM(H33:H34)</f>
        <v>0</v>
      </c>
      <c r="I32" s="733">
        <f>SUM(I33:I34)</f>
        <v>0</v>
      </c>
      <c r="J32" s="443" t="s">
        <v>658</v>
      </c>
      <c r="K32" s="697"/>
      <c r="L32" s="1795"/>
      <c r="M32" s="1795"/>
      <c r="R32" s="1795"/>
      <c r="U32" s="698"/>
      <c r="AA32" s="1791"/>
      <c r="AB32" s="1791"/>
      <c r="AC32" s="1791"/>
      <c r="AD32" s="1791"/>
      <c r="AE32" s="1791"/>
    </row>
    <row s="8847" customFormat="1" customHeight="1" ht="0.75">
      <c r="A33" s="1323"/>
      <c r="D33" s="702"/>
      <c r="E33" s="956" t="str">
        <f>E32&amp;".0"</f>
        <v>2.8.0</v>
      </c>
      <c r="F33" s="1146"/>
      <c r="G33" s="705"/>
      <c r="H33" s="1147"/>
      <c r="I33" s="1147"/>
      <c r="J33" s="1148"/>
    </row>
    <row s="8721" customFormat="1" customHeight="1" ht="18.75">
      <c r="A34" s="1142"/>
      <c r="C34" s="1795"/>
      <c r="D34" s="1792"/>
      <c r="E34" s="724"/>
      <c r="F34" s="1825" t="s">
        <v>578</v>
      </c>
      <c r="G34" s="726"/>
      <c r="H34" s="727"/>
      <c r="I34" s="727"/>
      <c r="J34" s="455" t="s">
        <v>659</v>
      </c>
      <c r="K34" s="697"/>
      <c r="L34" s="1795"/>
      <c r="M34" s="1795"/>
      <c r="R34" s="1795"/>
      <c r="U34" s="698"/>
      <c r="AA34" s="1791"/>
      <c r="AB34" s="1791"/>
      <c r="AC34" s="1791"/>
      <c r="AD34" s="1791"/>
      <c r="AE34" s="1791"/>
    </row>
    <row customHeight="1" ht="56.25">
      <c r="D35" s="1797"/>
      <c r="E35" s="1834" t="s">
        <v>660</v>
      </c>
      <c r="F35" s="1109" t="s">
        <v>661</v>
      </c>
      <c r="G35" s="1813" t="s">
        <v>553</v>
      </c>
      <c r="H35" s="1835"/>
      <c r="I35" s="1835"/>
      <c r="J35" s="443" t="s">
        <v>662</v>
      </c>
      <c r="K35" s="697"/>
    </row>
    <row s="8721" customFormat="1" customHeight="1" ht="22.5">
      <c r="A36" s="1144" t="s">
        <v>579</v>
      </c>
      <c r="C36" s="1795"/>
      <c r="D36" s="1797"/>
      <c r="E36" s="1823" t="s">
        <v>87</v>
      </c>
      <c r="F36" s="861" t="s">
        <v>663</v>
      </c>
      <c r="G36" s="1802" t="s">
        <v>553</v>
      </c>
      <c r="H36" s="711"/>
      <c r="I36" s="711"/>
      <c r="J36" s="443" t="s">
        <v>664</v>
      </c>
      <c r="K36" s="697"/>
      <c r="L36" s="1795"/>
      <c r="M36" s="1795"/>
      <c r="R36" s="1795"/>
      <c r="U36" s="698"/>
      <c r="AA36" s="1791"/>
      <c r="AB36" s="1791"/>
      <c r="AC36" s="1791"/>
      <c r="AD36" s="1791"/>
      <c r="AE36" s="1791"/>
    </row>
    <row s="8721" customFormat="1" customHeight="1" ht="22.5">
      <c r="A37" s="1144"/>
      <c r="C37" s="1795"/>
      <c r="D37" s="1797"/>
      <c r="E37" s="1823" t="s">
        <v>324</v>
      </c>
      <c r="F37" s="1109" t="s">
        <v>665</v>
      </c>
      <c r="G37" s="1813"/>
      <c r="H37" s="711"/>
      <c r="I37" s="711"/>
      <c r="J37" s="443"/>
      <c r="K37" s="697"/>
      <c r="L37" s="1795"/>
      <c r="M37" s="1795"/>
      <c r="R37" s="1795"/>
      <c r="U37" s="698"/>
      <c r="AA37" s="1791"/>
      <c r="AB37" s="1791"/>
      <c r="AC37" s="1791"/>
      <c r="AD37" s="1791"/>
      <c r="AE37" s="1791"/>
    </row>
    <row s="8721" customFormat="1" customHeight="1" ht="18.75">
      <c r="A38" s="1142"/>
      <c r="C38" s="1795"/>
      <c r="D38" s="729"/>
      <c r="E38" s="1823" t="s">
        <v>88</v>
      </c>
      <c r="F38" s="861" t="s">
        <v>666</v>
      </c>
      <c r="G38" s="1802" t="s">
        <v>553</v>
      </c>
      <c r="H38" s="711"/>
      <c r="I38" s="711"/>
      <c r="J38" s="443" t="s">
        <v>667</v>
      </c>
      <c r="K38" s="697"/>
      <c r="L38" s="1795"/>
      <c r="M38" s="1795"/>
      <c r="R38" s="1795"/>
      <c r="U38" s="698"/>
      <c r="AA38" s="1791"/>
      <c r="AB38" s="1791"/>
      <c r="AC38" s="1791"/>
      <c r="AD38" s="1791"/>
      <c r="AE38" s="1791"/>
    </row>
    <row s="8721" customFormat="1" customHeight="1" ht="22.5">
      <c r="A39" s="1142"/>
      <c r="C39" s="1795"/>
      <c r="D39" s="729"/>
      <c r="E39" s="1823" t="s">
        <v>668</v>
      </c>
      <c r="F39" s="1109" t="s">
        <v>669</v>
      </c>
      <c r="G39" s="1813" t="s">
        <v>553</v>
      </c>
      <c r="H39" s="711"/>
      <c r="I39" s="711"/>
      <c r="J39" s="443" t="s">
        <v>670</v>
      </c>
      <c r="K39" s="697"/>
      <c r="L39" s="1795"/>
      <c r="M39" s="1795"/>
      <c r="R39" s="1795"/>
      <c r="U39" s="698"/>
      <c r="AA39" s="1791"/>
      <c r="AB39" s="1791"/>
      <c r="AC39" s="1791"/>
      <c r="AD39" s="1791"/>
      <c r="AE39" s="1791"/>
    </row>
    <row s="8721" customFormat="1" customHeight="1" ht="22.5">
      <c r="A40" s="1142"/>
      <c r="C40" s="1795"/>
      <c r="D40" s="1797"/>
      <c r="E40" s="1823" t="s">
        <v>671</v>
      </c>
      <c r="F40" s="1809" t="s">
        <v>672</v>
      </c>
      <c r="G40" s="1802" t="s">
        <v>553</v>
      </c>
      <c r="H40" s="711"/>
      <c r="I40" s="711"/>
      <c r="J40" s="443" t="s">
        <v>673</v>
      </c>
      <c r="K40" s="697"/>
      <c r="L40" s="1795"/>
      <c r="M40" s="1795"/>
      <c r="R40" s="1795"/>
      <c r="U40" s="698"/>
      <c r="AA40" s="1791"/>
      <c r="AB40" s="1791"/>
      <c r="AC40" s="1791"/>
      <c r="AD40" s="1791"/>
      <c r="AE40" s="1791"/>
    </row>
    <row s="8721" customFormat="1" customHeight="1" ht="22.5">
      <c r="A41" s="1142"/>
      <c r="C41" s="1795"/>
      <c r="D41" s="1797"/>
      <c r="E41" s="1823" t="s">
        <v>674</v>
      </c>
      <c r="F41" s="1809" t="s">
        <v>675</v>
      </c>
      <c r="G41" s="1802" t="s">
        <v>553</v>
      </c>
      <c r="H41" s="711"/>
      <c r="I41" s="711"/>
      <c r="J41" s="443" t="s">
        <v>676</v>
      </c>
      <c r="K41" s="697"/>
      <c r="L41" s="1795"/>
      <c r="M41" s="1795"/>
      <c r="R41" s="1795"/>
      <c r="U41" s="698"/>
      <c r="AA41" s="1791"/>
      <c r="AB41" s="1791"/>
      <c r="AC41" s="1791"/>
      <c r="AD41" s="1791"/>
      <c r="AE41" s="1791"/>
    </row>
    <row s="8721" customFormat="1" customHeight="1" ht="22.5">
      <c r="A42" s="1142"/>
      <c r="C42" s="1795"/>
      <c r="D42" s="1797"/>
      <c r="E42" s="1823" t="s">
        <v>677</v>
      </c>
      <c r="F42" s="1809" t="s">
        <v>678</v>
      </c>
      <c r="G42" s="1802" t="s">
        <v>553</v>
      </c>
      <c r="H42" s="711"/>
      <c r="I42" s="711"/>
      <c r="J42" s="443" t="s">
        <v>679</v>
      </c>
      <c r="K42" s="697"/>
      <c r="L42" s="1795"/>
      <c r="M42" s="1795"/>
      <c r="R42" s="1795"/>
      <c r="U42" s="698"/>
      <c r="AA42" s="1791"/>
      <c r="AB42" s="1791"/>
      <c r="AC42" s="1791"/>
      <c r="AD42" s="1791"/>
      <c r="AE42" s="1791"/>
    </row>
    <row s="8721" customFormat="1" customHeight="1" ht="33.75">
      <c r="A43" s="1142"/>
      <c r="C43" s="1795" t="s">
        <v>589</v>
      </c>
      <c r="D43" s="1797"/>
      <c r="E43" s="1823" t="s">
        <v>108</v>
      </c>
      <c r="F43" s="861" t="s">
        <v>680</v>
      </c>
      <c r="G43" s="1805" t="s">
        <v>681</v>
      </c>
      <c r="H43" s="555"/>
      <c r="I43" s="555"/>
      <c r="J43" s="443" t="s">
        <v>682</v>
      </c>
      <c r="K43" s="697"/>
      <c r="L43" s="1795"/>
      <c r="M43" s="1795"/>
      <c r="R43" s="1795"/>
      <c r="U43" s="698"/>
      <c r="AA43" s="1791"/>
      <c r="AB43" s="1791"/>
      <c r="AC43" s="1791"/>
      <c r="AD43" s="1791"/>
      <c r="AE43" s="1791"/>
    </row>
    <row s="8721" customFormat="1" customHeight="1" ht="22.5">
      <c r="A44" s="1142"/>
      <c r="C44" s="1795"/>
      <c r="D44" s="1797"/>
      <c r="E44" s="1823" t="s">
        <v>89</v>
      </c>
      <c r="F44" s="861" t="s">
        <v>683</v>
      </c>
      <c r="G44" s="1802" t="s">
        <v>684</v>
      </c>
      <c r="H44" s="699"/>
      <c r="I44" s="699"/>
      <c r="J44" s="443" t="s">
        <v>685</v>
      </c>
      <c r="K44" s="697"/>
      <c r="L44" s="1795"/>
      <c r="M44" s="1795"/>
      <c r="R44" s="1795"/>
      <c r="U44" s="698"/>
      <c r="AA44" s="1791"/>
      <c r="AB44" s="1791"/>
      <c r="AC44" s="1791"/>
      <c r="AD44" s="1791"/>
      <c r="AE44" s="1791"/>
    </row>
    <row s="8721" customFormat="1" customHeight="1" ht="22.5">
      <c r="A45" s="1142"/>
      <c r="C45" s="1795"/>
      <c r="D45" s="1797"/>
      <c r="E45" s="1823" t="s">
        <v>90</v>
      </c>
      <c r="F45" s="861" t="s">
        <v>686</v>
      </c>
      <c r="G45" s="1813" t="s">
        <v>687</v>
      </c>
      <c r="H45" s="699"/>
      <c r="I45" s="699"/>
      <c r="J45" s="443" t="s">
        <v>688</v>
      </c>
      <c r="K45" s="697"/>
      <c r="L45" s="1795"/>
      <c r="M45" s="1795"/>
      <c r="R45" s="1795"/>
      <c r="U45" s="698"/>
      <c r="AA45" s="1791"/>
      <c r="AB45" s="1791"/>
      <c r="AC45" s="1791"/>
      <c r="AD45" s="1791"/>
      <c r="AE45" s="1791"/>
    </row>
    <row s="8721" customFormat="1" customHeight="1" ht="18.75">
      <c r="A46" s="1142"/>
      <c r="C46" s="1795"/>
      <c r="D46" s="1797"/>
      <c r="E46" s="1823" t="s">
        <v>109</v>
      </c>
      <c r="F46" s="861" t="s">
        <v>689</v>
      </c>
      <c r="G46" s="1802" t="s">
        <v>591</v>
      </c>
      <c r="H46" s="731"/>
      <c r="I46" s="731"/>
      <c r="J46" s="443"/>
      <c r="K46" s="697"/>
      <c r="L46" s="1795"/>
      <c r="M46" s="1795"/>
      <c r="R46" s="1795"/>
      <c r="U46" s="698"/>
      <c r="AA46" s="1791"/>
      <c r="AB46" s="1791"/>
      <c r="AC46" s="1791"/>
      <c r="AD46" s="1791"/>
      <c r="AE46" s="1791"/>
    </row>
    <row customHeight="1" ht="11.25">
      <c r="D47" s="1797"/>
    </row>
    <row customHeight="1" ht="26.25">
      <c r="D48" s="1797"/>
      <c r="E48" s="1411"/>
      <c r="F48" s="2319"/>
      <c r="G48" s="2319"/>
      <c r="H48" s="2319"/>
      <c r="I48" s="2319"/>
      <c r="J48" s="2319"/>
    </row>
    <row s="8844" customFormat="1" customHeight="1" ht="37.5">
      <c r="A49" s="1142"/>
      <c r="B49" s="1795"/>
      <c r="C49" s="1795"/>
      <c r="D49" s="505"/>
      <c r="F49" s="2319"/>
      <c r="G49" s="2319"/>
      <c r="H49" s="2319"/>
      <c r="I49" s="2319"/>
      <c r="J49" s="2319"/>
      <c r="K49" s="1316"/>
      <c r="L49" s="1795"/>
      <c r="M49" s="1795"/>
      <c r="N49" s="1316"/>
      <c r="O49" s="1316"/>
      <c r="P49" s="1316"/>
      <c r="Q49" s="1316"/>
      <c r="R49" s="1795"/>
      <c r="S49" s="1316"/>
      <c r="T49" s="1316"/>
      <c r="U49" s="698"/>
      <c r="V49" s="1316"/>
      <c r="W49" s="1316"/>
      <c r="X49" s="1316"/>
      <c r="Y49" s="1316"/>
      <c r="Z49" s="1316"/>
      <c r="AA49" s="1791"/>
      <c r="AB49" s="720"/>
      <c r="AC49" s="720"/>
      <c r="AD49" s="720"/>
      <c r="AE49" s="720"/>
    </row>
    <row s="8844" customFormat="1" customHeight="1" ht="11.25">
      <c r="A50" s="1142"/>
      <c r="B50" s="1795"/>
      <c r="C50" s="1795"/>
      <c r="D50" s="505"/>
      <c r="K50" s="1316"/>
      <c r="L50" s="1795"/>
      <c r="M50" s="1795"/>
      <c r="N50" s="1316"/>
      <c r="O50" s="1316"/>
      <c r="P50" s="1316"/>
      <c r="Q50" s="1316"/>
      <c r="R50" s="1795"/>
      <c r="S50" s="1316"/>
      <c r="T50" s="1316"/>
      <c r="U50" s="698"/>
      <c r="V50" s="1316"/>
      <c r="W50" s="1316"/>
      <c r="X50" s="1316"/>
      <c r="Y50" s="1316"/>
      <c r="Z50" s="1316"/>
      <c r="AA50" s="1791"/>
      <c r="AB50" s="720"/>
      <c r="AC50" s="720"/>
      <c r="AD50" s="720"/>
      <c r="AE50" s="720"/>
    </row>
    <row s="8844" customFormat="1" customHeight="1" ht="11.25">
      <c r="A51" s="1142"/>
      <c r="B51" s="1795"/>
      <c r="C51" s="1795"/>
      <c r="D51" s="505"/>
      <c r="K51" s="1316"/>
      <c r="L51" s="1795"/>
      <c r="M51" s="1795"/>
      <c r="N51" s="1316"/>
      <c r="O51" s="1316"/>
      <c r="P51" s="1316"/>
      <c r="Q51" s="1316"/>
      <c r="R51" s="1795"/>
      <c r="S51" s="1316"/>
      <c r="T51" s="1316"/>
      <c r="U51" s="698"/>
      <c r="V51" s="1316"/>
      <c r="W51" s="1316"/>
      <c r="X51" s="1316"/>
      <c r="Y51" s="1316"/>
      <c r="Z51" s="1316"/>
      <c r="AA51" s="1791"/>
      <c r="AB51" s="720"/>
      <c r="AC51" s="720"/>
      <c r="AD51" s="720"/>
      <c r="AE51" s="720"/>
    </row>
    <row s="8844" customFormat="1" customHeight="1" ht="11.25">
      <c r="A52" s="1142"/>
      <c r="B52" s="1795"/>
      <c r="C52" s="1795"/>
      <c r="D52" s="505"/>
      <c r="H52" s="720"/>
      <c r="I52" s="720"/>
      <c r="K52" s="1316"/>
      <c r="L52" s="1795"/>
      <c r="M52" s="1795"/>
      <c r="N52" s="1316"/>
      <c r="O52" s="1316"/>
      <c r="P52" s="1316"/>
      <c r="Q52" s="1316"/>
      <c r="R52" s="1795"/>
      <c r="S52" s="1316"/>
      <c r="T52" s="1316"/>
      <c r="U52" s="698"/>
      <c r="V52" s="1316"/>
      <c r="W52" s="1316"/>
      <c r="X52" s="1316"/>
      <c r="Y52" s="1316"/>
      <c r="Z52" s="1316"/>
      <c r="AA52" s="1791"/>
      <c r="AB52" s="720"/>
      <c r="AC52" s="720"/>
      <c r="AD52" s="720"/>
      <c r="AE52" s="720"/>
    </row>
    <row s="8844" customFormat="1" customHeight="1" ht="11.25">
      <c r="A53" s="1142"/>
      <c r="B53" s="1795"/>
      <c r="C53" s="1795"/>
      <c r="D53" s="505"/>
      <c r="K53" s="1316"/>
      <c r="L53" s="1795"/>
      <c r="M53" s="1795"/>
      <c r="N53" s="1316"/>
      <c r="O53" s="1316"/>
      <c r="P53" s="1316"/>
      <c r="Q53" s="1316"/>
      <c r="R53" s="1795"/>
      <c r="S53" s="1316"/>
      <c r="T53" s="1316"/>
      <c r="U53" s="698"/>
      <c r="V53" s="1316"/>
      <c r="W53" s="1316"/>
      <c r="X53" s="1316"/>
      <c r="Y53" s="1316"/>
      <c r="Z53" s="1316"/>
      <c r="AA53" s="1791"/>
      <c r="AB53" s="720"/>
      <c r="AC53" s="720"/>
      <c r="AD53" s="720"/>
      <c r="AE53" s="720"/>
    </row>
    <row s="8844" customFormat="1" customHeight="1" ht="11.25">
      <c r="A54" s="1142"/>
      <c r="B54" s="1795"/>
      <c r="C54" s="1795"/>
      <c r="D54" s="505"/>
      <c r="K54" s="1316"/>
      <c r="L54" s="1795"/>
      <c r="M54" s="1795"/>
      <c r="N54" s="1316"/>
      <c r="O54" s="1316"/>
      <c r="P54" s="1316"/>
      <c r="Q54" s="1316"/>
      <c r="R54" s="1795"/>
      <c r="S54" s="1316"/>
      <c r="T54" s="1316"/>
      <c r="U54" s="698"/>
      <c r="V54" s="1316"/>
      <c r="W54" s="1316"/>
      <c r="X54" s="1316"/>
      <c r="Y54" s="1316"/>
      <c r="Z54" s="1316"/>
      <c r="AA54" s="1791"/>
      <c r="AB54" s="720"/>
      <c r="AC54" s="720"/>
      <c r="AD54" s="720"/>
      <c r="AE54" s="720"/>
    </row>
    <row s="8844" customFormat="1" customHeight="1" ht="11.25">
      <c r="A55" s="1142"/>
      <c r="B55" s="1795"/>
      <c r="C55" s="1795"/>
      <c r="D55" s="505"/>
      <c r="K55" s="1316"/>
      <c r="L55" s="1795"/>
      <c r="M55" s="1795"/>
      <c r="N55" s="1316"/>
      <c r="O55" s="1316"/>
      <c r="P55" s="1316"/>
      <c r="Q55" s="1316"/>
      <c r="R55" s="1795"/>
      <c r="S55" s="1316"/>
      <c r="T55" s="1316"/>
      <c r="U55" s="698"/>
      <c r="V55" s="1316"/>
      <c r="W55" s="1316"/>
      <c r="X55" s="1316"/>
      <c r="Y55" s="1316"/>
      <c r="Z55" s="1316"/>
      <c r="AA55" s="1791"/>
      <c r="AB55" s="720"/>
      <c r="AC55" s="720"/>
      <c r="AD55" s="720"/>
      <c r="AE55" s="720"/>
    </row>
    <row s="8844" customFormat="1" customHeight="1" ht="11.25">
      <c r="A56" s="1142"/>
      <c r="B56" s="1795"/>
      <c r="C56" s="1795"/>
      <c r="D56" s="505"/>
      <c r="K56" s="1316"/>
      <c r="L56" s="1795"/>
      <c r="M56" s="1795"/>
      <c r="N56" s="1316"/>
      <c r="O56" s="1316"/>
      <c r="P56" s="1316"/>
      <c r="Q56" s="1316"/>
      <c r="R56" s="1795"/>
      <c r="S56" s="1316"/>
      <c r="T56" s="1316"/>
      <c r="U56" s="698"/>
      <c r="V56" s="1316"/>
      <c r="W56" s="1316"/>
      <c r="X56" s="1316"/>
      <c r="Y56" s="1316"/>
      <c r="Z56" s="1316"/>
      <c r="AA56" s="1791"/>
      <c r="AB56" s="720"/>
      <c r="AC56" s="720"/>
      <c r="AD56" s="720"/>
      <c r="AE56" s="720"/>
    </row>
    <row s="8844" customFormat="1" customHeight="1" ht="11.25">
      <c r="A57" s="1142"/>
      <c r="B57" s="1795"/>
      <c r="C57" s="1795"/>
      <c r="D57" s="505"/>
      <c r="K57" s="1316"/>
      <c r="L57" s="1795"/>
      <c r="M57" s="1795"/>
      <c r="N57" s="1316"/>
      <c r="O57" s="1316"/>
      <c r="P57" s="1316"/>
      <c r="Q57" s="1316"/>
      <c r="R57" s="1795"/>
      <c r="S57" s="1316"/>
      <c r="T57" s="1316"/>
      <c r="U57" s="698"/>
      <c r="V57" s="1316"/>
      <c r="W57" s="1316"/>
      <c r="X57" s="1316"/>
      <c r="Y57" s="1316"/>
      <c r="Z57" s="1316"/>
      <c r="AA57" s="1791"/>
      <c r="AB57" s="720"/>
      <c r="AC57" s="720"/>
      <c r="AD57" s="720"/>
      <c r="AE57" s="720"/>
    </row>
    <row s="8844" customFormat="1" customHeight="1" ht="11.25">
      <c r="A58" s="1142"/>
      <c r="B58" s="1795"/>
      <c r="C58" s="1795"/>
      <c r="D58" s="505"/>
      <c r="K58" s="1316"/>
      <c r="L58" s="1795"/>
      <c r="M58" s="1795"/>
      <c r="N58" s="1316"/>
      <c r="O58" s="1316"/>
      <c r="P58" s="1316"/>
      <c r="Q58" s="1316"/>
      <c r="R58" s="1795"/>
      <c r="S58" s="1316"/>
      <c r="T58" s="1316"/>
      <c r="U58" s="698"/>
      <c r="V58" s="1316"/>
      <c r="W58" s="1316"/>
      <c r="X58" s="1316"/>
      <c r="Y58" s="1316"/>
      <c r="Z58" s="1316"/>
      <c r="AA58" s="1791"/>
      <c r="AB58" s="720"/>
      <c r="AC58" s="720"/>
      <c r="AD58" s="720"/>
      <c r="AE58" s="720"/>
    </row>
    <row s="8844" customFormat="1" customHeight="1" ht="11.25">
      <c r="A59" s="1142"/>
      <c r="B59" s="1795"/>
      <c r="C59" s="1795"/>
      <c r="D59" s="505"/>
      <c r="K59" s="1316"/>
      <c r="L59" s="1795"/>
      <c r="M59" s="1795"/>
      <c r="N59" s="1316"/>
      <c r="O59" s="1316"/>
      <c r="P59" s="1316"/>
      <c r="Q59" s="1316"/>
      <c r="R59" s="1795"/>
      <c r="S59" s="1316"/>
      <c r="T59" s="1316"/>
      <c r="U59" s="698"/>
      <c r="V59" s="1316"/>
      <c r="W59" s="1316"/>
      <c r="X59" s="1316"/>
      <c r="Y59" s="1316"/>
      <c r="Z59" s="1316"/>
      <c r="AA59" s="1791"/>
      <c r="AB59" s="720"/>
      <c r="AC59" s="720"/>
      <c r="AD59" s="720"/>
      <c r="AE59" s="720"/>
    </row>
    <row s="8844" customFormat="1" customHeight="1" ht="11.25">
      <c r="A60" s="1142"/>
      <c r="B60" s="1795"/>
      <c r="C60" s="1795"/>
      <c r="D60" s="505"/>
      <c r="K60" s="1316"/>
      <c r="L60" s="1795"/>
      <c r="M60" s="1795"/>
      <c r="N60" s="1316"/>
      <c r="O60" s="1316"/>
      <c r="P60" s="1316"/>
      <c r="Q60" s="1316"/>
      <c r="R60" s="1795"/>
      <c r="S60" s="1316"/>
      <c r="T60" s="1316"/>
      <c r="U60" s="698"/>
      <c r="V60" s="1316"/>
      <c r="W60" s="1316"/>
      <c r="X60" s="1316"/>
      <c r="Y60" s="1316"/>
      <c r="Z60" s="1316"/>
      <c r="AA60" s="1791"/>
      <c r="AB60" s="720"/>
      <c r="AC60" s="720"/>
      <c r="AD60" s="720"/>
      <c r="AE60" s="720"/>
    </row>
    <row s="8844" customFormat="1" customHeight="1" ht="11.25">
      <c r="A61" s="1142"/>
      <c r="B61" s="1795"/>
      <c r="C61" s="1795"/>
      <c r="D61" s="505"/>
      <c r="K61" s="1316"/>
      <c r="L61" s="1795"/>
      <c r="M61" s="1795"/>
      <c r="N61" s="1316"/>
      <c r="O61" s="1316"/>
      <c r="P61" s="1316"/>
      <c r="Q61" s="1316"/>
      <c r="R61" s="1795"/>
      <c r="S61" s="1316"/>
      <c r="T61" s="1316"/>
      <c r="U61" s="698"/>
      <c r="V61" s="1316"/>
      <c r="W61" s="1316"/>
      <c r="X61" s="1316"/>
      <c r="Y61" s="1316"/>
      <c r="Z61" s="1316"/>
      <c r="AA61" s="1791"/>
      <c r="AB61" s="720"/>
      <c r="AC61" s="720"/>
      <c r="AD61" s="720"/>
      <c r="AE61" s="720"/>
    </row>
    <row s="8844" customFormat="1" customHeight="1" ht="11.25">
      <c r="A62" s="1142"/>
      <c r="B62" s="1795"/>
      <c r="C62" s="1795"/>
      <c r="D62" s="505"/>
      <c r="K62" s="1316"/>
      <c r="L62" s="1795"/>
      <c r="M62" s="1795"/>
      <c r="N62" s="1316"/>
      <c r="O62" s="1316"/>
      <c r="P62" s="1316"/>
      <c r="Q62" s="1316"/>
      <c r="R62" s="1795"/>
      <c r="S62" s="1316"/>
      <c r="T62" s="1316"/>
      <c r="U62" s="698"/>
      <c r="V62" s="1316"/>
      <c r="W62" s="1316"/>
      <c r="X62" s="1316"/>
      <c r="Y62" s="1316"/>
      <c r="Z62" s="1316"/>
      <c r="AA62" s="1791"/>
      <c r="AB62" s="720"/>
      <c r="AC62" s="720"/>
      <c r="AD62" s="720"/>
      <c r="AE62" s="720"/>
    </row>
    <row s="8844" customFormat="1" customHeight="1" ht="11.25">
      <c r="A63" s="1142"/>
      <c r="B63" s="1795"/>
      <c r="C63" s="1795"/>
      <c r="D63" s="505"/>
      <c r="K63" s="1316"/>
      <c r="L63" s="1795"/>
      <c r="M63" s="1795"/>
      <c r="N63" s="1316"/>
      <c r="O63" s="1316"/>
      <c r="P63" s="1316"/>
      <c r="Q63" s="1316"/>
      <c r="R63" s="1795"/>
      <c r="S63" s="1316"/>
      <c r="T63" s="1316"/>
      <c r="U63" s="698"/>
      <c r="V63" s="1316"/>
      <c r="W63" s="1316"/>
      <c r="X63" s="1316"/>
      <c r="Y63" s="1316"/>
      <c r="Z63" s="1316"/>
      <c r="AA63" s="1791"/>
      <c r="AB63" s="720"/>
      <c r="AC63" s="720"/>
      <c r="AD63" s="720"/>
      <c r="AE63" s="720"/>
    </row>
    <row s="8844" customFormat="1" customHeight="1" ht="11.25">
      <c r="A64" s="1142"/>
      <c r="B64" s="1795"/>
      <c r="C64" s="1795"/>
      <c r="D64" s="505"/>
      <c r="K64" s="1316"/>
      <c r="L64" s="1795"/>
      <c r="M64" s="1795"/>
      <c r="N64" s="1316"/>
      <c r="O64" s="1316"/>
      <c r="P64" s="1316"/>
      <c r="Q64" s="1316"/>
      <c r="R64" s="1795"/>
      <c r="S64" s="1316"/>
      <c r="T64" s="1316"/>
      <c r="U64" s="698"/>
      <c r="V64" s="1316"/>
      <c r="W64" s="1316"/>
      <c r="X64" s="1316"/>
      <c r="Y64" s="1316"/>
      <c r="Z64" s="1316"/>
      <c r="AA64" s="1791"/>
      <c r="AB64" s="720"/>
      <c r="AC64" s="720"/>
      <c r="AD64" s="720"/>
      <c r="AE64" s="720"/>
    </row>
    <row s="8844" customFormat="1" customHeight="1" ht="11.25">
      <c r="A65" s="1142"/>
      <c r="B65" s="1795"/>
      <c r="C65" s="1795"/>
      <c r="D65" s="505"/>
      <c r="K65" s="1316"/>
      <c r="L65" s="1795"/>
      <c r="M65" s="1795"/>
      <c r="N65" s="1316"/>
      <c r="O65" s="1316"/>
      <c r="P65" s="1316"/>
      <c r="Q65" s="1316"/>
      <c r="R65" s="1795"/>
      <c r="S65" s="1316"/>
      <c r="T65" s="1316"/>
      <c r="U65" s="698"/>
      <c r="V65" s="1316"/>
      <c r="W65" s="1316"/>
      <c r="X65" s="1316"/>
      <c r="Y65" s="1316"/>
      <c r="Z65" s="1316"/>
      <c r="AA65" s="1791"/>
      <c r="AB65" s="720"/>
      <c r="AC65" s="720"/>
      <c r="AD65" s="720"/>
      <c r="AE65" s="720"/>
    </row>
    <row s="8844" customFormat="1" customHeight="1" ht="11.25">
      <c r="A66" s="1142"/>
      <c r="B66" s="1795"/>
      <c r="C66" s="1795"/>
      <c r="D66" s="505"/>
      <c r="K66" s="1316"/>
      <c r="L66" s="1795"/>
      <c r="M66" s="1795"/>
      <c r="N66" s="1316"/>
      <c r="O66" s="1316"/>
      <c r="P66" s="1316"/>
      <c r="Q66" s="1316"/>
      <c r="R66" s="1795"/>
      <c r="S66" s="1316"/>
      <c r="T66" s="1316"/>
      <c r="U66" s="698"/>
      <c r="V66" s="1316"/>
      <c r="W66" s="1316"/>
      <c r="X66" s="1316"/>
      <c r="Y66" s="1316"/>
      <c r="Z66" s="1316"/>
      <c r="AA66" s="1791"/>
      <c r="AB66" s="720"/>
      <c r="AC66" s="720"/>
      <c r="AD66" s="720"/>
      <c r="AE66" s="720"/>
    </row>
    <row s="8844" customFormat="1" customHeight="1" ht="11.25">
      <c r="A67" s="1142"/>
      <c r="B67" s="1795"/>
      <c r="C67" s="1795"/>
      <c r="D67" s="505"/>
      <c r="K67" s="1316"/>
      <c r="L67" s="1795"/>
      <c r="M67" s="1795"/>
      <c r="N67" s="1316"/>
      <c r="O67" s="1316"/>
      <c r="P67" s="1316"/>
      <c r="Q67" s="1316"/>
      <c r="R67" s="1795"/>
      <c r="S67" s="1316"/>
      <c r="T67" s="1316"/>
      <c r="U67" s="698"/>
      <c r="V67" s="1316"/>
      <c r="W67" s="1316"/>
      <c r="X67" s="1316"/>
      <c r="Y67" s="1316"/>
      <c r="Z67" s="1316"/>
      <c r="AA67" s="1791"/>
      <c r="AB67" s="720"/>
      <c r="AC67" s="720"/>
      <c r="AD67" s="720"/>
      <c r="AE67" s="720"/>
    </row>
    <row s="8844" customFormat="1" customHeight="1" ht="11.25">
      <c r="A68" s="1142"/>
      <c r="B68" s="1795"/>
      <c r="C68" s="1795"/>
      <c r="D68" s="505"/>
      <c r="K68" s="1316"/>
      <c r="L68" s="1795"/>
      <c r="M68" s="1795"/>
      <c r="N68" s="1316"/>
      <c r="O68" s="1316"/>
      <c r="P68" s="1316"/>
      <c r="Q68" s="1316"/>
      <c r="R68" s="1795"/>
      <c r="S68" s="1316"/>
      <c r="T68" s="1316"/>
      <c r="U68" s="698"/>
      <c r="V68" s="1316"/>
      <c r="W68" s="1316"/>
      <c r="X68" s="1316"/>
      <c r="Y68" s="1316"/>
      <c r="Z68" s="1316"/>
      <c r="AA68" s="1791"/>
      <c r="AB68" s="720"/>
      <c r="AC68" s="720"/>
      <c r="AD68" s="720"/>
      <c r="AE68" s="720"/>
    </row>
    <row s="8844" customFormat="1" customHeight="1" ht="11.25">
      <c r="A69" s="1142"/>
      <c r="B69" s="1795"/>
      <c r="C69" s="1795"/>
      <c r="D69" s="505"/>
      <c r="K69" s="1316"/>
      <c r="L69" s="1795"/>
      <c r="M69" s="1795"/>
      <c r="N69" s="1316"/>
      <c r="O69" s="1316"/>
      <c r="P69" s="1316"/>
      <c r="Q69" s="1316"/>
      <c r="R69" s="1795"/>
      <c r="S69" s="1316"/>
      <c r="T69" s="1316"/>
      <c r="U69" s="698"/>
      <c r="V69" s="1316"/>
      <c r="W69" s="1316"/>
      <c r="X69" s="1316"/>
      <c r="Y69" s="1316"/>
      <c r="Z69" s="1316"/>
      <c r="AA69" s="1791"/>
      <c r="AB69" s="720"/>
      <c r="AC69" s="720"/>
      <c r="AD69" s="720"/>
      <c r="AE69" s="720"/>
    </row>
    <row s="8844" customFormat="1" customHeight="1" ht="11.25">
      <c r="A70" s="1142"/>
      <c r="B70" s="1795"/>
      <c r="C70" s="1795"/>
      <c r="D70" s="505"/>
      <c r="K70" s="1316"/>
      <c r="L70" s="1795"/>
      <c r="M70" s="1795"/>
      <c r="N70" s="1316"/>
      <c r="O70" s="1316"/>
      <c r="P70" s="1316"/>
      <c r="Q70" s="1316"/>
      <c r="R70" s="1795"/>
      <c r="S70" s="1316"/>
      <c r="T70" s="1316"/>
      <c r="U70" s="698"/>
      <c r="V70" s="1316"/>
      <c r="W70" s="1316"/>
      <c r="X70" s="1316"/>
      <c r="Y70" s="1316"/>
      <c r="Z70" s="1316"/>
      <c r="AA70" s="1791"/>
      <c r="AB70" s="720"/>
      <c r="AC70" s="720"/>
      <c r="AD70" s="720"/>
      <c r="AE70" s="720"/>
    </row>
    <row s="8844" customFormat="1" customHeight="1" ht="11.25">
      <c r="A71" s="1142"/>
      <c r="B71" s="1795"/>
      <c r="C71" s="1795"/>
      <c r="D71" s="505"/>
      <c r="K71" s="1316"/>
      <c r="L71" s="1795"/>
      <c r="M71" s="1795"/>
      <c r="N71" s="1316"/>
      <c r="O71" s="1316"/>
      <c r="P71" s="1316"/>
      <c r="Q71" s="1316"/>
      <c r="R71" s="1795"/>
      <c r="S71" s="1316"/>
      <c r="T71" s="1316"/>
      <c r="U71" s="698"/>
      <c r="V71" s="1316"/>
      <c r="W71" s="1316"/>
      <c r="X71" s="1316"/>
      <c r="Y71" s="1316"/>
      <c r="Z71" s="1316"/>
      <c r="AA71" s="1791"/>
      <c r="AB71" s="720"/>
      <c r="AC71" s="720"/>
      <c r="AD71" s="720"/>
      <c r="AE71" s="720"/>
    </row>
    <row s="8844" customFormat="1" customHeight="1" ht="11.25">
      <c r="A72" s="1142"/>
      <c r="B72" s="1795"/>
      <c r="C72" s="1795"/>
      <c r="D72" s="505"/>
      <c r="K72" s="1316"/>
      <c r="L72" s="1795"/>
      <c r="M72" s="1795"/>
      <c r="N72" s="1316"/>
      <c r="O72" s="1316"/>
      <c r="P72" s="1316"/>
      <c r="Q72" s="1316"/>
      <c r="R72" s="1795"/>
      <c r="S72" s="1316"/>
      <c r="T72" s="1316"/>
      <c r="U72" s="698"/>
      <c r="V72" s="1316"/>
      <c r="W72" s="1316"/>
      <c r="X72" s="1316"/>
      <c r="Y72" s="1316"/>
      <c r="Z72" s="1316"/>
      <c r="AA72" s="1791"/>
      <c r="AB72" s="720"/>
      <c r="AC72" s="720"/>
      <c r="AD72" s="720"/>
      <c r="AE72" s="720"/>
    </row>
    <row s="8844" customFormat="1" customHeight="1" ht="11.25">
      <c r="A73" s="1142"/>
      <c r="B73" s="1795"/>
      <c r="C73" s="1795"/>
      <c r="D73" s="505"/>
      <c r="K73" s="1316"/>
      <c r="L73" s="1795"/>
      <c r="M73" s="1795"/>
      <c r="N73" s="1316"/>
      <c r="O73" s="1316"/>
      <c r="P73" s="1316"/>
      <c r="Q73" s="1316"/>
      <c r="R73" s="1795"/>
      <c r="S73" s="1316"/>
      <c r="T73" s="1316"/>
      <c r="U73" s="698"/>
      <c r="V73" s="1316"/>
      <c r="W73" s="1316"/>
      <c r="X73" s="1316"/>
      <c r="Y73" s="1316"/>
      <c r="Z73" s="1316"/>
      <c r="AA73" s="1791"/>
      <c r="AB73" s="720"/>
      <c r="AC73" s="720"/>
      <c r="AD73" s="720"/>
      <c r="AE73" s="720"/>
    </row>
    <row s="8844" customFormat="1" customHeight="1" ht="11.25">
      <c r="A74" s="1142"/>
      <c r="B74" s="1795"/>
      <c r="C74" s="1795"/>
      <c r="D74" s="505"/>
      <c r="K74" s="1316"/>
      <c r="L74" s="1795"/>
      <c r="M74" s="1795"/>
      <c r="N74" s="1316"/>
      <c r="O74" s="1316"/>
      <c r="P74" s="1316"/>
      <c r="Q74" s="1316"/>
      <c r="R74" s="1795"/>
      <c r="S74" s="1316"/>
      <c r="T74" s="1316"/>
      <c r="U74" s="698"/>
      <c r="V74" s="1316"/>
      <c r="W74" s="1316"/>
      <c r="X74" s="1316"/>
      <c r="Y74" s="1316"/>
      <c r="Z74" s="1316"/>
      <c r="AA74" s="1791"/>
      <c r="AB74" s="720"/>
      <c r="AC74" s="720"/>
      <c r="AD74" s="720"/>
      <c r="AE74" s="720"/>
    </row>
    <row s="8844" customFormat="1" customHeight="1" ht="11.25">
      <c r="A75" s="1142"/>
      <c r="B75" s="1795"/>
      <c r="C75" s="1795"/>
      <c r="D75" s="505"/>
      <c r="K75" s="1316"/>
      <c r="L75" s="1795"/>
      <c r="M75" s="1795"/>
      <c r="N75" s="1316"/>
      <c r="O75" s="1316"/>
      <c r="P75" s="1316"/>
      <c r="Q75" s="1316"/>
      <c r="R75" s="1795"/>
      <c r="S75" s="1316"/>
      <c r="T75" s="1316"/>
      <c r="U75" s="698"/>
      <c r="V75" s="1316"/>
      <c r="W75" s="1316"/>
      <c r="X75" s="1316"/>
      <c r="Y75" s="1316"/>
      <c r="Z75" s="1316"/>
      <c r="AA75" s="1791"/>
      <c r="AB75" s="720"/>
      <c r="AC75" s="720"/>
      <c r="AD75" s="720"/>
      <c r="AE75" s="720"/>
    </row>
    <row s="8844" customFormat="1" customHeight="1" ht="11.25">
      <c r="A76" s="1142"/>
      <c r="B76" s="1795"/>
      <c r="C76" s="1795"/>
      <c r="D76" s="505"/>
      <c r="K76" s="1316"/>
      <c r="L76" s="1795"/>
      <c r="M76" s="1795"/>
      <c r="N76" s="1316"/>
      <c r="O76" s="1316"/>
      <c r="P76" s="1316"/>
      <c r="Q76" s="1316"/>
      <c r="R76" s="1795"/>
      <c r="S76" s="1316"/>
      <c r="T76" s="1316"/>
      <c r="U76" s="698"/>
      <c r="V76" s="1316"/>
      <c r="W76" s="1316"/>
      <c r="X76" s="1316"/>
      <c r="Y76" s="1316"/>
      <c r="Z76" s="1316"/>
      <c r="AA76" s="1791"/>
      <c r="AB76" s="720"/>
      <c r="AC76" s="720"/>
      <c r="AD76" s="720"/>
      <c r="AE76" s="720"/>
    </row>
    <row s="8844" customFormat="1" customHeight="1" ht="11.25">
      <c r="A77" s="1142"/>
      <c r="B77" s="1795"/>
      <c r="C77" s="1795"/>
      <c r="D77" s="505"/>
      <c r="K77" s="1316"/>
      <c r="L77" s="1795"/>
      <c r="M77" s="1795"/>
      <c r="N77" s="1316"/>
      <c r="O77" s="1316"/>
      <c r="P77" s="1316"/>
      <c r="Q77" s="1316"/>
      <c r="R77" s="1795"/>
      <c r="S77" s="1316"/>
      <c r="T77" s="1316"/>
      <c r="U77" s="698"/>
      <c r="V77" s="1316"/>
      <c r="W77" s="1316"/>
      <c r="X77" s="1316"/>
      <c r="Y77" s="1316"/>
      <c r="Z77" s="1316"/>
      <c r="AA77" s="1791"/>
      <c r="AB77" s="720"/>
      <c r="AC77" s="720"/>
      <c r="AD77" s="720"/>
      <c r="AE77" s="720"/>
    </row>
    <row s="8844" customFormat="1" customHeight="1" ht="11.25">
      <c r="A78" s="1142"/>
      <c r="B78" s="1795"/>
      <c r="C78" s="1795"/>
      <c r="D78" s="505"/>
      <c r="K78" s="1316"/>
      <c r="L78" s="1795"/>
      <c r="M78" s="1795"/>
      <c r="N78" s="1316"/>
      <c r="O78" s="1316"/>
      <c r="P78" s="1316"/>
      <c r="Q78" s="1316"/>
      <c r="R78" s="1795"/>
      <c r="S78" s="1316"/>
      <c r="T78" s="1316"/>
      <c r="U78" s="698"/>
      <c r="V78" s="1316"/>
      <c r="W78" s="1316"/>
      <c r="X78" s="1316"/>
      <c r="Y78" s="1316"/>
      <c r="Z78" s="1316"/>
      <c r="AA78" s="1791"/>
      <c r="AB78" s="720"/>
      <c r="AC78" s="720"/>
      <c r="AD78" s="720"/>
      <c r="AE78" s="720"/>
    </row>
    <row s="8844" customFormat="1" customHeight="1" ht="11.25">
      <c r="A79" s="1142"/>
      <c r="B79" s="1795"/>
      <c r="C79" s="1795"/>
      <c r="D79" s="505"/>
      <c r="K79" s="1316"/>
      <c r="L79" s="1795"/>
      <c r="M79" s="1795"/>
      <c r="N79" s="1316"/>
      <c r="O79" s="1316"/>
      <c r="P79" s="1316"/>
      <c r="Q79" s="1316"/>
      <c r="R79" s="1795"/>
      <c r="S79" s="1316"/>
      <c r="T79" s="1316"/>
      <c r="U79" s="698"/>
      <c r="V79" s="1316"/>
      <c r="W79" s="1316"/>
      <c r="X79" s="1316"/>
      <c r="Y79" s="1316"/>
      <c r="Z79" s="1316"/>
      <c r="AA79" s="1791"/>
      <c r="AB79" s="720"/>
      <c r="AC79" s="720"/>
      <c r="AD79" s="720"/>
      <c r="AE79" s="720"/>
    </row>
    <row s="8844" customFormat="1" customHeight="1" ht="11.25">
      <c r="A80" s="1142"/>
      <c r="B80" s="1795"/>
      <c r="C80" s="1795"/>
      <c r="D80" s="505"/>
      <c r="K80" s="1316"/>
      <c r="L80" s="1795"/>
      <c r="M80" s="1795"/>
      <c r="N80" s="1316"/>
      <c r="O80" s="1316"/>
      <c r="P80" s="1316"/>
      <c r="Q80" s="1316"/>
      <c r="R80" s="1795"/>
      <c r="S80" s="1316"/>
      <c r="T80" s="1316"/>
      <c r="U80" s="698"/>
      <c r="V80" s="1316"/>
      <c r="W80" s="1316"/>
      <c r="X80" s="1316"/>
      <c r="Y80" s="1316"/>
      <c r="Z80" s="1316"/>
      <c r="AA80" s="1791"/>
      <c r="AB80" s="720"/>
      <c r="AC80" s="720"/>
      <c r="AD80" s="720"/>
      <c r="AE80" s="720"/>
    </row>
    <row s="8844" customFormat="1" customHeight="1" ht="11.25">
      <c r="A81" s="1142"/>
      <c r="B81" s="1795"/>
      <c r="C81" s="1795"/>
      <c r="D81" s="505"/>
      <c r="K81" s="1316"/>
      <c r="L81" s="1795"/>
      <c r="M81" s="1795"/>
      <c r="N81" s="1316"/>
      <c r="O81" s="1316"/>
      <c r="P81" s="1316"/>
      <c r="Q81" s="1316"/>
      <c r="R81" s="1795"/>
      <c r="S81" s="1316"/>
      <c r="T81" s="1316"/>
      <c r="U81" s="698"/>
      <c r="V81" s="1316"/>
      <c r="W81" s="1316"/>
      <c r="X81" s="1316"/>
      <c r="Y81" s="1316"/>
      <c r="Z81" s="1316"/>
      <c r="AA81" s="1791"/>
      <c r="AB81" s="720"/>
      <c r="AC81" s="720"/>
      <c r="AD81" s="720"/>
      <c r="AE81" s="720"/>
    </row>
    <row s="8844" customFormat="1" customHeight="1" ht="11.25">
      <c r="A82" s="1142"/>
      <c r="B82" s="1795"/>
      <c r="C82" s="1795"/>
      <c r="D82" s="505"/>
      <c r="K82" s="1316"/>
      <c r="L82" s="1795"/>
      <c r="M82" s="1795"/>
      <c r="N82" s="1316"/>
      <c r="O82" s="1316"/>
      <c r="P82" s="1316"/>
      <c r="Q82" s="1316"/>
      <c r="R82" s="1795"/>
      <c r="S82" s="1316"/>
      <c r="T82" s="1316"/>
      <c r="U82" s="698"/>
      <c r="V82" s="1316"/>
      <c r="W82" s="1316"/>
      <c r="X82" s="1316"/>
      <c r="Y82" s="1316"/>
      <c r="Z82" s="1316"/>
      <c r="AA82" s="1791"/>
      <c r="AB82" s="720"/>
      <c r="AC82" s="720"/>
      <c r="AD82" s="720"/>
      <c r="AE82" s="720"/>
    </row>
    <row s="8844" customFormat="1" customHeight="1" ht="11.25">
      <c r="A83" s="1142"/>
      <c r="B83" s="1795"/>
      <c r="C83" s="1795"/>
      <c r="D83" s="505"/>
      <c r="K83" s="1316"/>
      <c r="L83" s="1795"/>
      <c r="M83" s="1795"/>
      <c r="N83" s="1316"/>
      <c r="O83" s="1316"/>
      <c r="P83" s="1316"/>
      <c r="Q83" s="1316"/>
      <c r="R83" s="1795"/>
      <c r="S83" s="1316"/>
      <c r="T83" s="1316"/>
      <c r="U83" s="698"/>
      <c r="V83" s="1316"/>
      <c r="W83" s="1316"/>
      <c r="X83" s="1316"/>
      <c r="Y83" s="1316"/>
      <c r="Z83" s="1316"/>
      <c r="AA83" s="1791"/>
      <c r="AB83" s="720"/>
      <c r="AC83" s="720"/>
      <c r="AD83" s="720"/>
      <c r="AE83" s="720"/>
    </row>
    <row s="8844" customFormat="1" customHeight="1" ht="11.25">
      <c r="A84" s="1142"/>
      <c r="B84" s="1795"/>
      <c r="C84" s="1795"/>
      <c r="D84" s="505"/>
      <c r="K84" s="1316"/>
      <c r="L84" s="1795"/>
      <c r="M84" s="1795"/>
      <c r="N84" s="1316"/>
      <c r="O84" s="1316"/>
      <c r="P84" s="1316"/>
      <c r="Q84" s="1316"/>
      <c r="R84" s="1795"/>
      <c r="S84" s="1316"/>
      <c r="T84" s="1316"/>
      <c r="U84" s="698"/>
      <c r="V84" s="1316"/>
      <c r="W84" s="1316"/>
      <c r="X84" s="1316"/>
      <c r="Y84" s="1316"/>
      <c r="Z84" s="1316"/>
      <c r="AA84" s="1791"/>
      <c r="AB84" s="720"/>
      <c r="AC84" s="720"/>
      <c r="AD84" s="720"/>
      <c r="AE84" s="720"/>
    </row>
    <row s="8844" customFormat="1" customHeight="1" ht="11.25">
      <c r="A85" s="1142"/>
      <c r="B85" s="1795"/>
      <c r="C85" s="1795"/>
      <c r="D85" s="505"/>
      <c r="K85" s="1316"/>
      <c r="L85" s="1795"/>
      <c r="M85" s="1795"/>
      <c r="N85" s="1316"/>
      <c r="O85" s="1316"/>
      <c r="P85" s="1316"/>
      <c r="Q85" s="1316"/>
      <c r="R85" s="1795"/>
      <c r="S85" s="1316"/>
      <c r="T85" s="1316"/>
      <c r="U85" s="698"/>
      <c r="V85" s="1316"/>
      <c r="W85" s="1316"/>
      <c r="X85" s="1316"/>
      <c r="Y85" s="1316"/>
      <c r="Z85" s="1316"/>
      <c r="AA85" s="1791"/>
      <c r="AB85" s="720"/>
      <c r="AC85" s="720"/>
      <c r="AD85" s="720"/>
      <c r="AE85" s="720"/>
    </row>
    <row s="8844" customFormat="1" customHeight="1" ht="11.25">
      <c r="A86" s="1142"/>
      <c r="B86" s="1795"/>
      <c r="C86" s="1795"/>
      <c r="D86" s="505"/>
      <c r="K86" s="1316"/>
      <c r="L86" s="1795"/>
      <c r="M86" s="1795"/>
      <c r="N86" s="1316"/>
      <c r="O86" s="1316"/>
      <c r="P86" s="1316"/>
      <c r="Q86" s="1316"/>
      <c r="R86" s="1795"/>
      <c r="S86" s="1316"/>
      <c r="T86" s="1316"/>
      <c r="U86" s="698"/>
      <c r="V86" s="1316"/>
      <c r="W86" s="1316"/>
      <c r="X86" s="1316"/>
      <c r="Y86" s="1316"/>
      <c r="Z86" s="1316"/>
      <c r="AA86" s="1791"/>
      <c r="AB86" s="720"/>
      <c r="AC86" s="720"/>
      <c r="AD86" s="720"/>
      <c r="AE86" s="720"/>
    </row>
    <row s="8844" customFormat="1" customHeight="1" ht="11.25">
      <c r="A87" s="1142"/>
      <c r="B87" s="1795"/>
      <c r="C87" s="1795"/>
      <c r="D87" s="505"/>
      <c r="K87" s="1316"/>
      <c r="L87" s="1795"/>
      <c r="M87" s="1795"/>
      <c r="N87" s="1316"/>
      <c r="O87" s="1316"/>
      <c r="P87" s="1316"/>
      <c r="Q87" s="1316"/>
      <c r="R87" s="1795"/>
      <c r="S87" s="1316"/>
      <c r="T87" s="1316"/>
      <c r="U87" s="698"/>
      <c r="V87" s="1316"/>
      <c r="W87" s="1316"/>
      <c r="X87" s="1316"/>
      <c r="Y87" s="1316"/>
      <c r="Z87" s="1316"/>
      <c r="AA87" s="1791"/>
      <c r="AB87" s="720"/>
      <c r="AC87" s="720"/>
      <c r="AD87" s="720"/>
      <c r="AE87" s="720"/>
    </row>
    <row s="8844" customFormat="1" customHeight="1" ht="11.25">
      <c r="A88" s="1142"/>
      <c r="B88" s="1795"/>
      <c r="C88" s="1795"/>
      <c r="D88" s="505"/>
      <c r="K88" s="1316"/>
      <c r="L88" s="1795"/>
      <c r="M88" s="1795"/>
      <c r="N88" s="1316"/>
      <c r="O88" s="1316"/>
      <c r="P88" s="1316"/>
      <c r="Q88" s="1316"/>
      <c r="R88" s="1795"/>
      <c r="S88" s="1316"/>
      <c r="T88" s="1316"/>
      <c r="U88" s="698"/>
      <c r="V88" s="1316"/>
      <c r="W88" s="1316"/>
      <c r="X88" s="1316"/>
      <c r="Y88" s="1316"/>
      <c r="Z88" s="1316"/>
      <c r="AA88" s="1791"/>
      <c r="AB88" s="720"/>
      <c r="AC88" s="720"/>
      <c r="AD88" s="720"/>
      <c r="AE88" s="720"/>
    </row>
    <row s="8844" customFormat="1" customHeight="1" ht="11.25">
      <c r="A89" s="1142"/>
      <c r="B89" s="1795"/>
      <c r="C89" s="1795"/>
      <c r="D89" s="505"/>
      <c r="K89" s="1316"/>
      <c r="L89" s="1795"/>
      <c r="M89" s="1795"/>
      <c r="N89" s="1316"/>
      <c r="O89" s="1316"/>
      <c r="P89" s="1316"/>
      <c r="Q89" s="1316"/>
      <c r="R89" s="1795"/>
      <c r="S89" s="1316"/>
      <c r="T89" s="1316"/>
      <c r="U89" s="698"/>
      <c r="V89" s="1316"/>
      <c r="W89" s="1316"/>
      <c r="X89" s="1316"/>
      <c r="Y89" s="1316"/>
      <c r="Z89" s="1316"/>
      <c r="AA89" s="1791"/>
      <c r="AB89" s="720"/>
      <c r="AC89" s="720"/>
      <c r="AD89" s="720"/>
      <c r="AE89" s="720"/>
    </row>
    <row s="8844" customFormat="1" customHeight="1" ht="11.25">
      <c r="A90" s="1142"/>
      <c r="B90" s="1795"/>
      <c r="C90" s="1795"/>
      <c r="D90" s="505"/>
      <c r="K90" s="1316"/>
      <c r="L90" s="1795"/>
      <c r="M90" s="1795"/>
      <c r="N90" s="1316"/>
      <c r="O90" s="1316"/>
      <c r="P90" s="1316"/>
      <c r="Q90" s="1316"/>
      <c r="R90" s="1795"/>
      <c r="S90" s="1316"/>
      <c r="T90" s="1316"/>
      <c r="U90" s="698"/>
      <c r="V90" s="1316"/>
      <c r="W90" s="1316"/>
      <c r="X90" s="1316"/>
      <c r="Y90" s="1316"/>
      <c r="Z90" s="1316"/>
      <c r="AA90" s="1791"/>
      <c r="AB90" s="720"/>
      <c r="AC90" s="720"/>
      <c r="AD90" s="720"/>
      <c r="AE90" s="720"/>
    </row>
    <row s="8844" customFormat="1" customHeight="1" ht="11.25">
      <c r="A91" s="1142"/>
      <c r="B91" s="1795"/>
      <c r="C91" s="1795"/>
      <c r="D91" s="505"/>
      <c r="K91" s="1316"/>
      <c r="L91" s="1795"/>
      <c r="M91" s="1795"/>
      <c r="N91" s="1316"/>
      <c r="O91" s="1316"/>
      <c r="P91" s="1316"/>
      <c r="Q91" s="1316"/>
      <c r="R91" s="1795"/>
      <c r="S91" s="1316"/>
      <c r="T91" s="1316"/>
      <c r="U91" s="698"/>
      <c r="V91" s="1316"/>
      <c r="W91" s="1316"/>
      <c r="X91" s="1316"/>
      <c r="Y91" s="1316"/>
      <c r="Z91" s="1316"/>
      <c r="AA91" s="1791"/>
      <c r="AB91" s="720"/>
      <c r="AC91" s="720"/>
      <c r="AD91" s="720"/>
      <c r="AE91" s="720"/>
    </row>
    <row s="8844" customFormat="1" customHeight="1" ht="11.25">
      <c r="A92" s="1142"/>
      <c r="B92" s="1795"/>
      <c r="C92" s="1795"/>
      <c r="D92" s="505"/>
      <c r="K92" s="1316"/>
      <c r="L92" s="1795"/>
      <c r="M92" s="1795"/>
      <c r="N92" s="1316"/>
      <c r="O92" s="1316"/>
      <c r="P92" s="1316"/>
      <c r="Q92" s="1316"/>
      <c r="R92" s="1795"/>
      <c r="S92" s="1316"/>
      <c r="T92" s="1316"/>
      <c r="U92" s="698"/>
      <c r="V92" s="1316"/>
      <c r="W92" s="1316"/>
      <c r="X92" s="1316"/>
      <c r="Y92" s="1316"/>
      <c r="Z92" s="1316"/>
      <c r="AA92" s="1791"/>
      <c r="AB92" s="720"/>
      <c r="AC92" s="720"/>
      <c r="AD92" s="720"/>
      <c r="AE92" s="720"/>
    </row>
    <row s="8844" customFormat="1" customHeight="1" ht="11.25">
      <c r="A93" s="1142"/>
      <c r="B93" s="1795"/>
      <c r="C93" s="1795"/>
      <c r="D93" s="505"/>
      <c r="K93" s="1316"/>
      <c r="L93" s="1795"/>
      <c r="M93" s="1795"/>
      <c r="N93" s="1316"/>
      <c r="O93" s="1316"/>
      <c r="P93" s="1316"/>
      <c r="Q93" s="1316"/>
      <c r="R93" s="1795"/>
      <c r="S93" s="1316"/>
      <c r="T93" s="1316"/>
      <c r="U93" s="698"/>
      <c r="V93" s="1316"/>
      <c r="W93" s="1316"/>
      <c r="X93" s="1316"/>
      <c r="Y93" s="1316"/>
      <c r="Z93" s="1316"/>
      <c r="AA93" s="1791"/>
      <c r="AB93" s="720"/>
      <c r="AC93" s="720"/>
      <c r="AD93" s="720"/>
      <c r="AE93" s="720"/>
    </row>
    <row s="8844" customFormat="1" customHeight="1" ht="11.25">
      <c r="A94" s="1142"/>
      <c r="B94" s="1795"/>
      <c r="C94" s="1795"/>
      <c r="D94" s="505"/>
      <c r="K94" s="1316"/>
      <c r="L94" s="1795"/>
      <c r="M94" s="1795"/>
      <c r="N94" s="1316"/>
      <c r="O94" s="1316"/>
      <c r="P94" s="1316"/>
      <c r="Q94" s="1316"/>
      <c r="R94" s="1795"/>
      <c r="S94" s="1316"/>
      <c r="T94" s="1316"/>
      <c r="U94" s="698"/>
      <c r="V94" s="1316"/>
      <c r="W94" s="1316"/>
      <c r="X94" s="1316"/>
      <c r="Y94" s="1316"/>
      <c r="Z94" s="1316"/>
      <c r="AA94" s="1791"/>
      <c r="AB94" s="720"/>
      <c r="AC94" s="720"/>
      <c r="AD94" s="720"/>
      <c r="AE94" s="720"/>
    </row>
    <row s="8844" customFormat="1" customHeight="1" ht="11.25">
      <c r="A95" s="1142"/>
      <c r="B95" s="1795"/>
      <c r="C95" s="1795"/>
      <c r="D95" s="505"/>
      <c r="K95" s="1316"/>
      <c r="L95" s="1795"/>
      <c r="M95" s="1795"/>
      <c r="N95" s="1316"/>
      <c r="O95" s="1316"/>
      <c r="P95" s="1316"/>
      <c r="Q95" s="1316"/>
      <c r="R95" s="1795"/>
      <c r="S95" s="1316"/>
      <c r="T95" s="1316"/>
      <c r="U95" s="698"/>
      <c r="V95" s="1316"/>
      <c r="W95" s="1316"/>
      <c r="X95" s="1316"/>
      <c r="Y95" s="1316"/>
      <c r="Z95" s="1316"/>
      <c r="AA95" s="1791"/>
      <c r="AB95" s="720"/>
      <c r="AC95" s="720"/>
      <c r="AD95" s="720"/>
      <c r="AE95" s="720"/>
    </row>
    <row s="8844" customFormat="1" customHeight="1" ht="11.25">
      <c r="A96" s="1142"/>
      <c r="B96" s="1795"/>
      <c r="C96" s="1795"/>
      <c r="D96" s="505"/>
      <c r="K96" s="1316"/>
      <c r="L96" s="1795"/>
      <c r="M96" s="1795"/>
      <c r="N96" s="1316"/>
      <c r="O96" s="1316"/>
      <c r="P96" s="1316"/>
      <c r="Q96" s="1316"/>
      <c r="R96" s="1795"/>
      <c r="S96" s="1316"/>
      <c r="T96" s="1316"/>
      <c r="U96" s="698"/>
      <c r="V96" s="1316"/>
      <c r="W96" s="1316"/>
      <c r="X96" s="1316"/>
      <c r="Y96" s="1316"/>
      <c r="Z96" s="1316"/>
      <c r="AA96" s="1791"/>
      <c r="AB96" s="720"/>
      <c r="AC96" s="720"/>
      <c r="AD96" s="720"/>
      <c r="AE96" s="720"/>
    </row>
    <row s="8844" customFormat="1" customHeight="1" ht="11.25">
      <c r="A97" s="1142"/>
      <c r="B97" s="1795"/>
      <c r="C97" s="1795"/>
      <c r="D97" s="505"/>
      <c r="K97" s="1316"/>
      <c r="L97" s="1795"/>
      <c r="M97" s="1795"/>
      <c r="N97" s="1316"/>
      <c r="O97" s="1316"/>
      <c r="P97" s="1316"/>
      <c r="Q97" s="1316"/>
      <c r="R97" s="1795"/>
      <c r="S97" s="1316"/>
      <c r="T97" s="1316"/>
      <c r="U97" s="698"/>
      <c r="V97" s="1316"/>
      <c r="W97" s="1316"/>
      <c r="X97" s="1316"/>
      <c r="Y97" s="1316"/>
      <c r="Z97" s="1316"/>
      <c r="AA97" s="1791"/>
      <c r="AB97" s="720"/>
      <c r="AC97" s="720"/>
      <c r="AD97" s="720"/>
      <c r="AE97" s="720"/>
    </row>
    <row s="8844" customFormat="1" customHeight="1" ht="11.25">
      <c r="A98" s="1142"/>
      <c r="B98" s="1795"/>
      <c r="C98" s="1795"/>
      <c r="D98" s="505"/>
      <c r="K98" s="1316"/>
      <c r="L98" s="1795"/>
      <c r="M98" s="1795"/>
      <c r="N98" s="1316"/>
      <c r="O98" s="1316"/>
      <c r="P98" s="1316"/>
      <c r="Q98" s="1316"/>
      <c r="R98" s="1795"/>
      <c r="S98" s="1316"/>
      <c r="T98" s="1316"/>
      <c r="U98" s="698"/>
      <c r="V98" s="1316"/>
      <c r="W98" s="1316"/>
      <c r="X98" s="1316"/>
      <c r="Y98" s="1316"/>
      <c r="Z98" s="1316"/>
      <c r="AA98" s="1791"/>
      <c r="AB98" s="720"/>
      <c r="AC98" s="720"/>
      <c r="AD98" s="720"/>
      <c r="AE98" s="720"/>
    </row>
    <row s="8844" customFormat="1" customHeight="1" ht="11.25">
      <c r="A99" s="1142"/>
      <c r="B99" s="1795"/>
      <c r="C99" s="1795"/>
      <c r="D99" s="505"/>
      <c r="K99" s="1316"/>
      <c r="L99" s="1795"/>
      <c r="M99" s="1795"/>
      <c r="N99" s="1316"/>
      <c r="O99" s="1316"/>
      <c r="P99" s="1316"/>
      <c r="Q99" s="1316"/>
      <c r="R99" s="1795"/>
      <c r="S99" s="1316"/>
      <c r="T99" s="1316"/>
      <c r="U99" s="698"/>
      <c r="V99" s="1316"/>
      <c r="W99" s="1316"/>
      <c r="X99" s="1316"/>
      <c r="Y99" s="1316"/>
      <c r="Z99" s="1316"/>
      <c r="AA99" s="1791"/>
      <c r="AB99" s="720"/>
      <c r="AC99" s="720"/>
      <c r="AD99" s="720"/>
      <c r="AE99" s="720"/>
    </row>
    <row s="8844" customFormat="1" customHeight="1" ht="11.25">
      <c r="A100" s="1142"/>
      <c r="B100" s="1795"/>
      <c r="C100" s="1795"/>
      <c r="D100" s="505"/>
      <c r="K100" s="1316"/>
      <c r="L100" s="1795"/>
      <c r="M100" s="1795"/>
      <c r="N100" s="1316"/>
      <c r="O100" s="1316"/>
      <c r="P100" s="1316"/>
      <c r="Q100" s="1316"/>
      <c r="R100" s="1795"/>
      <c r="S100" s="1316"/>
      <c r="T100" s="1316"/>
      <c r="U100" s="698"/>
      <c r="V100" s="1316"/>
      <c r="W100" s="1316"/>
      <c r="X100" s="1316"/>
      <c r="Y100" s="1316"/>
      <c r="Z100" s="1316"/>
      <c r="AA100" s="1791"/>
      <c r="AB100" s="720"/>
      <c r="AC100" s="720"/>
      <c r="AD100" s="720"/>
      <c r="AE100" s="720"/>
    </row>
    <row s="8844" customFormat="1" customHeight="1" ht="11.25">
      <c r="A101" s="1142"/>
      <c r="B101" s="1795"/>
      <c r="C101" s="1795"/>
      <c r="D101" s="505"/>
      <c r="K101" s="1316"/>
      <c r="L101" s="1795"/>
      <c r="M101" s="1795"/>
      <c r="N101" s="1316"/>
      <c r="O101" s="1316"/>
      <c r="P101" s="1316"/>
      <c r="Q101" s="1316"/>
      <c r="R101" s="1795"/>
      <c r="S101" s="1316"/>
      <c r="T101" s="1316"/>
      <c r="U101" s="698"/>
      <c r="V101" s="1316"/>
      <c r="W101" s="1316"/>
      <c r="X101" s="1316"/>
      <c r="Y101" s="1316"/>
      <c r="Z101" s="1316"/>
      <c r="AA101" s="1791"/>
      <c r="AB101" s="720"/>
      <c r="AC101" s="720"/>
      <c r="AD101" s="720"/>
      <c r="AE101" s="720"/>
    </row>
    <row s="8844" customFormat="1" customHeight="1" ht="11.25">
      <c r="A102" s="1142"/>
      <c r="B102" s="1795"/>
      <c r="C102" s="1795"/>
      <c r="D102" s="505"/>
      <c r="K102" s="1316"/>
      <c r="L102" s="1795"/>
      <c r="M102" s="1795"/>
      <c r="N102" s="1316"/>
      <c r="O102" s="1316"/>
      <c r="P102" s="1316"/>
      <c r="Q102" s="1316"/>
      <c r="R102" s="1795"/>
      <c r="S102" s="1316"/>
      <c r="T102" s="1316"/>
      <c r="U102" s="698"/>
      <c r="V102" s="1316"/>
      <c r="W102" s="1316"/>
      <c r="X102" s="1316"/>
      <c r="Y102" s="1316"/>
      <c r="Z102" s="1316"/>
      <c r="AA102" s="1791"/>
      <c r="AB102" s="720"/>
      <c r="AC102" s="720"/>
      <c r="AD102" s="720"/>
      <c r="AE102" s="720"/>
    </row>
    <row s="8844" customFormat="1" customHeight="1" ht="11.25">
      <c r="A103" s="1142"/>
      <c r="B103" s="1795"/>
      <c r="C103" s="1795"/>
      <c r="D103" s="505"/>
      <c r="K103" s="1316"/>
      <c r="L103" s="1795"/>
      <c r="M103" s="1795"/>
      <c r="N103" s="1316"/>
      <c r="O103" s="1316"/>
      <c r="P103" s="1316"/>
      <c r="Q103" s="1316"/>
      <c r="R103" s="1795"/>
      <c r="S103" s="1316"/>
      <c r="T103" s="1316"/>
      <c r="U103" s="698"/>
      <c r="V103" s="1316"/>
      <c r="W103" s="1316"/>
      <c r="X103" s="1316"/>
      <c r="Y103" s="1316"/>
      <c r="Z103" s="1316"/>
      <c r="AA103" s="1791"/>
      <c r="AB103" s="720"/>
      <c r="AC103" s="720"/>
      <c r="AD103" s="720"/>
      <c r="AE103" s="720"/>
    </row>
    <row s="8844" customFormat="1" customHeight="1" ht="11.25">
      <c r="A104" s="1142"/>
      <c r="B104" s="1795"/>
      <c r="C104" s="1795"/>
      <c r="D104" s="505"/>
      <c r="K104" s="1316"/>
      <c r="L104" s="1795"/>
      <c r="M104" s="1795"/>
      <c r="N104" s="1316"/>
      <c r="O104" s="1316"/>
      <c r="P104" s="1316"/>
      <c r="Q104" s="1316"/>
      <c r="R104" s="1795"/>
      <c r="S104" s="1316"/>
      <c r="T104" s="1316"/>
      <c r="U104" s="698"/>
      <c r="V104" s="1316"/>
      <c r="W104" s="1316"/>
      <c r="X104" s="1316"/>
      <c r="Y104" s="1316"/>
      <c r="Z104" s="1316"/>
      <c r="AA104" s="1791"/>
      <c r="AB104" s="720"/>
      <c r="AC104" s="720"/>
      <c r="AD104" s="720"/>
      <c r="AE104" s="720"/>
    </row>
    <row s="8844" customFormat="1" customHeight="1" ht="11.25">
      <c r="A105" s="1142"/>
      <c r="B105" s="1795"/>
      <c r="C105" s="1795"/>
      <c r="D105" s="505"/>
      <c r="K105" s="1316"/>
      <c r="L105" s="1795"/>
      <c r="M105" s="1795"/>
      <c r="N105" s="1316"/>
      <c r="O105" s="1316"/>
      <c r="P105" s="1316"/>
      <c r="Q105" s="1316"/>
      <c r="R105" s="1795"/>
      <c r="S105" s="1316"/>
      <c r="T105" s="1316"/>
      <c r="U105" s="698"/>
      <c r="V105" s="1316"/>
      <c r="W105" s="1316"/>
      <c r="X105" s="1316"/>
      <c r="Y105" s="1316"/>
      <c r="Z105" s="1316"/>
      <c r="AA105" s="1791"/>
      <c r="AB105" s="720"/>
      <c r="AC105" s="720"/>
      <c r="AD105" s="720"/>
      <c r="AE105" s="720"/>
    </row>
    <row s="8844" customFormat="1" customHeight="1" ht="11.25">
      <c r="A106" s="1142"/>
      <c r="B106" s="1795"/>
      <c r="C106" s="1795"/>
      <c r="D106" s="505"/>
      <c r="K106" s="1316"/>
      <c r="L106" s="1795"/>
      <c r="M106" s="1795"/>
      <c r="N106" s="1316"/>
      <c r="O106" s="1316"/>
      <c r="P106" s="1316"/>
      <c r="Q106" s="1316"/>
      <c r="R106" s="1795"/>
      <c r="S106" s="1316"/>
      <c r="T106" s="1316"/>
      <c r="U106" s="698"/>
      <c r="V106" s="1316"/>
      <c r="W106" s="1316"/>
      <c r="X106" s="1316"/>
      <c r="Y106" s="1316"/>
      <c r="Z106" s="1316"/>
      <c r="AA106" s="1791"/>
      <c r="AB106" s="720"/>
      <c r="AC106" s="720"/>
      <c r="AD106" s="720"/>
      <c r="AE106" s="720"/>
    </row>
    <row s="8844" customFormat="1" customHeight="1" ht="11.25">
      <c r="A107" s="1142"/>
      <c r="B107" s="1795"/>
      <c r="C107" s="1795"/>
      <c r="D107" s="505"/>
      <c r="K107" s="1316"/>
      <c r="L107" s="1795"/>
      <c r="M107" s="1795"/>
      <c r="N107" s="1316"/>
      <c r="O107" s="1316"/>
      <c r="P107" s="1316"/>
      <c r="Q107" s="1316"/>
      <c r="R107" s="1795"/>
      <c r="S107" s="1316"/>
      <c r="T107" s="1316"/>
      <c r="U107" s="698"/>
      <c r="V107" s="1316"/>
      <c r="W107" s="1316"/>
      <c r="X107" s="1316"/>
      <c r="Y107" s="1316"/>
      <c r="Z107" s="1316"/>
      <c r="AA107" s="1791"/>
      <c r="AB107" s="720"/>
      <c r="AC107" s="720"/>
      <c r="AD107" s="720"/>
      <c r="AE107" s="720"/>
    </row>
    <row s="8844" customFormat="1" customHeight="1" ht="11.25">
      <c r="A108" s="1142"/>
      <c r="B108" s="1795"/>
      <c r="C108" s="1795"/>
      <c r="D108" s="505"/>
      <c r="K108" s="1316"/>
      <c r="L108" s="1795"/>
      <c r="M108" s="1795"/>
      <c r="N108" s="1316"/>
      <c r="O108" s="1316"/>
      <c r="P108" s="1316"/>
      <c r="Q108" s="1316"/>
      <c r="R108" s="1795"/>
      <c r="S108" s="1316"/>
      <c r="T108" s="1316"/>
      <c r="U108" s="698"/>
      <c r="V108" s="1316"/>
      <c r="W108" s="1316"/>
      <c r="X108" s="1316"/>
      <c r="Y108" s="1316"/>
      <c r="Z108" s="1316"/>
      <c r="AA108" s="1791"/>
      <c r="AB108" s="720"/>
      <c r="AC108" s="720"/>
      <c r="AD108" s="720"/>
      <c r="AE108" s="720"/>
    </row>
    <row s="8844" customFormat="1" customHeight="1" ht="11.25">
      <c r="A109" s="1142"/>
      <c r="B109" s="1795"/>
      <c r="C109" s="1795"/>
      <c r="D109" s="505"/>
      <c r="K109" s="1316"/>
      <c r="L109" s="1795"/>
      <c r="M109" s="1795"/>
      <c r="N109" s="1316"/>
      <c r="O109" s="1316"/>
      <c r="P109" s="1316"/>
      <c r="Q109" s="1316"/>
      <c r="R109" s="1795"/>
      <c r="S109" s="1316"/>
      <c r="T109" s="1316"/>
      <c r="U109" s="698"/>
      <c r="V109" s="1316"/>
      <c r="W109" s="1316"/>
      <c r="X109" s="1316"/>
      <c r="Y109" s="1316"/>
      <c r="Z109" s="1316"/>
      <c r="AA109" s="1791"/>
      <c r="AB109" s="720"/>
      <c r="AC109" s="720"/>
      <c r="AD109" s="720"/>
      <c r="AE109" s="720"/>
    </row>
    <row s="8844" customFormat="1" customHeight="1" ht="11.25">
      <c r="A110" s="1142"/>
      <c r="B110" s="1795"/>
      <c r="C110" s="1795"/>
      <c r="D110" s="505"/>
      <c r="K110" s="1316"/>
      <c r="L110" s="1795"/>
      <c r="M110" s="1795"/>
      <c r="N110" s="1316"/>
      <c r="O110" s="1316"/>
      <c r="P110" s="1316"/>
      <c r="Q110" s="1316"/>
      <c r="R110" s="1795"/>
      <c r="S110" s="1316"/>
      <c r="T110" s="1316"/>
      <c r="U110" s="698"/>
      <c r="V110" s="1316"/>
      <c r="W110" s="1316"/>
      <c r="X110" s="1316"/>
      <c r="Y110" s="1316"/>
      <c r="Z110" s="1316"/>
      <c r="AA110" s="1791"/>
      <c r="AB110" s="720"/>
      <c r="AC110" s="720"/>
      <c r="AD110" s="720"/>
      <c r="AE110" s="720"/>
    </row>
    <row s="8844" customFormat="1" customHeight="1" ht="11.25">
      <c r="A111" s="1142"/>
      <c r="B111" s="1795"/>
      <c r="C111" s="1795"/>
      <c r="D111" s="505"/>
      <c r="K111" s="1316"/>
      <c r="L111" s="1795"/>
      <c r="M111" s="1795"/>
      <c r="N111" s="1316"/>
      <c r="O111" s="1316"/>
      <c r="P111" s="1316"/>
      <c r="Q111" s="1316"/>
      <c r="R111" s="1795"/>
      <c r="S111" s="1316"/>
      <c r="T111" s="1316"/>
      <c r="U111" s="698"/>
      <c r="V111" s="1316"/>
      <c r="W111" s="1316"/>
      <c r="X111" s="1316"/>
      <c r="Y111" s="1316"/>
      <c r="Z111" s="1316"/>
      <c r="AA111" s="1791"/>
      <c r="AB111" s="720"/>
      <c r="AC111" s="720"/>
      <c r="AD111" s="720"/>
      <c r="AE111" s="720"/>
    </row>
    <row s="8844" customFormat="1" customHeight="1" ht="11.25">
      <c r="A112" s="1142"/>
      <c r="B112" s="1795"/>
      <c r="C112" s="1795"/>
      <c r="D112" s="505"/>
      <c r="K112" s="1316"/>
      <c r="L112" s="1795"/>
      <c r="M112" s="1795"/>
      <c r="N112" s="1316"/>
      <c r="O112" s="1316"/>
      <c r="P112" s="1316"/>
      <c r="Q112" s="1316"/>
      <c r="R112" s="1795"/>
      <c r="S112" s="1316"/>
      <c r="T112" s="1316"/>
      <c r="U112" s="698"/>
      <c r="V112" s="1316"/>
      <c r="W112" s="1316"/>
      <c r="X112" s="1316"/>
      <c r="Y112" s="1316"/>
      <c r="Z112" s="1316"/>
      <c r="AA112" s="1791"/>
      <c r="AB112" s="720"/>
      <c r="AC112" s="720"/>
      <c r="AD112" s="720"/>
      <c r="AE112" s="720"/>
    </row>
    <row s="8844" customFormat="1" customHeight="1" ht="11.25">
      <c r="A113" s="1142"/>
      <c r="B113" s="1795"/>
      <c r="C113" s="1795"/>
      <c r="D113" s="505"/>
      <c r="K113" s="1316"/>
      <c r="L113" s="1795"/>
      <c r="M113" s="1795"/>
      <c r="N113" s="1316"/>
      <c r="O113" s="1316"/>
      <c r="P113" s="1316"/>
      <c r="Q113" s="1316"/>
      <c r="R113" s="1795"/>
      <c r="S113" s="1316"/>
      <c r="T113" s="1316"/>
      <c r="U113" s="698"/>
      <c r="V113" s="1316"/>
      <c r="W113" s="1316"/>
      <c r="X113" s="1316"/>
      <c r="Y113" s="1316"/>
      <c r="Z113" s="1316"/>
      <c r="AA113" s="1791"/>
      <c r="AB113" s="720"/>
      <c r="AC113" s="720"/>
      <c r="AD113" s="720"/>
      <c r="AE113" s="720"/>
    </row>
    <row s="8844" customFormat="1" customHeight="1" ht="11.25">
      <c r="A114" s="1142"/>
      <c r="B114" s="1795"/>
      <c r="C114" s="1795"/>
      <c r="D114" s="505"/>
      <c r="K114" s="1316"/>
      <c r="L114" s="1795"/>
      <c r="M114" s="1795"/>
      <c r="N114" s="1316"/>
      <c r="O114" s="1316"/>
      <c r="P114" s="1316"/>
      <c r="Q114" s="1316"/>
      <c r="R114" s="1795"/>
      <c r="S114" s="1316"/>
      <c r="T114" s="1316"/>
      <c r="U114" s="698"/>
      <c r="V114" s="1316"/>
      <c r="W114" s="1316"/>
      <c r="X114" s="1316"/>
      <c r="Y114" s="1316"/>
      <c r="Z114" s="1316"/>
      <c r="AA114" s="1791"/>
      <c r="AB114" s="720"/>
      <c r="AC114" s="720"/>
      <c r="AD114" s="720"/>
      <c r="AE114" s="720"/>
    </row>
    <row s="8844" customFormat="1" customHeight="1" ht="11.25">
      <c r="A115" s="1142"/>
      <c r="B115" s="1795"/>
      <c r="C115" s="1795"/>
      <c r="D115" s="505"/>
      <c r="K115" s="1316"/>
      <c r="L115" s="1795"/>
      <c r="M115" s="1795"/>
      <c r="N115" s="1316"/>
      <c r="O115" s="1316"/>
      <c r="P115" s="1316"/>
      <c r="Q115" s="1316"/>
      <c r="R115" s="1795"/>
      <c r="S115" s="1316"/>
      <c r="T115" s="1316"/>
      <c r="U115" s="698"/>
      <c r="V115" s="1316"/>
      <c r="W115" s="1316"/>
      <c r="X115" s="1316"/>
      <c r="Y115" s="1316"/>
      <c r="Z115" s="1316"/>
      <c r="AA115" s="1791"/>
      <c r="AB115" s="720"/>
      <c r="AC115" s="720"/>
      <c r="AD115" s="720"/>
      <c r="AE115" s="720"/>
    </row>
    <row s="8844" customFormat="1" customHeight="1" ht="11.25">
      <c r="A116" s="1142"/>
      <c r="B116" s="1795"/>
      <c r="C116" s="1795"/>
      <c r="D116" s="505"/>
      <c r="K116" s="1316"/>
      <c r="L116" s="1795"/>
      <c r="M116" s="1795"/>
      <c r="N116" s="1316"/>
      <c r="O116" s="1316"/>
      <c r="P116" s="1316"/>
      <c r="Q116" s="1316"/>
      <c r="R116" s="1795"/>
      <c r="S116" s="1316"/>
      <c r="T116" s="1316"/>
      <c r="U116" s="698"/>
      <c r="V116" s="1316"/>
      <c r="W116" s="1316"/>
      <c r="X116" s="1316"/>
      <c r="Y116" s="1316"/>
      <c r="Z116" s="1316"/>
      <c r="AA116" s="1791"/>
      <c r="AB116" s="720"/>
      <c r="AC116" s="720"/>
      <c r="AD116" s="720"/>
      <c r="AE116" s="720"/>
    </row>
    <row s="8844" customFormat="1" customHeight="1" ht="11.25">
      <c r="A117" s="1142"/>
      <c r="B117" s="1795"/>
      <c r="C117" s="1795"/>
      <c r="D117" s="505"/>
      <c r="K117" s="1316"/>
      <c r="L117" s="1795"/>
      <c r="M117" s="1795"/>
      <c r="N117" s="1316"/>
      <c r="O117" s="1316"/>
      <c r="P117" s="1316"/>
      <c r="Q117" s="1316"/>
      <c r="R117" s="1795"/>
      <c r="S117" s="1316"/>
      <c r="T117" s="1316"/>
      <c r="U117" s="698"/>
      <c r="V117" s="1316"/>
      <c r="W117" s="1316"/>
      <c r="X117" s="1316"/>
      <c r="Y117" s="1316"/>
      <c r="Z117" s="1316"/>
      <c r="AA117" s="1791"/>
      <c r="AB117" s="720"/>
      <c r="AC117" s="720"/>
      <c r="AD117" s="720"/>
      <c r="AE117" s="720"/>
    </row>
    <row s="8844" customFormat="1" customHeight="1" ht="11.25">
      <c r="A118" s="1142"/>
      <c r="B118" s="1795"/>
      <c r="C118" s="1795"/>
      <c r="D118" s="505"/>
      <c r="K118" s="1316"/>
      <c r="L118" s="1795"/>
      <c r="M118" s="1795"/>
      <c r="N118" s="1316"/>
      <c r="O118" s="1316"/>
      <c r="P118" s="1316"/>
      <c r="Q118" s="1316"/>
      <c r="R118" s="1795"/>
      <c r="S118" s="1316"/>
      <c r="T118" s="1316"/>
      <c r="U118" s="698"/>
      <c r="V118" s="1316"/>
      <c r="W118" s="1316"/>
      <c r="X118" s="1316"/>
      <c r="Y118" s="1316"/>
      <c r="Z118" s="1316"/>
      <c r="AA118" s="1791"/>
      <c r="AB118" s="720"/>
      <c r="AC118" s="720"/>
      <c r="AD118" s="720"/>
      <c r="AE118" s="720"/>
    </row>
    <row s="8844" customFormat="1" customHeight="1" ht="11.25">
      <c r="A119" s="1142"/>
      <c r="B119" s="1795"/>
      <c r="C119" s="1795"/>
      <c r="D119" s="505"/>
      <c r="K119" s="1316"/>
      <c r="L119" s="1795"/>
      <c r="M119" s="1795"/>
      <c r="N119" s="1316"/>
      <c r="O119" s="1316"/>
      <c r="P119" s="1316"/>
      <c r="Q119" s="1316"/>
      <c r="R119" s="1795"/>
      <c r="S119" s="1316"/>
      <c r="T119" s="1316"/>
      <c r="U119" s="698"/>
      <c r="V119" s="1316"/>
      <c r="W119" s="1316"/>
      <c r="X119" s="1316"/>
      <c r="Y119" s="1316"/>
      <c r="Z119" s="1316"/>
      <c r="AA119" s="1791"/>
      <c r="AB119" s="720"/>
      <c r="AC119" s="720"/>
      <c r="AD119" s="720"/>
      <c r="AE119" s="720"/>
    </row>
    <row s="8844" customFormat="1" customHeight="1" ht="11.25">
      <c r="A120" s="1142"/>
      <c r="B120" s="1795"/>
      <c r="C120" s="1795"/>
      <c r="D120" s="505"/>
      <c r="K120" s="1316"/>
      <c r="L120" s="1795"/>
      <c r="M120" s="1795"/>
      <c r="N120" s="1316"/>
      <c r="O120" s="1316"/>
      <c r="P120" s="1316"/>
      <c r="Q120" s="1316"/>
      <c r="R120" s="1795"/>
      <c r="S120" s="1316"/>
      <c r="T120" s="1316"/>
      <c r="U120" s="698"/>
      <c r="V120" s="1316"/>
      <c r="W120" s="1316"/>
      <c r="X120" s="1316"/>
      <c r="Y120" s="1316"/>
      <c r="Z120" s="1316"/>
      <c r="AA120" s="1791"/>
      <c r="AB120" s="720"/>
      <c r="AC120" s="720"/>
      <c r="AD120" s="720"/>
      <c r="AE120" s="720"/>
    </row>
    <row s="8844" customFormat="1" customHeight="1" ht="11.25">
      <c r="A121" s="1142"/>
      <c r="B121" s="1795"/>
      <c r="C121" s="1795"/>
      <c r="D121" s="505"/>
      <c r="K121" s="1316"/>
      <c r="L121" s="1795"/>
      <c r="M121" s="1795"/>
      <c r="N121" s="1316"/>
      <c r="O121" s="1316"/>
      <c r="P121" s="1316"/>
      <c r="Q121" s="1316"/>
      <c r="R121" s="1795"/>
      <c r="S121" s="1316"/>
      <c r="T121" s="1316"/>
      <c r="U121" s="698"/>
      <c r="V121" s="1316"/>
      <c r="W121" s="1316"/>
      <c r="X121" s="1316"/>
      <c r="Y121" s="1316"/>
      <c r="Z121" s="1316"/>
      <c r="AA121" s="1791"/>
      <c r="AB121" s="720"/>
      <c r="AC121" s="720"/>
      <c r="AD121" s="720"/>
      <c r="AE121" s="720"/>
    </row>
    <row s="8844" customFormat="1" customHeight="1" ht="11.25">
      <c r="A122" s="1142"/>
      <c r="B122" s="1795"/>
      <c r="C122" s="1795"/>
      <c r="D122" s="505"/>
      <c r="K122" s="1316"/>
      <c r="L122" s="1795"/>
      <c r="M122" s="1795"/>
      <c r="N122" s="1316"/>
      <c r="O122" s="1316"/>
      <c r="P122" s="1316"/>
      <c r="Q122" s="1316"/>
      <c r="R122" s="1795"/>
      <c r="S122" s="1316"/>
      <c r="T122" s="1316"/>
      <c r="U122" s="698"/>
      <c r="V122" s="1316"/>
      <c r="W122" s="1316"/>
      <c r="X122" s="1316"/>
      <c r="Y122" s="1316"/>
      <c r="Z122" s="1316"/>
      <c r="AA122" s="1791"/>
      <c r="AB122" s="720"/>
      <c r="AC122" s="720"/>
      <c r="AD122" s="720"/>
      <c r="AE122" s="720"/>
    </row>
    <row s="8844" customFormat="1" customHeight="1" ht="11.25">
      <c r="A123" s="1142"/>
      <c r="B123" s="1795"/>
      <c r="C123" s="1795"/>
      <c r="D123" s="505"/>
      <c r="K123" s="1316"/>
      <c r="L123" s="1795"/>
      <c r="M123" s="1795"/>
      <c r="N123" s="1316"/>
      <c r="O123" s="1316"/>
      <c r="P123" s="1316"/>
      <c r="Q123" s="1316"/>
      <c r="R123" s="1795"/>
      <c r="S123" s="1316"/>
      <c r="T123" s="1316"/>
      <c r="U123" s="698"/>
      <c r="V123" s="1316"/>
      <c r="W123" s="1316"/>
      <c r="X123" s="1316"/>
      <c r="Y123" s="1316"/>
      <c r="Z123" s="1316"/>
      <c r="AA123" s="1791"/>
      <c r="AB123" s="720"/>
      <c r="AC123" s="720"/>
      <c r="AD123" s="720"/>
      <c r="AE123" s="720"/>
    </row>
    <row s="8844" customFormat="1" customHeight="1" ht="11.25">
      <c r="A124" s="1142"/>
      <c r="B124" s="1795"/>
      <c r="C124" s="1795"/>
      <c r="D124" s="505"/>
      <c r="K124" s="1316"/>
      <c r="L124" s="1795"/>
      <c r="M124" s="1795"/>
      <c r="N124" s="1316"/>
      <c r="O124" s="1316"/>
      <c r="P124" s="1316"/>
      <c r="Q124" s="1316"/>
      <c r="R124" s="1795"/>
      <c r="S124" s="1316"/>
      <c r="T124" s="1316"/>
      <c r="U124" s="698"/>
      <c r="V124" s="1316"/>
      <c r="W124" s="1316"/>
      <c r="X124" s="1316"/>
      <c r="Y124" s="1316"/>
      <c r="Z124" s="1316"/>
      <c r="AA124" s="1791"/>
      <c r="AB124" s="720"/>
      <c r="AC124" s="720"/>
      <c r="AD124" s="720"/>
      <c r="AE124" s="720"/>
    </row>
    <row s="8844" customFormat="1" customHeight="1" ht="11.25">
      <c r="A125" s="1142"/>
      <c r="B125" s="1795"/>
      <c r="C125" s="1795"/>
      <c r="D125" s="505"/>
      <c r="K125" s="1316"/>
      <c r="L125" s="1795"/>
      <c r="M125" s="1795"/>
      <c r="N125" s="1316"/>
      <c r="O125" s="1316"/>
      <c r="P125" s="1316"/>
      <c r="Q125" s="1316"/>
      <c r="R125" s="1795"/>
      <c r="S125" s="1316"/>
      <c r="T125" s="1316"/>
      <c r="U125" s="698"/>
      <c r="V125" s="1316"/>
      <c r="W125" s="1316"/>
      <c r="X125" s="1316"/>
      <c r="Y125" s="1316"/>
      <c r="Z125" s="1316"/>
      <c r="AA125" s="1791"/>
      <c r="AB125" s="720"/>
      <c r="AC125" s="720"/>
      <c r="AD125" s="720"/>
      <c r="AE125" s="720"/>
    </row>
    <row s="8844" customFormat="1" customHeight="1" ht="11.25">
      <c r="A126" s="1142"/>
      <c r="B126" s="1795"/>
      <c r="C126" s="1795"/>
      <c r="D126" s="505"/>
      <c r="K126" s="1316"/>
      <c r="L126" s="1795"/>
      <c r="M126" s="1795"/>
      <c r="N126" s="1316"/>
      <c r="O126" s="1316"/>
      <c r="P126" s="1316"/>
      <c r="Q126" s="1316"/>
      <c r="R126" s="1795"/>
      <c r="S126" s="1316"/>
      <c r="T126" s="1316"/>
      <c r="U126" s="698"/>
      <c r="V126" s="1316"/>
      <c r="W126" s="1316"/>
      <c r="X126" s="1316"/>
      <c r="Y126" s="1316"/>
      <c r="Z126" s="1316"/>
      <c r="AA126" s="1791"/>
      <c r="AB126" s="720"/>
      <c r="AC126" s="720"/>
      <c r="AD126" s="720"/>
      <c r="AE126" s="720"/>
    </row>
    <row s="8844" customFormat="1" customHeight="1" ht="11.25">
      <c r="A127" s="1142"/>
      <c r="B127" s="1795"/>
      <c r="C127" s="1795"/>
      <c r="D127" s="505"/>
      <c r="K127" s="1316"/>
      <c r="L127" s="1795"/>
      <c r="M127" s="1795"/>
      <c r="N127" s="1316"/>
      <c r="O127" s="1316"/>
      <c r="P127" s="1316"/>
      <c r="Q127" s="1316"/>
      <c r="R127" s="1795"/>
      <c r="S127" s="1316"/>
      <c r="T127" s="1316"/>
      <c r="U127" s="698"/>
      <c r="V127" s="1316"/>
      <c r="W127" s="1316"/>
      <c r="X127" s="1316"/>
      <c r="Y127" s="1316"/>
      <c r="Z127" s="1316"/>
      <c r="AA127" s="1791"/>
      <c r="AB127" s="720"/>
      <c r="AC127" s="720"/>
      <c r="AD127" s="720"/>
      <c r="AE127" s="720"/>
    </row>
    <row s="8844" customFormat="1" customHeight="1" ht="11.25">
      <c r="A128" s="1142"/>
      <c r="B128" s="1795"/>
      <c r="C128" s="1795"/>
      <c r="D128" s="505"/>
      <c r="K128" s="1316"/>
      <c r="L128" s="1795"/>
      <c r="M128" s="1795"/>
      <c r="N128" s="1316"/>
      <c r="O128" s="1316"/>
      <c r="P128" s="1316"/>
      <c r="Q128" s="1316"/>
      <c r="R128" s="1795"/>
      <c r="S128" s="1316"/>
      <c r="T128" s="1316"/>
      <c r="U128" s="698"/>
      <c r="V128" s="1316"/>
      <c r="W128" s="1316"/>
      <c r="X128" s="1316"/>
      <c r="Y128" s="1316"/>
      <c r="Z128" s="1316"/>
      <c r="AA128" s="1791"/>
      <c r="AB128" s="720"/>
      <c r="AC128" s="720"/>
      <c r="AD128" s="720"/>
      <c r="AE128" s="720"/>
    </row>
    <row s="8844" customFormat="1" customHeight="1" ht="11.25">
      <c r="A129" s="1142"/>
      <c r="B129" s="1795"/>
      <c r="C129" s="1795"/>
      <c r="D129" s="505"/>
      <c r="K129" s="1316"/>
      <c r="L129" s="1795"/>
      <c r="M129" s="1795"/>
      <c r="N129" s="1316"/>
      <c r="O129" s="1316"/>
      <c r="P129" s="1316"/>
      <c r="Q129" s="1316"/>
      <c r="R129" s="1795"/>
      <c r="S129" s="1316"/>
      <c r="T129" s="1316"/>
      <c r="U129" s="698"/>
      <c r="V129" s="1316"/>
      <c r="W129" s="1316"/>
      <c r="X129" s="1316"/>
      <c r="Y129" s="1316"/>
      <c r="Z129" s="1316"/>
      <c r="AA129" s="1791"/>
      <c r="AB129" s="720"/>
      <c r="AC129" s="720"/>
      <c r="AD129" s="720"/>
      <c r="AE129" s="720"/>
    </row>
    <row s="8844" customFormat="1" customHeight="1" ht="11.25">
      <c r="A130" s="1142"/>
      <c r="B130" s="1795"/>
      <c r="C130" s="1795"/>
      <c r="D130" s="505"/>
      <c r="K130" s="1316"/>
      <c r="L130" s="1795"/>
      <c r="M130" s="1795"/>
      <c r="N130" s="1316"/>
      <c r="O130" s="1316"/>
      <c r="P130" s="1316"/>
      <c r="Q130" s="1316"/>
      <c r="R130" s="1795"/>
      <c r="S130" s="1316"/>
      <c r="T130" s="1316"/>
      <c r="U130" s="698"/>
      <c r="V130" s="1316"/>
      <c r="W130" s="1316"/>
      <c r="X130" s="1316"/>
      <c r="Y130" s="1316"/>
      <c r="Z130" s="1316"/>
      <c r="AA130" s="1791"/>
      <c r="AB130" s="720"/>
      <c r="AC130" s="720"/>
      <c r="AD130" s="720"/>
      <c r="AE130" s="720"/>
    </row>
    <row s="8844" customFormat="1" customHeight="1" ht="11.25">
      <c r="A131" s="1142"/>
      <c r="B131" s="1795"/>
      <c r="C131" s="1795"/>
      <c r="D131" s="505"/>
      <c r="K131" s="1316"/>
      <c r="L131" s="1795"/>
      <c r="M131" s="1795"/>
      <c r="N131" s="1316"/>
      <c r="O131" s="1316"/>
      <c r="P131" s="1316"/>
      <c r="Q131" s="1316"/>
      <c r="R131" s="1795"/>
      <c r="S131" s="1316"/>
      <c r="T131" s="1316"/>
      <c r="U131" s="698"/>
      <c r="V131" s="1316"/>
      <c r="W131" s="1316"/>
      <c r="X131" s="1316"/>
      <c r="Y131" s="1316"/>
      <c r="Z131" s="1316"/>
      <c r="AA131" s="1791"/>
      <c r="AB131" s="720"/>
      <c r="AC131" s="720"/>
      <c r="AD131" s="720"/>
      <c r="AE131" s="720"/>
    </row>
    <row s="8844" customFormat="1" customHeight="1" ht="11.25">
      <c r="A132" s="1142"/>
      <c r="B132" s="1795"/>
      <c r="C132" s="1795"/>
      <c r="D132" s="505"/>
      <c r="K132" s="1316"/>
      <c r="L132" s="1795"/>
      <c r="M132" s="1795"/>
      <c r="N132" s="1316"/>
      <c r="O132" s="1316"/>
      <c r="P132" s="1316"/>
      <c r="Q132" s="1316"/>
      <c r="R132" s="1795"/>
      <c r="S132" s="1316"/>
      <c r="T132" s="1316"/>
      <c r="U132" s="698"/>
      <c r="V132" s="1316"/>
      <c r="W132" s="1316"/>
      <c r="X132" s="1316"/>
      <c r="Y132" s="1316"/>
      <c r="Z132" s="1316"/>
      <c r="AA132" s="1791"/>
      <c r="AB132" s="720"/>
      <c r="AC132" s="720"/>
      <c r="AD132" s="720"/>
      <c r="AE132" s="720"/>
    </row>
    <row s="8844" customFormat="1" customHeight="1" ht="11.25">
      <c r="A133" s="1142"/>
      <c r="B133" s="1795"/>
      <c r="C133" s="1795"/>
      <c r="D133" s="505"/>
      <c r="K133" s="1316"/>
      <c r="L133" s="1795"/>
      <c r="M133" s="1795"/>
      <c r="N133" s="1316"/>
      <c r="O133" s="1316"/>
      <c r="P133" s="1316"/>
      <c r="Q133" s="1316"/>
      <c r="R133" s="1795"/>
      <c r="S133" s="1316"/>
      <c r="T133" s="1316"/>
      <c r="U133" s="698"/>
      <c r="V133" s="1316"/>
      <c r="W133" s="1316"/>
      <c r="X133" s="1316"/>
      <c r="Y133" s="1316"/>
      <c r="Z133" s="1316"/>
      <c r="AA133" s="1791"/>
      <c r="AB133" s="720"/>
      <c r="AC133" s="720"/>
      <c r="AD133" s="720"/>
      <c r="AE133" s="720"/>
    </row>
    <row s="8844" customFormat="1" customHeight="1" ht="11.25">
      <c r="A134" s="1142"/>
      <c r="B134" s="1795"/>
      <c r="C134" s="1795"/>
      <c r="D134" s="505"/>
      <c r="K134" s="1316"/>
      <c r="L134" s="1795"/>
      <c r="M134" s="1795"/>
      <c r="N134" s="1316"/>
      <c r="O134" s="1316"/>
      <c r="P134" s="1316"/>
      <c r="Q134" s="1316"/>
      <c r="R134" s="1795"/>
      <c r="S134" s="1316"/>
      <c r="T134" s="1316"/>
      <c r="U134" s="698"/>
      <c r="V134" s="1316"/>
      <c r="W134" s="1316"/>
      <c r="X134" s="1316"/>
      <c r="Y134" s="1316"/>
      <c r="Z134" s="1316"/>
      <c r="AA134" s="1791"/>
      <c r="AB134" s="720"/>
      <c r="AC134" s="720"/>
      <c r="AD134" s="720"/>
      <c r="AE134" s="720"/>
    </row>
    <row s="8844" customFormat="1" customHeight="1" ht="11.25">
      <c r="A135" s="1142"/>
      <c r="B135" s="1795"/>
      <c r="C135" s="1795"/>
      <c r="D135" s="505"/>
      <c r="K135" s="1316"/>
      <c r="L135" s="1795"/>
      <c r="M135" s="1795"/>
      <c r="N135" s="1316"/>
      <c r="O135" s="1316"/>
      <c r="P135" s="1316"/>
      <c r="Q135" s="1316"/>
      <c r="R135" s="1795"/>
      <c r="S135" s="1316"/>
      <c r="T135" s="1316"/>
      <c r="U135" s="698"/>
      <c r="V135" s="1316"/>
      <c r="W135" s="1316"/>
      <c r="X135" s="1316"/>
      <c r="Y135" s="1316"/>
      <c r="Z135" s="1316"/>
      <c r="AA135" s="1791"/>
      <c r="AB135" s="720"/>
      <c r="AC135" s="720"/>
      <c r="AD135" s="720"/>
      <c r="AE135" s="720"/>
    </row>
    <row s="8844" customFormat="1" customHeight="1" ht="11.25">
      <c r="A136" s="1142"/>
      <c r="B136" s="1795"/>
      <c r="C136" s="1795"/>
      <c r="D136" s="505"/>
      <c r="K136" s="1316"/>
      <c r="L136" s="1795"/>
      <c r="M136" s="1795"/>
      <c r="N136" s="1316"/>
      <c r="O136" s="1316"/>
      <c r="P136" s="1316"/>
      <c r="Q136" s="1316"/>
      <c r="R136" s="1795"/>
      <c r="S136" s="1316"/>
      <c r="T136" s="1316"/>
      <c r="U136" s="698"/>
      <c r="V136" s="1316"/>
      <c r="W136" s="1316"/>
      <c r="X136" s="1316"/>
      <c r="Y136" s="1316"/>
      <c r="Z136" s="1316"/>
      <c r="AA136" s="1791"/>
      <c r="AB136" s="720"/>
      <c r="AC136" s="720"/>
      <c r="AD136" s="720"/>
      <c r="AE136" s="720"/>
    </row>
    <row s="8844" customFormat="1" customHeight="1" ht="11.25">
      <c r="A137" s="1142"/>
      <c r="B137" s="1795"/>
      <c r="C137" s="1795"/>
      <c r="D137" s="505"/>
      <c r="K137" s="1316"/>
      <c r="L137" s="1795"/>
      <c r="M137" s="1795"/>
      <c r="N137" s="1316"/>
      <c r="O137" s="1316"/>
      <c r="P137" s="1316"/>
      <c r="Q137" s="1316"/>
      <c r="R137" s="1795"/>
      <c r="S137" s="1316"/>
      <c r="T137" s="1316"/>
      <c r="U137" s="698"/>
      <c r="V137" s="1316"/>
      <c r="W137" s="1316"/>
      <c r="X137" s="1316"/>
      <c r="Y137" s="1316"/>
      <c r="Z137" s="1316"/>
      <c r="AA137" s="1791"/>
      <c r="AB137" s="720"/>
      <c r="AC137" s="720"/>
      <c r="AD137" s="720"/>
      <c r="AE137" s="720"/>
    </row>
    <row s="8844" customFormat="1" customHeight="1" ht="11.25">
      <c r="A138" s="1142"/>
      <c r="B138" s="1795"/>
      <c r="C138" s="1795"/>
      <c r="D138" s="505"/>
      <c r="K138" s="1316"/>
      <c r="L138" s="1795"/>
      <c r="M138" s="1795"/>
      <c r="N138" s="1316"/>
      <c r="O138" s="1316"/>
      <c r="P138" s="1316"/>
      <c r="Q138" s="1316"/>
      <c r="R138" s="1795"/>
      <c r="S138" s="1316"/>
      <c r="T138" s="1316"/>
      <c r="U138" s="698"/>
      <c r="V138" s="1316"/>
      <c r="W138" s="1316"/>
      <c r="X138" s="1316"/>
      <c r="Y138" s="1316"/>
      <c r="Z138" s="1316"/>
      <c r="AA138" s="1791"/>
      <c r="AB138" s="720"/>
      <c r="AC138" s="720"/>
      <c r="AD138" s="720"/>
      <c r="AE138" s="720"/>
    </row>
    <row s="8844" customFormat="1" customHeight="1" ht="11.25">
      <c r="A139" s="1142"/>
      <c r="B139" s="1795"/>
      <c r="C139" s="1795"/>
      <c r="D139" s="505"/>
      <c r="K139" s="1316"/>
      <c r="L139" s="1795"/>
      <c r="M139" s="1795"/>
      <c r="N139" s="1316"/>
      <c r="O139" s="1316"/>
      <c r="P139" s="1316"/>
      <c r="Q139" s="1316"/>
      <c r="R139" s="1795"/>
      <c r="S139" s="1316"/>
      <c r="T139" s="1316"/>
      <c r="U139" s="698"/>
      <c r="V139" s="1316"/>
      <c r="W139" s="1316"/>
      <c r="X139" s="1316"/>
      <c r="Y139" s="1316"/>
      <c r="Z139" s="1316"/>
      <c r="AA139" s="1791"/>
      <c r="AB139" s="720"/>
      <c r="AC139" s="720"/>
      <c r="AD139" s="720"/>
      <c r="AE139" s="720"/>
    </row>
    <row s="8844" customFormat="1" customHeight="1" ht="11.25">
      <c r="A140" s="1142"/>
      <c r="B140" s="1795"/>
      <c r="C140" s="1795"/>
      <c r="D140" s="505"/>
      <c r="K140" s="1316"/>
      <c r="L140" s="1795"/>
      <c r="M140" s="1795"/>
      <c r="N140" s="1316"/>
      <c r="O140" s="1316"/>
      <c r="P140" s="1316"/>
      <c r="Q140" s="1316"/>
      <c r="R140" s="1795"/>
      <c r="S140" s="1316"/>
      <c r="T140" s="1316"/>
      <c r="U140" s="698"/>
      <c r="V140" s="1316"/>
      <c r="W140" s="1316"/>
      <c r="X140" s="1316"/>
      <c r="Y140" s="1316"/>
      <c r="Z140" s="1316"/>
      <c r="AA140" s="1791"/>
      <c r="AB140" s="720"/>
      <c r="AC140" s="720"/>
      <c r="AD140" s="720"/>
      <c r="AE140" s="720"/>
    </row>
    <row s="8844" customFormat="1" customHeight="1" ht="11.25">
      <c r="A141" s="1142"/>
      <c r="B141" s="1795"/>
      <c r="C141" s="1795"/>
      <c r="D141" s="505"/>
      <c r="K141" s="1316"/>
      <c r="L141" s="1795"/>
      <c r="M141" s="1795"/>
      <c r="N141" s="1316"/>
      <c r="O141" s="1316"/>
      <c r="P141" s="1316"/>
      <c r="Q141" s="1316"/>
      <c r="R141" s="1795"/>
      <c r="S141" s="1316"/>
      <c r="T141" s="1316"/>
      <c r="U141" s="698"/>
      <c r="V141" s="1316"/>
      <c r="W141" s="1316"/>
      <c r="X141" s="1316"/>
      <c r="Y141" s="1316"/>
      <c r="Z141" s="1316"/>
      <c r="AA141" s="1791"/>
      <c r="AB141" s="720"/>
      <c r="AC141" s="720"/>
      <c r="AD141" s="720"/>
      <c r="AE141" s="720"/>
    </row>
    <row s="8844" customFormat="1" customHeight="1" ht="11.25">
      <c r="A142" s="1142"/>
      <c r="B142" s="1795"/>
      <c r="C142" s="1795"/>
      <c r="D142" s="505"/>
      <c r="K142" s="1316"/>
      <c r="L142" s="1795"/>
      <c r="M142" s="1795"/>
      <c r="N142" s="1316"/>
      <c r="O142" s="1316"/>
      <c r="P142" s="1316"/>
      <c r="Q142" s="1316"/>
      <c r="R142" s="1795"/>
      <c r="S142" s="1316"/>
      <c r="T142" s="1316"/>
      <c r="U142" s="698"/>
      <c r="V142" s="1316"/>
      <c r="W142" s="1316"/>
      <c r="X142" s="1316"/>
      <c r="Y142" s="1316"/>
      <c r="Z142" s="1316"/>
      <c r="AA142" s="1791"/>
      <c r="AB142" s="720"/>
      <c r="AC142" s="720"/>
      <c r="AD142" s="720"/>
      <c r="AE142" s="720"/>
    </row>
    <row s="8844" customFormat="1" customHeight="1" ht="11.25">
      <c r="A143" s="1142"/>
      <c r="B143" s="1795"/>
      <c r="C143" s="1795"/>
      <c r="D143" s="505"/>
      <c r="K143" s="1316"/>
      <c r="L143" s="1795"/>
      <c r="M143" s="1795"/>
      <c r="N143" s="1316"/>
      <c r="O143" s="1316"/>
      <c r="P143" s="1316"/>
      <c r="Q143" s="1316"/>
      <c r="R143" s="1795"/>
      <c r="S143" s="1316"/>
      <c r="T143" s="1316"/>
      <c r="U143" s="698"/>
      <c r="V143" s="1316"/>
      <c r="W143" s="1316"/>
      <c r="X143" s="1316"/>
      <c r="Y143" s="1316"/>
      <c r="Z143" s="1316"/>
      <c r="AA143" s="1791"/>
      <c r="AB143" s="720"/>
      <c r="AC143" s="720"/>
      <c r="AD143" s="720"/>
      <c r="AE143" s="720"/>
    </row>
    <row s="8844" customFormat="1" customHeight="1" ht="11.25">
      <c r="A144" s="1142"/>
      <c r="B144" s="1795"/>
      <c r="C144" s="1795"/>
      <c r="D144" s="505"/>
      <c r="K144" s="1316"/>
      <c r="L144" s="1795"/>
      <c r="M144" s="1795"/>
      <c r="N144" s="1316"/>
      <c r="O144" s="1316"/>
      <c r="P144" s="1316"/>
      <c r="Q144" s="1316"/>
      <c r="R144" s="1795"/>
      <c r="S144" s="1316"/>
      <c r="T144" s="1316"/>
      <c r="U144" s="698"/>
      <c r="V144" s="1316"/>
      <c r="W144" s="1316"/>
      <c r="X144" s="1316"/>
      <c r="Y144" s="1316"/>
      <c r="Z144" s="1316"/>
      <c r="AA144" s="1791"/>
      <c r="AB144" s="720"/>
      <c r="AC144" s="720"/>
      <c r="AD144" s="720"/>
      <c r="AE144" s="720"/>
    </row>
    <row s="8844" customFormat="1" customHeight="1" ht="11.25">
      <c r="A145" s="1142"/>
      <c r="B145" s="1795"/>
      <c r="C145" s="1795"/>
      <c r="D145" s="505"/>
      <c r="K145" s="1316"/>
      <c r="L145" s="1795"/>
      <c r="M145" s="1795"/>
      <c r="N145" s="1316"/>
      <c r="O145" s="1316"/>
      <c r="P145" s="1316"/>
      <c r="Q145" s="1316"/>
      <c r="R145" s="1795"/>
      <c r="S145" s="1316"/>
      <c r="T145" s="1316"/>
      <c r="U145" s="698"/>
      <c r="V145" s="1316"/>
      <c r="W145" s="1316"/>
      <c r="X145" s="1316"/>
      <c r="Y145" s="1316"/>
      <c r="Z145" s="1316"/>
      <c r="AA145" s="1791"/>
      <c r="AB145" s="720"/>
      <c r="AC145" s="720"/>
      <c r="AD145" s="720"/>
      <c r="AE145" s="720"/>
    </row>
    <row s="8844" customFormat="1" customHeight="1" ht="11.25">
      <c r="A146" s="1142"/>
      <c r="B146" s="1795"/>
      <c r="C146" s="1795"/>
      <c r="D146" s="505"/>
      <c r="K146" s="1316"/>
      <c r="L146" s="1795"/>
      <c r="M146" s="1795"/>
      <c r="N146" s="1316"/>
      <c r="O146" s="1316"/>
      <c r="P146" s="1316"/>
      <c r="Q146" s="1316"/>
      <c r="R146" s="1795"/>
      <c r="S146" s="1316"/>
      <c r="T146" s="1316"/>
      <c r="U146" s="698"/>
      <c r="V146" s="1316"/>
      <c r="W146" s="1316"/>
      <c r="X146" s="1316"/>
      <c r="Y146" s="1316"/>
      <c r="Z146" s="1316"/>
      <c r="AA146" s="1791"/>
      <c r="AB146" s="720"/>
      <c r="AC146" s="720"/>
      <c r="AD146" s="720"/>
      <c r="AE146" s="720"/>
    </row>
    <row s="8844" customFormat="1" customHeight="1" ht="11.25">
      <c r="A147" s="1142"/>
      <c r="B147" s="1795"/>
      <c r="C147" s="1795"/>
      <c r="D147" s="505"/>
      <c r="K147" s="1316"/>
      <c r="L147" s="1795"/>
      <c r="M147" s="1795"/>
      <c r="N147" s="1316"/>
      <c r="O147" s="1316"/>
      <c r="P147" s="1316"/>
      <c r="Q147" s="1316"/>
      <c r="R147" s="1795"/>
      <c r="S147" s="1316"/>
      <c r="T147" s="1316"/>
      <c r="U147" s="698"/>
      <c r="V147" s="1316"/>
      <c r="W147" s="1316"/>
      <c r="X147" s="1316"/>
      <c r="Y147" s="1316"/>
      <c r="Z147" s="1316"/>
      <c r="AA147" s="1791"/>
      <c r="AB147" s="720"/>
      <c r="AC147" s="720"/>
      <c r="AD147" s="720"/>
      <c r="AE147" s="720"/>
    </row>
    <row s="8844" customFormat="1" customHeight="1" ht="11.25">
      <c r="A148" s="1142"/>
      <c r="B148" s="1795"/>
      <c r="C148" s="1795"/>
      <c r="D148" s="505"/>
      <c r="K148" s="1316"/>
      <c r="L148" s="1795"/>
      <c r="M148" s="1795"/>
      <c r="N148" s="1316"/>
      <c r="O148" s="1316"/>
      <c r="P148" s="1316"/>
      <c r="Q148" s="1316"/>
      <c r="R148" s="1795"/>
      <c r="S148" s="1316"/>
      <c r="T148" s="1316"/>
      <c r="U148" s="698"/>
      <c r="V148" s="1316"/>
      <c r="W148" s="1316"/>
      <c r="X148" s="1316"/>
      <c r="Y148" s="1316"/>
      <c r="Z148" s="1316"/>
      <c r="AA148" s="1791"/>
      <c r="AB148" s="720"/>
      <c r="AC148" s="720"/>
      <c r="AD148" s="720"/>
      <c r="AE148" s="720"/>
    </row>
    <row s="8844" customFormat="1" customHeight="1" ht="11.25">
      <c r="A149" s="1142"/>
      <c r="B149" s="1795"/>
      <c r="C149" s="1795"/>
      <c r="D149" s="505"/>
      <c r="K149" s="1316"/>
      <c r="L149" s="1795"/>
      <c r="M149" s="1795"/>
      <c r="N149" s="1316"/>
      <c r="O149" s="1316"/>
      <c r="P149" s="1316"/>
      <c r="Q149" s="1316"/>
      <c r="R149" s="1795"/>
      <c r="S149" s="1316"/>
      <c r="T149" s="1316"/>
      <c r="U149" s="698"/>
      <c r="V149" s="1316"/>
      <c r="W149" s="1316"/>
      <c r="X149" s="1316"/>
      <c r="Y149" s="1316"/>
      <c r="Z149" s="1316"/>
      <c r="AA149" s="1791"/>
      <c r="AB149" s="720"/>
      <c r="AC149" s="720"/>
      <c r="AD149" s="720"/>
      <c r="AE149" s="720"/>
    </row>
    <row s="8844" customFormat="1" customHeight="1" ht="11.25">
      <c r="A150" s="1142"/>
      <c r="B150" s="1795"/>
      <c r="C150" s="1795"/>
      <c r="D150" s="505"/>
      <c r="K150" s="1316"/>
      <c r="L150" s="1795"/>
      <c r="M150" s="1795"/>
      <c r="N150" s="1316"/>
      <c r="O150" s="1316"/>
      <c r="P150" s="1316"/>
      <c r="Q150" s="1316"/>
      <c r="R150" s="1795"/>
      <c r="S150" s="1316"/>
      <c r="T150" s="1316"/>
      <c r="U150" s="698"/>
      <c r="V150" s="1316"/>
      <c r="W150" s="1316"/>
      <c r="X150" s="1316"/>
      <c r="Y150" s="1316"/>
      <c r="Z150" s="1316"/>
      <c r="AA150" s="1791"/>
      <c r="AB150" s="720"/>
      <c r="AC150" s="720"/>
      <c r="AD150" s="720"/>
      <c r="AE150" s="720"/>
    </row>
    <row s="8844" customFormat="1" customHeight="1" ht="11.25">
      <c r="A151" s="1142"/>
      <c r="B151" s="1795"/>
      <c r="C151" s="1795"/>
      <c r="D151" s="505"/>
      <c r="K151" s="1316"/>
      <c r="L151" s="1795"/>
      <c r="M151" s="1795"/>
      <c r="N151" s="1316"/>
      <c r="O151" s="1316"/>
      <c r="P151" s="1316"/>
      <c r="Q151" s="1316"/>
      <c r="R151" s="1795"/>
      <c r="S151" s="1316"/>
      <c r="T151" s="1316"/>
      <c r="U151" s="698"/>
      <c r="V151" s="1316"/>
      <c r="W151" s="1316"/>
      <c r="X151" s="1316"/>
      <c r="Y151" s="1316"/>
      <c r="Z151" s="1316"/>
      <c r="AA151" s="1791"/>
      <c r="AB151" s="720"/>
      <c r="AC151" s="720"/>
      <c r="AD151" s="720"/>
      <c r="AE151" s="720"/>
    </row>
    <row s="8844" customFormat="1" customHeight="1" ht="11.25">
      <c r="A152" s="1142"/>
      <c r="B152" s="1795"/>
      <c r="C152" s="1795"/>
      <c r="D152" s="505"/>
      <c r="K152" s="1316"/>
      <c r="L152" s="1795"/>
      <c r="M152" s="1795"/>
      <c r="N152" s="1316"/>
      <c r="O152" s="1316"/>
      <c r="P152" s="1316"/>
      <c r="Q152" s="1316"/>
      <c r="R152" s="1795"/>
      <c r="S152" s="1316"/>
      <c r="T152" s="1316"/>
      <c r="U152" s="698"/>
      <c r="V152" s="1316"/>
      <c r="W152" s="1316"/>
      <c r="X152" s="1316"/>
      <c r="Y152" s="1316"/>
      <c r="Z152" s="1316"/>
      <c r="AA152" s="1791"/>
      <c r="AB152" s="720"/>
      <c r="AC152" s="720"/>
      <c r="AD152" s="720"/>
      <c r="AE152" s="720"/>
    </row>
    <row s="8844" customFormat="1" customHeight="1" ht="11.25">
      <c r="A153" s="1142"/>
      <c r="B153" s="1795"/>
      <c r="C153" s="1795"/>
      <c r="D153" s="505"/>
      <c r="K153" s="1316"/>
      <c r="L153" s="1795"/>
      <c r="M153" s="1795"/>
      <c r="N153" s="1316"/>
      <c r="O153" s="1316"/>
      <c r="P153" s="1316"/>
      <c r="Q153" s="1316"/>
      <c r="R153" s="1795"/>
      <c r="S153" s="1316"/>
      <c r="T153" s="1316"/>
      <c r="U153" s="698"/>
      <c r="V153" s="1316"/>
      <c r="W153" s="1316"/>
      <c r="X153" s="1316"/>
      <c r="Y153" s="1316"/>
      <c r="Z153" s="1316"/>
      <c r="AA153" s="1791"/>
      <c r="AB153" s="720"/>
      <c r="AC153" s="720"/>
      <c r="AD153" s="720"/>
      <c r="AE153" s="720"/>
    </row>
    <row s="8844" customFormat="1" customHeight="1" ht="11.25">
      <c r="A154" s="1142"/>
      <c r="B154" s="1795"/>
      <c r="C154" s="1795"/>
      <c r="D154" s="505"/>
      <c r="K154" s="1316"/>
      <c r="L154" s="1795"/>
      <c r="M154" s="1795"/>
      <c r="N154" s="1316"/>
      <c r="O154" s="1316"/>
      <c r="P154" s="1316"/>
      <c r="Q154" s="1316"/>
      <c r="R154" s="1795"/>
      <c r="S154" s="1316"/>
      <c r="T154" s="1316"/>
      <c r="U154" s="698"/>
      <c r="V154" s="1316"/>
      <c r="W154" s="1316"/>
      <c r="X154" s="1316"/>
      <c r="Y154" s="1316"/>
      <c r="Z154" s="1316"/>
      <c r="AA154" s="1791"/>
      <c r="AB154" s="720"/>
      <c r="AC154" s="720"/>
      <c r="AD154" s="720"/>
      <c r="AE154" s="720"/>
    </row>
    <row s="8844" customFormat="1" customHeight="1" ht="11.25">
      <c r="A155" s="1142"/>
      <c r="B155" s="1795"/>
      <c r="C155" s="1795"/>
      <c r="D155" s="505"/>
      <c r="K155" s="1316"/>
      <c r="L155" s="1795"/>
      <c r="M155" s="1795"/>
      <c r="N155" s="1316"/>
      <c r="O155" s="1316"/>
      <c r="P155" s="1316"/>
      <c r="Q155" s="1316"/>
      <c r="R155" s="1795"/>
      <c r="S155" s="1316"/>
      <c r="T155" s="1316"/>
      <c r="U155" s="698"/>
      <c r="V155" s="1316"/>
      <c r="W155" s="1316"/>
      <c r="X155" s="1316"/>
      <c r="Y155" s="1316"/>
      <c r="Z155" s="1316"/>
      <c r="AA155" s="1791"/>
      <c r="AB155" s="720"/>
      <c r="AC155" s="720"/>
      <c r="AD155" s="720"/>
      <c r="AE155" s="720"/>
    </row>
    <row s="8844" customFormat="1" customHeight="1" ht="11.25">
      <c r="A156" s="1142"/>
      <c r="B156" s="1795"/>
      <c r="C156" s="1795"/>
      <c r="D156" s="505"/>
      <c r="K156" s="1316"/>
      <c r="L156" s="1795"/>
      <c r="M156" s="1795"/>
      <c r="N156" s="1316"/>
      <c r="O156" s="1316"/>
      <c r="P156" s="1316"/>
      <c r="Q156" s="1316"/>
      <c r="R156" s="1795"/>
      <c r="S156" s="1316"/>
      <c r="T156" s="1316"/>
      <c r="U156" s="698"/>
      <c r="V156" s="1316"/>
      <c r="W156" s="1316"/>
      <c r="X156" s="1316"/>
      <c r="Y156" s="1316"/>
      <c r="Z156" s="1316"/>
      <c r="AA156" s="1791"/>
      <c r="AB156" s="720"/>
      <c r="AC156" s="720"/>
      <c r="AD156" s="720"/>
      <c r="AE156" s="720"/>
    </row>
    <row s="8844" customFormat="1" customHeight="1" ht="11.25">
      <c r="A157" s="1142"/>
      <c r="B157" s="1795"/>
      <c r="C157" s="1795"/>
      <c r="D157" s="505"/>
      <c r="K157" s="1316"/>
      <c r="L157" s="1795"/>
      <c r="M157" s="1795"/>
      <c r="N157" s="1316"/>
      <c r="O157" s="1316"/>
      <c r="P157" s="1316"/>
      <c r="Q157" s="1316"/>
      <c r="R157" s="1795"/>
      <c r="S157" s="1316"/>
      <c r="T157" s="1316"/>
      <c r="U157" s="698"/>
      <c r="V157" s="1316"/>
      <c r="W157" s="1316"/>
      <c r="X157" s="1316"/>
      <c r="Y157" s="1316"/>
      <c r="Z157" s="1316"/>
      <c r="AA157" s="1791"/>
      <c r="AB157" s="720"/>
      <c r="AC157" s="720"/>
      <c r="AD157" s="720"/>
      <c r="AE157" s="720"/>
    </row>
    <row s="8844" customFormat="1" customHeight="1" ht="11.25">
      <c r="A158" s="1142"/>
      <c r="B158" s="1795"/>
      <c r="C158" s="1795"/>
      <c r="D158" s="505"/>
      <c r="K158" s="1316"/>
      <c r="L158" s="1795"/>
      <c r="M158" s="1795"/>
      <c r="N158" s="1316"/>
      <c r="O158" s="1316"/>
      <c r="P158" s="1316"/>
      <c r="Q158" s="1316"/>
      <c r="R158" s="1795"/>
      <c r="S158" s="1316"/>
      <c r="T158" s="1316"/>
      <c r="U158" s="698"/>
      <c r="V158" s="1316"/>
      <c r="W158" s="1316"/>
      <c r="X158" s="1316"/>
      <c r="Y158" s="1316"/>
      <c r="Z158" s="1316"/>
      <c r="AA158" s="1791"/>
      <c r="AB158" s="720"/>
      <c r="AC158" s="720"/>
      <c r="AD158" s="720"/>
      <c r="AE158" s="720"/>
    </row>
    <row s="8844" customFormat="1" customHeight="1" ht="11.25">
      <c r="A159" s="1142"/>
      <c r="B159" s="1795"/>
      <c r="C159" s="1795"/>
      <c r="D159" s="505"/>
      <c r="K159" s="1316"/>
      <c r="L159" s="1795"/>
      <c r="M159" s="1795"/>
      <c r="N159" s="1316"/>
      <c r="O159" s="1316"/>
      <c r="P159" s="1316"/>
      <c r="Q159" s="1316"/>
      <c r="R159" s="1795"/>
      <c r="S159" s="1316"/>
      <c r="T159" s="1316"/>
      <c r="U159" s="698"/>
      <c r="V159" s="1316"/>
      <c r="W159" s="1316"/>
      <c r="X159" s="1316"/>
      <c r="Y159" s="1316"/>
      <c r="Z159" s="1316"/>
      <c r="AA159" s="1791"/>
      <c r="AB159" s="720"/>
      <c r="AC159" s="720"/>
      <c r="AD159" s="720"/>
      <c r="AE159" s="720"/>
    </row>
    <row s="8844" customFormat="1" customHeight="1" ht="11.25">
      <c r="A160" s="1142"/>
      <c r="B160" s="1795"/>
      <c r="C160" s="1795"/>
      <c r="D160" s="505"/>
      <c r="K160" s="1316"/>
      <c r="L160" s="1795"/>
      <c r="M160" s="1795"/>
      <c r="N160" s="1316"/>
      <c r="O160" s="1316"/>
      <c r="P160" s="1316"/>
      <c r="Q160" s="1316"/>
      <c r="R160" s="1795"/>
      <c r="S160" s="1316"/>
      <c r="T160" s="1316"/>
      <c r="U160" s="698"/>
      <c r="V160" s="1316"/>
      <c r="W160" s="1316"/>
      <c r="X160" s="1316"/>
      <c r="Y160" s="1316"/>
      <c r="Z160" s="1316"/>
      <c r="AA160" s="1791"/>
      <c r="AB160" s="720"/>
      <c r="AC160" s="720"/>
      <c r="AD160" s="720"/>
      <c r="AE160" s="720"/>
    </row>
    <row s="8844" customFormat="1" customHeight="1" ht="11.25">
      <c r="A161" s="1142"/>
      <c r="B161" s="1795"/>
      <c r="C161" s="1795"/>
      <c r="D161" s="505"/>
      <c r="K161" s="1316"/>
      <c r="L161" s="1795"/>
      <c r="M161" s="1795"/>
      <c r="N161" s="1316"/>
      <c r="O161" s="1316"/>
      <c r="P161" s="1316"/>
      <c r="Q161" s="1316"/>
      <c r="R161" s="1795"/>
      <c r="S161" s="1316"/>
      <c r="T161" s="1316"/>
      <c r="U161" s="698"/>
      <c r="V161" s="1316"/>
      <c r="W161" s="1316"/>
      <c r="X161" s="1316"/>
      <c r="Y161" s="1316"/>
      <c r="Z161" s="1316"/>
      <c r="AA161" s="1791"/>
      <c r="AB161" s="720"/>
      <c r="AC161" s="720"/>
      <c r="AD161" s="720"/>
      <c r="AE161" s="720"/>
    </row>
    <row s="8844" customFormat="1" customHeight="1" ht="11.25">
      <c r="A162" s="1142"/>
      <c r="B162" s="1795"/>
      <c r="C162" s="1795"/>
      <c r="D162" s="505"/>
      <c r="K162" s="1316"/>
      <c r="L162" s="1795"/>
      <c r="M162" s="1795"/>
      <c r="N162" s="1316"/>
      <c r="O162" s="1316"/>
      <c r="P162" s="1316"/>
      <c r="Q162" s="1316"/>
      <c r="R162" s="1795"/>
      <c r="S162" s="1316"/>
      <c r="T162" s="1316"/>
      <c r="U162" s="698"/>
      <c r="V162" s="1316"/>
      <c r="W162" s="1316"/>
      <c r="X162" s="1316"/>
      <c r="Y162" s="1316"/>
      <c r="Z162" s="1316"/>
      <c r="AA162" s="1791"/>
      <c r="AB162" s="720"/>
      <c r="AC162" s="720"/>
      <c r="AD162" s="720"/>
      <c r="AE162" s="720"/>
    </row>
    <row s="8844" customFormat="1" customHeight="1" ht="11.25">
      <c r="A163" s="1142"/>
      <c r="B163" s="1795"/>
      <c r="C163" s="1795"/>
      <c r="D163" s="505"/>
      <c r="K163" s="1316"/>
      <c r="L163" s="1795"/>
      <c r="M163" s="1795"/>
      <c r="N163" s="1316"/>
      <c r="O163" s="1316"/>
      <c r="P163" s="1316"/>
      <c r="Q163" s="1316"/>
      <c r="R163" s="1795"/>
      <c r="S163" s="1316"/>
      <c r="T163" s="1316"/>
      <c r="U163" s="698"/>
      <c r="V163" s="1316"/>
      <c r="W163" s="1316"/>
      <c r="X163" s="1316"/>
      <c r="Y163" s="1316"/>
      <c r="Z163" s="1316"/>
      <c r="AA163" s="1791"/>
      <c r="AB163" s="720"/>
      <c r="AC163" s="720"/>
      <c r="AD163" s="720"/>
      <c r="AE163" s="720"/>
    </row>
    <row s="8844" customFormat="1" customHeight="1" ht="11.25">
      <c r="A164" s="1142"/>
      <c r="B164" s="1795"/>
      <c r="C164" s="1795"/>
      <c r="D164" s="505"/>
      <c r="K164" s="1316"/>
      <c r="L164" s="1795"/>
      <c r="M164" s="1795"/>
      <c r="N164" s="1316"/>
      <c r="O164" s="1316"/>
      <c r="P164" s="1316"/>
      <c r="Q164" s="1316"/>
      <c r="R164" s="1795"/>
      <c r="S164" s="1316"/>
      <c r="T164" s="1316"/>
      <c r="U164" s="698"/>
      <c r="V164" s="1316"/>
      <c r="W164" s="1316"/>
      <c r="X164" s="1316"/>
      <c r="Y164" s="1316"/>
      <c r="Z164" s="1316"/>
      <c r="AA164" s="1791"/>
      <c r="AB164" s="720"/>
      <c r="AC164" s="720"/>
      <c r="AD164" s="720"/>
      <c r="AE164" s="720"/>
    </row>
    <row s="8844" customFormat="1" customHeight="1" ht="11.25">
      <c r="A165" s="1142"/>
      <c r="B165" s="1795"/>
      <c r="C165" s="1795"/>
      <c r="D165" s="505"/>
      <c r="K165" s="1316"/>
      <c r="L165" s="1795"/>
      <c r="M165" s="1795"/>
      <c r="N165" s="1316"/>
      <c r="O165" s="1316"/>
      <c r="P165" s="1316"/>
      <c r="Q165" s="1316"/>
      <c r="R165" s="1795"/>
      <c r="S165" s="1316"/>
      <c r="T165" s="1316"/>
      <c r="U165" s="698"/>
      <c r="V165" s="1316"/>
      <c r="W165" s="1316"/>
      <c r="X165" s="1316"/>
      <c r="Y165" s="1316"/>
      <c r="Z165" s="1316"/>
      <c r="AA165" s="1791"/>
      <c r="AB165" s="720"/>
      <c r="AC165" s="720"/>
      <c r="AD165" s="720"/>
      <c r="AE165" s="720"/>
    </row>
    <row s="8844" customFormat="1" customHeight="1" ht="11.25">
      <c r="A166" s="1142"/>
      <c r="B166" s="1795"/>
      <c r="C166" s="1795"/>
      <c r="D166" s="505"/>
      <c r="K166" s="1316"/>
      <c r="L166" s="1795"/>
      <c r="M166" s="1795"/>
      <c r="N166" s="1316"/>
      <c r="O166" s="1316"/>
      <c r="P166" s="1316"/>
      <c r="Q166" s="1316"/>
      <c r="R166" s="1795"/>
      <c r="S166" s="1316"/>
      <c r="T166" s="1316"/>
      <c r="U166" s="698"/>
      <c r="V166" s="1316"/>
      <c r="W166" s="1316"/>
      <c r="X166" s="1316"/>
      <c r="Y166" s="1316"/>
      <c r="Z166" s="1316"/>
      <c r="AA166" s="1791"/>
      <c r="AB166" s="720"/>
      <c r="AC166" s="720"/>
      <c r="AD166" s="720"/>
      <c r="AE166" s="720"/>
    </row>
    <row s="8844" customFormat="1" customHeight="1" ht="11.25">
      <c r="A167" s="1142"/>
      <c r="B167" s="1795"/>
      <c r="C167" s="1795"/>
      <c r="D167" s="505"/>
      <c r="K167" s="1316"/>
      <c r="L167" s="1795"/>
      <c r="M167" s="1795"/>
      <c r="N167" s="1316"/>
      <c r="O167" s="1316"/>
      <c r="P167" s="1316"/>
      <c r="Q167" s="1316"/>
      <c r="R167" s="1795"/>
      <c r="S167" s="1316"/>
      <c r="T167" s="1316"/>
      <c r="U167" s="698"/>
      <c r="V167" s="1316"/>
      <c r="W167" s="1316"/>
      <c r="X167" s="1316"/>
      <c r="Y167" s="1316"/>
      <c r="Z167" s="1316"/>
      <c r="AA167" s="1791"/>
      <c r="AB167" s="720"/>
      <c r="AC167" s="720"/>
      <c r="AD167" s="720"/>
      <c r="AE167" s="720"/>
    </row>
    <row s="8844" customFormat="1" customHeight="1" ht="11.25">
      <c r="A168" s="1142"/>
      <c r="B168" s="1795"/>
      <c r="C168" s="1795"/>
      <c r="D168" s="505"/>
      <c r="K168" s="1316"/>
      <c r="L168" s="1795"/>
      <c r="M168" s="1795"/>
      <c r="N168" s="1316"/>
      <c r="O168" s="1316"/>
      <c r="P168" s="1316"/>
      <c r="Q168" s="1316"/>
      <c r="R168" s="1795"/>
      <c r="S168" s="1316"/>
      <c r="T168" s="1316"/>
      <c r="U168" s="698"/>
      <c r="V168" s="1316"/>
      <c r="W168" s="1316"/>
      <c r="X168" s="1316"/>
      <c r="Y168" s="1316"/>
      <c r="Z168" s="1316"/>
      <c r="AA168" s="1791"/>
      <c r="AB168" s="720"/>
      <c r="AC168" s="720"/>
      <c r="AD168" s="720"/>
      <c r="AE168" s="720"/>
    </row>
    <row s="8844" customFormat="1" customHeight="1" ht="11.25">
      <c r="A169" s="1142"/>
      <c r="B169" s="1795"/>
      <c r="C169" s="1795"/>
      <c r="D169" s="505"/>
      <c r="K169" s="1316"/>
      <c r="L169" s="1795"/>
      <c r="M169" s="1795"/>
      <c r="N169" s="1316"/>
      <c r="O169" s="1316"/>
      <c r="P169" s="1316"/>
      <c r="Q169" s="1316"/>
      <c r="R169" s="1795"/>
      <c r="S169" s="1316"/>
      <c r="T169" s="1316"/>
      <c r="U169" s="698"/>
      <c r="V169" s="1316"/>
      <c r="W169" s="1316"/>
      <c r="X169" s="1316"/>
      <c r="Y169" s="1316"/>
      <c r="Z169" s="1316"/>
      <c r="AA169" s="1791"/>
      <c r="AB169" s="720"/>
      <c r="AC169" s="720"/>
      <c r="AD169" s="720"/>
      <c r="AE169" s="720"/>
    </row>
    <row s="8844" customFormat="1" customHeight="1" ht="11.25">
      <c r="A170" s="1142"/>
      <c r="B170" s="1795"/>
      <c r="C170" s="1795"/>
      <c r="D170" s="505"/>
      <c r="K170" s="1316"/>
      <c r="L170" s="1795"/>
      <c r="M170" s="1795"/>
      <c r="N170" s="1316"/>
      <c r="O170" s="1316"/>
      <c r="P170" s="1316"/>
      <c r="Q170" s="1316"/>
      <c r="R170" s="1795"/>
      <c r="S170" s="1316"/>
      <c r="T170" s="1316"/>
      <c r="U170" s="698"/>
      <c r="V170" s="1316"/>
      <c r="W170" s="1316"/>
      <c r="X170" s="1316"/>
      <c r="Y170" s="1316"/>
      <c r="Z170" s="1316"/>
      <c r="AA170" s="1791"/>
      <c r="AB170" s="720"/>
      <c r="AC170" s="720"/>
      <c r="AD170" s="720"/>
      <c r="AE170" s="720"/>
    </row>
    <row s="8844" customFormat="1" customHeight="1" ht="11.25">
      <c r="A171" s="1142"/>
      <c r="B171" s="1795"/>
      <c r="C171" s="1795"/>
      <c r="D171" s="505"/>
      <c r="K171" s="1316"/>
      <c r="L171" s="1795"/>
      <c r="M171" s="1795"/>
      <c r="N171" s="1316"/>
      <c r="O171" s="1316"/>
      <c r="P171" s="1316"/>
      <c r="Q171" s="1316"/>
      <c r="R171" s="1795"/>
      <c r="S171" s="1316"/>
      <c r="T171" s="1316"/>
      <c r="U171" s="698"/>
      <c r="V171" s="1316"/>
      <c r="W171" s="1316"/>
      <c r="X171" s="1316"/>
      <c r="Y171" s="1316"/>
      <c r="Z171" s="1316"/>
      <c r="AA171" s="1791"/>
      <c r="AB171" s="720"/>
      <c r="AC171" s="720"/>
      <c r="AD171" s="720"/>
      <c r="AE171" s="720"/>
    </row>
    <row s="8844" customFormat="1" customHeight="1" ht="11.25">
      <c r="A172" s="1142"/>
      <c r="B172" s="1795"/>
      <c r="C172" s="1795"/>
      <c r="D172" s="505"/>
      <c r="K172" s="1316"/>
      <c r="L172" s="1795"/>
      <c r="M172" s="1795"/>
      <c r="N172" s="1316"/>
      <c r="O172" s="1316"/>
      <c r="P172" s="1316"/>
      <c r="Q172" s="1316"/>
      <c r="R172" s="1795"/>
      <c r="S172" s="1316"/>
      <c r="T172" s="1316"/>
      <c r="U172" s="698"/>
      <c r="V172" s="1316"/>
      <c r="W172" s="1316"/>
      <c r="X172" s="1316"/>
      <c r="Y172" s="1316"/>
      <c r="Z172" s="1316"/>
      <c r="AA172" s="1791"/>
      <c r="AB172" s="720"/>
      <c r="AC172" s="720"/>
      <c r="AD172" s="720"/>
      <c r="AE172" s="720"/>
    </row>
    <row s="8844" customFormat="1" customHeight="1" ht="11.25">
      <c r="A173" s="1142"/>
      <c r="B173" s="1795"/>
      <c r="C173" s="1795"/>
      <c r="D173" s="505"/>
      <c r="K173" s="1316"/>
      <c r="L173" s="1795"/>
      <c r="M173" s="1795"/>
      <c r="N173" s="1316"/>
      <c r="O173" s="1316"/>
      <c r="P173" s="1316"/>
      <c r="Q173" s="1316"/>
      <c r="R173" s="1795"/>
      <c r="S173" s="1316"/>
      <c r="T173" s="1316"/>
      <c r="U173" s="698"/>
      <c r="V173" s="1316"/>
      <c r="W173" s="1316"/>
      <c r="X173" s="1316"/>
      <c r="Y173" s="1316"/>
      <c r="Z173" s="1316"/>
      <c r="AA173" s="1791"/>
      <c r="AB173" s="720"/>
      <c r="AC173" s="720"/>
      <c r="AD173" s="720"/>
      <c r="AE173" s="720"/>
    </row>
    <row s="8844" customFormat="1" customHeight="1" ht="11.25">
      <c r="A174" s="1142"/>
      <c r="B174" s="1795"/>
      <c r="C174" s="1795"/>
      <c r="D174" s="505"/>
      <c r="K174" s="1316"/>
      <c r="L174" s="1795"/>
      <c r="M174" s="1795"/>
      <c r="N174" s="1316"/>
      <c r="O174" s="1316"/>
      <c r="P174" s="1316"/>
      <c r="Q174" s="1316"/>
      <c r="R174" s="1795"/>
      <c r="S174" s="1316"/>
      <c r="T174" s="1316"/>
      <c r="U174" s="698"/>
      <c r="V174" s="1316"/>
      <c r="W174" s="1316"/>
      <c r="X174" s="1316"/>
      <c r="Y174" s="1316"/>
      <c r="Z174" s="1316"/>
      <c r="AA174" s="1791"/>
      <c r="AB174" s="720"/>
      <c r="AC174" s="720"/>
      <c r="AD174" s="720"/>
      <c r="AE174" s="720"/>
    </row>
    <row s="8844" customFormat="1" customHeight="1" ht="11.25">
      <c r="A175" s="1142"/>
      <c r="B175" s="1795"/>
      <c r="C175" s="1795"/>
      <c r="D175" s="505"/>
      <c r="K175" s="1316"/>
      <c r="L175" s="1795"/>
      <c r="M175" s="1795"/>
      <c r="N175" s="1316"/>
      <c r="O175" s="1316"/>
      <c r="P175" s="1316"/>
      <c r="Q175" s="1316"/>
      <c r="R175" s="1795"/>
      <c r="S175" s="1316"/>
      <c r="T175" s="1316"/>
      <c r="U175" s="698"/>
      <c r="V175" s="1316"/>
      <c r="W175" s="1316"/>
      <c r="X175" s="1316"/>
      <c r="Y175" s="1316"/>
      <c r="Z175" s="1316"/>
      <c r="AA175" s="1791"/>
      <c r="AB175" s="720"/>
      <c r="AC175" s="720"/>
      <c r="AD175" s="720"/>
      <c r="AE175" s="720"/>
    </row>
    <row s="8844" customFormat="1" customHeight="1" ht="11.25">
      <c r="A176" s="1142"/>
      <c r="B176" s="1795"/>
      <c r="C176" s="1795"/>
      <c r="D176" s="505"/>
      <c r="K176" s="1316"/>
      <c r="L176" s="1795"/>
      <c r="M176" s="1795"/>
      <c r="N176" s="1316"/>
      <c r="O176" s="1316"/>
      <c r="P176" s="1316"/>
      <c r="Q176" s="1316"/>
      <c r="R176" s="1795"/>
      <c r="S176" s="1316"/>
      <c r="T176" s="1316"/>
      <c r="U176" s="698"/>
      <c r="V176" s="1316"/>
      <c r="W176" s="1316"/>
      <c r="X176" s="1316"/>
      <c r="Y176" s="1316"/>
      <c r="Z176" s="1316"/>
      <c r="AA176" s="1791"/>
      <c r="AB176" s="720"/>
      <c r="AC176" s="720"/>
      <c r="AD176" s="720"/>
      <c r="AE176" s="720"/>
    </row>
    <row s="8844" customFormat="1" customHeight="1" ht="11.25">
      <c r="A177" s="1142"/>
      <c r="B177" s="1795"/>
      <c r="C177" s="1795"/>
      <c r="D177" s="505"/>
      <c r="K177" s="1316"/>
      <c r="L177" s="1795"/>
      <c r="M177" s="1795"/>
      <c r="N177" s="1316"/>
      <c r="O177" s="1316"/>
      <c r="P177" s="1316"/>
      <c r="Q177" s="1316"/>
      <c r="R177" s="1795"/>
      <c r="S177" s="1316"/>
      <c r="T177" s="1316"/>
      <c r="U177" s="698"/>
      <c r="V177" s="1316"/>
      <c r="W177" s="1316"/>
      <c r="X177" s="1316"/>
      <c r="Y177" s="1316"/>
      <c r="Z177" s="1316"/>
      <c r="AA177" s="1791"/>
      <c r="AB177" s="720"/>
      <c r="AC177" s="720"/>
      <c r="AD177" s="720"/>
      <c r="AE177" s="720"/>
    </row>
    <row s="8844" customFormat="1" customHeight="1" ht="11.25">
      <c r="A178" s="1142"/>
      <c r="B178" s="1795"/>
      <c r="C178" s="1795"/>
      <c r="D178" s="505"/>
      <c r="K178" s="1316"/>
      <c r="L178" s="1795"/>
      <c r="M178" s="1795"/>
      <c r="N178" s="1316"/>
      <c r="O178" s="1316"/>
      <c r="P178" s="1316"/>
      <c r="Q178" s="1316"/>
      <c r="R178" s="1795"/>
      <c r="S178" s="1316"/>
      <c r="T178" s="1316"/>
      <c r="U178" s="698"/>
      <c r="V178" s="1316"/>
      <c r="W178" s="1316"/>
      <c r="X178" s="1316"/>
      <c r="Y178" s="1316"/>
      <c r="Z178" s="1316"/>
      <c r="AA178" s="1791"/>
      <c r="AB178" s="720"/>
      <c r="AC178" s="720"/>
      <c r="AD178" s="720"/>
      <c r="AE178" s="720"/>
    </row>
    <row s="8844" customFormat="1" customHeight="1" ht="11.25">
      <c r="A179" s="1142"/>
      <c r="B179" s="1795"/>
      <c r="C179" s="1795"/>
      <c r="D179" s="505"/>
      <c r="K179" s="1316"/>
      <c r="L179" s="1795"/>
      <c r="M179" s="1795"/>
      <c r="N179" s="1316"/>
      <c r="O179" s="1316"/>
      <c r="P179" s="1316"/>
      <c r="Q179" s="1316"/>
      <c r="R179" s="1795"/>
      <c r="S179" s="1316"/>
      <c r="T179" s="1316"/>
      <c r="U179" s="698"/>
      <c r="V179" s="1316"/>
      <c r="W179" s="1316"/>
      <c r="X179" s="1316"/>
      <c r="Y179" s="1316"/>
      <c r="Z179" s="1316"/>
      <c r="AA179" s="1791"/>
      <c r="AB179" s="720"/>
      <c r="AC179" s="720"/>
      <c r="AD179" s="720"/>
      <c r="AE179" s="720"/>
    </row>
    <row s="8844" customFormat="1" customHeight="1" ht="11.25">
      <c r="A180" s="1142"/>
      <c r="B180" s="1795"/>
      <c r="C180" s="1795"/>
      <c r="D180" s="505"/>
      <c r="K180" s="1316"/>
      <c r="L180" s="1795"/>
      <c r="M180" s="1795"/>
      <c r="N180" s="1316"/>
      <c r="O180" s="1316"/>
      <c r="P180" s="1316"/>
      <c r="Q180" s="1316"/>
      <c r="R180" s="1795"/>
      <c r="S180" s="1316"/>
      <c r="T180" s="1316"/>
      <c r="U180" s="698"/>
      <c r="V180" s="1316"/>
      <c r="W180" s="1316"/>
      <c r="X180" s="1316"/>
      <c r="Y180" s="1316"/>
      <c r="Z180" s="1316"/>
      <c r="AA180" s="1791"/>
      <c r="AB180" s="720"/>
      <c r="AC180" s="720"/>
      <c r="AD180" s="720"/>
      <c r="AE180" s="720"/>
    </row>
    <row s="8844" customFormat="1" customHeight="1" ht="11.25">
      <c r="A181" s="1142"/>
      <c r="B181" s="1795"/>
      <c r="C181" s="1795"/>
      <c r="D181" s="505"/>
      <c r="K181" s="1316"/>
      <c r="L181" s="1795"/>
      <c r="M181" s="1795"/>
      <c r="N181" s="1316"/>
      <c r="O181" s="1316"/>
      <c r="P181" s="1316"/>
      <c r="Q181" s="1316"/>
      <c r="R181" s="1795"/>
      <c r="S181" s="1316"/>
      <c r="T181" s="1316"/>
      <c r="U181" s="698"/>
      <c r="V181" s="1316"/>
      <c r="W181" s="1316"/>
      <c r="X181" s="1316"/>
      <c r="Y181" s="1316"/>
      <c r="Z181" s="1316"/>
      <c r="AA181" s="1791"/>
      <c r="AB181" s="720"/>
      <c r="AC181" s="720"/>
      <c r="AD181" s="720"/>
      <c r="AE181" s="720"/>
    </row>
    <row s="8844" customFormat="1" customHeight="1" ht="11.25">
      <c r="A182" s="1142"/>
      <c r="B182" s="1795"/>
      <c r="C182" s="1795"/>
      <c r="D182" s="505"/>
      <c r="K182" s="1316"/>
      <c r="L182" s="1795"/>
      <c r="M182" s="1795"/>
      <c r="N182" s="1316"/>
      <c r="O182" s="1316"/>
      <c r="P182" s="1316"/>
      <c r="Q182" s="1316"/>
      <c r="R182" s="1795"/>
      <c r="S182" s="1316"/>
      <c r="T182" s="1316"/>
      <c r="U182" s="698"/>
      <c r="V182" s="1316"/>
      <c r="W182" s="1316"/>
      <c r="X182" s="1316"/>
      <c r="Y182" s="1316"/>
      <c r="Z182" s="1316"/>
      <c r="AA182" s="1791"/>
      <c r="AB182" s="720"/>
      <c r="AC182" s="720"/>
      <c r="AD182" s="720"/>
      <c r="AE182" s="720"/>
    </row>
    <row s="8844" customFormat="1" customHeight="1" ht="11.25">
      <c r="A183" s="1142"/>
      <c r="B183" s="1795"/>
      <c r="C183" s="1795"/>
      <c r="D183" s="505"/>
      <c r="K183" s="1316"/>
      <c r="L183" s="1795"/>
      <c r="M183" s="1795"/>
      <c r="N183" s="1316"/>
      <c r="O183" s="1316"/>
      <c r="P183" s="1316"/>
      <c r="Q183" s="1316"/>
      <c r="R183" s="1795"/>
      <c r="S183" s="1316"/>
      <c r="T183" s="1316"/>
      <c r="U183" s="698"/>
      <c r="V183" s="1316"/>
      <c r="W183" s="1316"/>
      <c r="X183" s="1316"/>
      <c r="Y183" s="1316"/>
      <c r="Z183" s="1316"/>
      <c r="AA183" s="1791"/>
      <c r="AB183" s="720"/>
      <c r="AC183" s="720"/>
      <c r="AD183" s="720"/>
      <c r="AE183" s="720"/>
    </row>
    <row s="8844" customFormat="1" customHeight="1" ht="11.25">
      <c r="A184" s="1142"/>
      <c r="B184" s="1795"/>
      <c r="C184" s="1795"/>
      <c r="D184" s="505"/>
      <c r="K184" s="1316"/>
      <c r="L184" s="1795"/>
      <c r="M184" s="1795"/>
      <c r="N184" s="1316"/>
      <c r="O184" s="1316"/>
      <c r="P184" s="1316"/>
      <c r="Q184" s="1316"/>
      <c r="R184" s="1795"/>
      <c r="S184" s="1316"/>
      <c r="T184" s="1316"/>
      <c r="U184" s="698"/>
      <c r="V184" s="1316"/>
      <c r="W184" s="1316"/>
      <c r="X184" s="1316"/>
      <c r="Y184" s="1316"/>
      <c r="Z184" s="1316"/>
      <c r="AA184" s="1791"/>
      <c r="AB184" s="720"/>
      <c r="AC184" s="720"/>
      <c r="AD184" s="720"/>
      <c r="AE184" s="720"/>
    </row>
    <row s="8844" customFormat="1" customHeight="1" ht="11.25">
      <c r="A185" s="1142"/>
      <c r="B185" s="1795"/>
      <c r="C185" s="1795"/>
      <c r="D185" s="505"/>
      <c r="K185" s="1316"/>
      <c r="L185" s="1795"/>
      <c r="M185" s="1795"/>
      <c r="N185" s="1316"/>
      <c r="O185" s="1316"/>
      <c r="P185" s="1316"/>
      <c r="Q185" s="1316"/>
      <c r="R185" s="1795"/>
      <c r="S185" s="1316"/>
      <c r="T185" s="1316"/>
      <c r="U185" s="698"/>
      <c r="V185" s="1316"/>
      <c r="W185" s="1316"/>
      <c r="X185" s="1316"/>
      <c r="Y185" s="1316"/>
      <c r="Z185" s="1316"/>
      <c r="AA185" s="1791"/>
      <c r="AB185" s="720"/>
      <c r="AC185" s="720"/>
      <c r="AD185" s="720"/>
      <c r="AE185" s="720"/>
    </row>
    <row s="8844" customFormat="1" customHeight="1" ht="11.25">
      <c r="A186" s="1142"/>
      <c r="B186" s="1795"/>
      <c r="C186" s="1795"/>
      <c r="D186" s="505"/>
      <c r="K186" s="1316"/>
      <c r="L186" s="1795"/>
      <c r="M186" s="1795"/>
      <c r="N186" s="1316"/>
      <c r="O186" s="1316"/>
      <c r="P186" s="1316"/>
      <c r="Q186" s="1316"/>
      <c r="R186" s="1795"/>
      <c r="S186" s="1316"/>
      <c r="T186" s="1316"/>
      <c r="U186" s="698"/>
      <c r="V186" s="1316"/>
      <c r="W186" s="1316"/>
      <c r="X186" s="1316"/>
      <c r="Y186" s="1316"/>
      <c r="Z186" s="1316"/>
      <c r="AA186" s="1791"/>
      <c r="AB186" s="720"/>
      <c r="AC186" s="720"/>
      <c r="AD186" s="720"/>
      <c r="AE186" s="720"/>
    </row>
    <row s="8844" customFormat="1" customHeight="1" ht="11.25">
      <c r="A187" s="1142"/>
      <c r="B187" s="1795"/>
      <c r="C187" s="1795"/>
      <c r="D187" s="505"/>
      <c r="K187" s="1316"/>
      <c r="L187" s="1795"/>
      <c r="M187" s="1795"/>
      <c r="N187" s="1316"/>
      <c r="O187" s="1316"/>
      <c r="P187" s="1316"/>
      <c r="Q187" s="1316"/>
      <c r="R187" s="1795"/>
      <c r="S187" s="1316"/>
      <c r="T187" s="1316"/>
      <c r="U187" s="698"/>
      <c r="V187" s="1316"/>
      <c r="W187" s="1316"/>
      <c r="X187" s="1316"/>
      <c r="Y187" s="1316"/>
      <c r="Z187" s="1316"/>
      <c r="AA187" s="1791"/>
      <c r="AB187" s="720"/>
      <c r="AC187" s="720"/>
      <c r="AD187" s="720"/>
      <c r="AE187" s="720"/>
    </row>
    <row s="8844" customFormat="1" customHeight="1" ht="11.25">
      <c r="A188" s="1142"/>
      <c r="B188" s="1795"/>
      <c r="C188" s="1795"/>
      <c r="D188" s="505"/>
      <c r="K188" s="1316"/>
      <c r="L188" s="1795"/>
      <c r="M188" s="1795"/>
      <c r="N188" s="1316"/>
      <c r="O188" s="1316"/>
      <c r="P188" s="1316"/>
      <c r="Q188" s="1316"/>
      <c r="R188" s="1795"/>
      <c r="S188" s="1316"/>
      <c r="T188" s="1316"/>
      <c r="U188" s="698"/>
      <c r="V188" s="1316"/>
      <c r="W188" s="1316"/>
      <c r="X188" s="1316"/>
      <c r="Y188" s="1316"/>
      <c r="Z188" s="1316"/>
      <c r="AA188" s="1791"/>
      <c r="AB188" s="720"/>
      <c r="AC188" s="720"/>
      <c r="AD188" s="720"/>
      <c r="AE188" s="720"/>
    </row>
    <row s="8844" customFormat="1" customHeight="1" ht="11.25">
      <c r="A189" s="1142"/>
      <c r="B189" s="1795"/>
      <c r="C189" s="1795"/>
      <c r="D189" s="505"/>
      <c r="K189" s="1316"/>
      <c r="L189" s="1795"/>
      <c r="M189" s="1795"/>
      <c r="N189" s="1316"/>
      <c r="O189" s="1316"/>
      <c r="P189" s="1316"/>
      <c r="Q189" s="1316"/>
      <c r="R189" s="1795"/>
      <c r="S189" s="1316"/>
      <c r="T189" s="1316"/>
      <c r="U189" s="698"/>
      <c r="V189" s="1316"/>
      <c r="W189" s="1316"/>
      <c r="X189" s="1316"/>
      <c r="Y189" s="1316"/>
      <c r="Z189" s="1316"/>
      <c r="AA189" s="1791"/>
      <c r="AB189" s="720"/>
      <c r="AC189" s="720"/>
      <c r="AD189" s="720"/>
      <c r="AE189" s="720"/>
    </row>
    <row s="8844" customFormat="1" customHeight="1" ht="11.25">
      <c r="A190" s="1142"/>
      <c r="B190" s="1795"/>
      <c r="C190" s="1795"/>
      <c r="D190" s="505"/>
      <c r="K190" s="1316"/>
      <c r="L190" s="1795"/>
      <c r="M190" s="1795"/>
      <c r="N190" s="1316"/>
      <c r="O190" s="1316"/>
      <c r="P190" s="1316"/>
      <c r="Q190" s="1316"/>
      <c r="R190" s="1795"/>
      <c r="S190" s="1316"/>
      <c r="T190" s="1316"/>
      <c r="U190" s="698"/>
      <c r="V190" s="1316"/>
      <c r="W190" s="1316"/>
      <c r="X190" s="1316"/>
      <c r="Y190" s="1316"/>
      <c r="Z190" s="1316"/>
      <c r="AA190" s="1791"/>
      <c r="AB190" s="720"/>
      <c r="AC190" s="720"/>
      <c r="AD190" s="720"/>
      <c r="AE190" s="720"/>
    </row>
    <row s="8844" customFormat="1" customHeight="1" ht="11.25">
      <c r="A191" s="1142"/>
      <c r="B191" s="1795"/>
      <c r="C191" s="1795"/>
      <c r="D191" s="505"/>
      <c r="K191" s="1316"/>
      <c r="L191" s="1795"/>
      <c r="M191" s="1795"/>
      <c r="N191" s="1316"/>
      <c r="O191" s="1316"/>
      <c r="P191" s="1316"/>
      <c r="Q191" s="1316"/>
      <c r="R191" s="1795"/>
      <c r="S191" s="1316"/>
      <c r="T191" s="1316"/>
      <c r="U191" s="698"/>
      <c r="V191" s="1316"/>
      <c r="W191" s="1316"/>
      <c r="X191" s="1316"/>
      <c r="Y191" s="1316"/>
      <c r="Z191" s="1316"/>
      <c r="AA191" s="1791"/>
      <c r="AB191" s="720"/>
      <c r="AC191" s="720"/>
      <c r="AD191" s="720"/>
      <c r="AE191" s="720"/>
    </row>
    <row s="8844" customFormat="1" customHeight="1" ht="11.25">
      <c r="A192" s="1142"/>
      <c r="B192" s="1795"/>
      <c r="C192" s="1795"/>
      <c r="D192" s="505"/>
      <c r="K192" s="1316"/>
      <c r="L192" s="1795"/>
      <c r="M192" s="1795"/>
      <c r="N192" s="1316"/>
      <c r="O192" s="1316"/>
      <c r="P192" s="1316"/>
      <c r="Q192" s="1316"/>
      <c r="R192" s="1795"/>
      <c r="S192" s="1316"/>
      <c r="T192" s="1316"/>
      <c r="U192" s="698"/>
      <c r="V192" s="1316"/>
      <c r="W192" s="1316"/>
      <c r="X192" s="1316"/>
      <c r="Y192" s="1316"/>
      <c r="Z192" s="1316"/>
      <c r="AA192" s="1791"/>
      <c r="AB192" s="720"/>
      <c r="AC192" s="720"/>
      <c r="AD192" s="720"/>
      <c r="AE192" s="720"/>
    </row>
    <row s="8844" customFormat="1" customHeight="1" ht="11.25">
      <c r="A193" s="1142"/>
      <c r="B193" s="1795"/>
      <c r="C193" s="1795"/>
      <c r="D193" s="505"/>
      <c r="K193" s="1316"/>
      <c r="L193" s="1795"/>
      <c r="M193" s="1795"/>
      <c r="N193" s="1316"/>
      <c r="O193" s="1316"/>
      <c r="P193" s="1316"/>
      <c r="Q193" s="1316"/>
      <c r="R193" s="1795"/>
      <c r="S193" s="1316"/>
      <c r="T193" s="1316"/>
      <c r="U193" s="698"/>
      <c r="V193" s="1316"/>
      <c r="W193" s="1316"/>
      <c r="X193" s="1316"/>
      <c r="Y193" s="1316"/>
      <c r="Z193" s="1316"/>
      <c r="AA193" s="1791"/>
      <c r="AB193" s="720"/>
      <c r="AC193" s="720"/>
      <c r="AD193" s="720"/>
      <c r="AE193" s="720"/>
    </row>
    <row s="8844" customFormat="1" customHeight="1" ht="11.25">
      <c r="A194" s="1142"/>
      <c r="B194" s="1795"/>
      <c r="C194" s="1795"/>
      <c r="D194" s="505"/>
      <c r="K194" s="1316"/>
      <c r="L194" s="1795"/>
      <c r="M194" s="1795"/>
      <c r="N194" s="1316"/>
      <c r="O194" s="1316"/>
      <c r="P194" s="1316"/>
      <c r="Q194" s="1316"/>
      <c r="R194" s="1795"/>
      <c r="S194" s="1316"/>
      <c r="T194" s="1316"/>
      <c r="U194" s="698"/>
      <c r="V194" s="1316"/>
      <c r="W194" s="1316"/>
      <c r="X194" s="1316"/>
      <c r="Y194" s="1316"/>
      <c r="Z194" s="1316"/>
      <c r="AA194" s="1791"/>
      <c r="AB194" s="720"/>
      <c r="AC194" s="720"/>
      <c r="AD194" s="720"/>
      <c r="AE194" s="720"/>
    </row>
    <row s="8844" customFormat="1" customHeight="1" ht="11.25">
      <c r="A195" s="1142"/>
      <c r="B195" s="1795"/>
      <c r="C195" s="1795"/>
      <c r="D195" s="505"/>
      <c r="K195" s="1316"/>
      <c r="L195" s="1795"/>
      <c r="M195" s="1795"/>
      <c r="N195" s="1316"/>
      <c r="O195" s="1316"/>
      <c r="P195" s="1316"/>
      <c r="Q195" s="1316"/>
      <c r="R195" s="1795"/>
      <c r="S195" s="1316"/>
      <c r="T195" s="1316"/>
      <c r="U195" s="698"/>
      <c r="V195" s="1316"/>
      <c r="W195" s="1316"/>
      <c r="X195" s="1316"/>
      <c r="Y195" s="1316"/>
      <c r="Z195" s="1316"/>
      <c r="AA195" s="1791"/>
      <c r="AB195" s="720"/>
      <c r="AC195" s="720"/>
      <c r="AD195" s="720"/>
      <c r="AE195" s="720"/>
    </row>
    <row s="8844" customFormat="1" customHeight="1" ht="11.25">
      <c r="A196" s="1142"/>
      <c r="B196" s="1795"/>
      <c r="C196" s="1795"/>
      <c r="D196" s="505"/>
      <c r="K196" s="1316"/>
      <c r="L196" s="1795"/>
      <c r="M196" s="1795"/>
      <c r="N196" s="1316"/>
      <c r="O196" s="1316"/>
      <c r="P196" s="1316"/>
      <c r="Q196" s="1316"/>
      <c r="R196" s="1795"/>
      <c r="S196" s="1316"/>
      <c r="T196" s="1316"/>
      <c r="U196" s="698"/>
      <c r="V196" s="1316"/>
      <c r="W196" s="1316"/>
      <c r="X196" s="1316"/>
      <c r="Y196" s="1316"/>
      <c r="Z196" s="1316"/>
      <c r="AA196" s="1791"/>
      <c r="AB196" s="720"/>
      <c r="AC196" s="720"/>
      <c r="AD196" s="720"/>
      <c r="AE196" s="720"/>
    </row>
    <row s="8844" customFormat="1" customHeight="1" ht="11.25">
      <c r="A197" s="1142"/>
      <c r="B197" s="1795"/>
      <c r="C197" s="1795"/>
      <c r="D197" s="505"/>
      <c r="K197" s="1316"/>
      <c r="L197" s="1795"/>
      <c r="M197" s="1795"/>
      <c r="N197" s="1316"/>
      <c r="O197" s="1316"/>
      <c r="P197" s="1316"/>
      <c r="Q197" s="1316"/>
      <c r="R197" s="1795"/>
      <c r="S197" s="1316"/>
      <c r="T197" s="1316"/>
      <c r="U197" s="698"/>
      <c r="V197" s="1316"/>
      <c r="W197" s="1316"/>
      <c r="X197" s="1316"/>
      <c r="Y197" s="1316"/>
      <c r="Z197" s="1316"/>
      <c r="AA197" s="1791"/>
      <c r="AB197" s="720"/>
      <c r="AC197" s="720"/>
      <c r="AD197" s="720"/>
      <c r="AE197" s="720"/>
    </row>
    <row s="8844" customFormat="1" customHeight="1" ht="11.25">
      <c r="A198" s="1142"/>
      <c r="B198" s="1795"/>
      <c r="C198" s="1795"/>
      <c r="D198" s="505"/>
      <c r="K198" s="1316"/>
      <c r="L198" s="1795"/>
      <c r="M198" s="1795"/>
      <c r="N198" s="1316"/>
      <c r="O198" s="1316"/>
      <c r="P198" s="1316"/>
      <c r="Q198" s="1316"/>
      <c r="R198" s="1795"/>
      <c r="S198" s="1316"/>
      <c r="T198" s="1316"/>
      <c r="U198" s="698"/>
      <c r="V198" s="1316"/>
      <c r="W198" s="1316"/>
      <c r="X198" s="1316"/>
      <c r="Y198" s="1316"/>
      <c r="Z198" s="1316"/>
      <c r="AA198" s="1791"/>
      <c r="AB198" s="720"/>
      <c r="AC198" s="720"/>
      <c r="AD198" s="720"/>
      <c r="AE198" s="720"/>
    </row>
    <row s="8844" customFormat="1" customHeight="1" ht="11.25">
      <c r="A199" s="1142"/>
      <c r="B199" s="1795"/>
      <c r="C199" s="1795"/>
      <c r="D199" s="505"/>
      <c r="K199" s="1316"/>
      <c r="L199" s="1795"/>
      <c r="M199" s="1795"/>
      <c r="N199" s="1316"/>
      <c r="O199" s="1316"/>
      <c r="P199" s="1316"/>
      <c r="Q199" s="1316"/>
      <c r="R199" s="1795"/>
      <c r="S199" s="1316"/>
      <c r="T199" s="1316"/>
      <c r="U199" s="698"/>
      <c r="V199" s="1316"/>
      <c r="W199" s="1316"/>
      <c r="X199" s="1316"/>
      <c r="Y199" s="1316"/>
      <c r="Z199" s="1316"/>
      <c r="AA199" s="1791"/>
      <c r="AB199" s="720"/>
      <c r="AC199" s="720"/>
      <c r="AD199" s="720"/>
      <c r="AE199" s="720"/>
    </row>
    <row s="8844" customFormat="1" customHeight="1" ht="11.25">
      <c r="A200" s="1142"/>
      <c r="B200" s="1795"/>
      <c r="C200" s="1795"/>
      <c r="D200" s="505"/>
      <c r="K200" s="1316"/>
      <c r="L200" s="1795"/>
      <c r="M200" s="1795"/>
      <c r="N200" s="1316"/>
      <c r="O200" s="1316"/>
      <c r="P200" s="1316"/>
      <c r="Q200" s="1316"/>
      <c r="R200" s="1795"/>
      <c r="S200" s="1316"/>
      <c r="T200" s="1316"/>
      <c r="U200" s="698"/>
      <c r="V200" s="1316"/>
      <c r="W200" s="1316"/>
      <c r="X200" s="1316"/>
      <c r="Y200" s="1316"/>
      <c r="Z200" s="1316"/>
      <c r="AA200" s="1791"/>
      <c r="AB200" s="720"/>
      <c r="AC200" s="720"/>
      <c r="AD200" s="720"/>
      <c r="AE200" s="720"/>
    </row>
    <row s="8844" customFormat="1" customHeight="1" ht="11.25">
      <c r="A201" s="1142"/>
      <c r="B201" s="1795"/>
      <c r="C201" s="1795"/>
      <c r="D201" s="505"/>
      <c r="K201" s="1316"/>
      <c r="L201" s="1795"/>
      <c r="M201" s="1795"/>
      <c r="N201" s="1316"/>
      <c r="O201" s="1316"/>
      <c r="P201" s="1316"/>
      <c r="Q201" s="1316"/>
      <c r="R201" s="1795"/>
      <c r="S201" s="1316"/>
      <c r="T201" s="1316"/>
      <c r="U201" s="698"/>
      <c r="V201" s="1316"/>
      <c r="W201" s="1316"/>
      <c r="X201" s="1316"/>
      <c r="Y201" s="1316"/>
      <c r="Z201" s="1316"/>
      <c r="AA201" s="1791"/>
      <c r="AB201" s="720"/>
      <c r="AC201" s="720"/>
      <c r="AD201" s="720"/>
      <c r="AE201" s="720"/>
    </row>
    <row s="8844" customFormat="1" customHeight="1" ht="11.25">
      <c r="A202" s="1142"/>
      <c r="B202" s="1795"/>
      <c r="C202" s="1795"/>
      <c r="D202" s="505"/>
      <c r="K202" s="1316"/>
      <c r="L202" s="1795"/>
      <c r="M202" s="1795"/>
      <c r="N202" s="1316"/>
      <c r="O202" s="1316"/>
      <c r="P202" s="1316"/>
      <c r="Q202" s="1316"/>
      <c r="R202" s="1795"/>
      <c r="S202" s="1316"/>
      <c r="T202" s="1316"/>
      <c r="U202" s="698"/>
      <c r="V202" s="1316"/>
      <c r="W202" s="1316"/>
      <c r="X202" s="1316"/>
      <c r="Y202" s="1316"/>
      <c r="Z202" s="1316"/>
      <c r="AA202" s="1791"/>
      <c r="AB202" s="720"/>
      <c r="AC202" s="720"/>
      <c r="AD202" s="720"/>
      <c r="AE202" s="720"/>
    </row>
    <row s="8844" customFormat="1" customHeight="1" ht="11.25">
      <c r="A203" s="1142"/>
      <c r="B203" s="1795"/>
      <c r="C203" s="1795"/>
      <c r="D203" s="505"/>
      <c r="K203" s="1316"/>
      <c r="L203" s="1795"/>
      <c r="M203" s="1795"/>
      <c r="N203" s="1316"/>
      <c r="O203" s="1316"/>
      <c r="P203" s="1316"/>
      <c r="Q203" s="1316"/>
      <c r="R203" s="1795"/>
      <c r="S203" s="1316"/>
      <c r="T203" s="1316"/>
      <c r="U203" s="698"/>
      <c r="V203" s="1316"/>
      <c r="W203" s="1316"/>
      <c r="X203" s="1316"/>
      <c r="Y203" s="1316"/>
      <c r="Z203" s="1316"/>
      <c r="AA203" s="1791"/>
      <c r="AB203" s="720"/>
      <c r="AC203" s="720"/>
      <c r="AD203" s="720"/>
      <c r="AE203" s="720"/>
    </row>
    <row s="8844" customFormat="1" customHeight="1" ht="11.25">
      <c r="A204" s="1142"/>
      <c r="B204" s="1795"/>
      <c r="C204" s="1795"/>
      <c r="D204" s="505"/>
      <c r="K204" s="1316"/>
      <c r="L204" s="1795"/>
      <c r="M204" s="1795"/>
      <c r="N204" s="1316"/>
      <c r="O204" s="1316"/>
      <c r="P204" s="1316"/>
      <c r="Q204" s="1316"/>
      <c r="R204" s="1795"/>
      <c r="S204" s="1316"/>
      <c r="T204" s="1316"/>
      <c r="U204" s="698"/>
      <c r="V204" s="1316"/>
      <c r="W204" s="1316"/>
      <c r="X204" s="1316"/>
      <c r="Y204" s="1316"/>
      <c r="Z204" s="1316"/>
      <c r="AA204" s="1791"/>
      <c r="AB204" s="720"/>
      <c r="AC204" s="720"/>
      <c r="AD204" s="720"/>
      <c r="AE204" s="720"/>
    </row>
    <row r="208" customHeight="1" ht="11.25">
      <c r="A208" s="1145"/>
      <c r="B208" s="1790"/>
      <c r="D208" s="1790"/>
      <c r="K208" s="1790"/>
      <c r="N208" s="1790"/>
      <c r="O208" s="1790"/>
      <c r="P208" s="1790"/>
      <c r="Q208" s="1790"/>
      <c r="S208" s="1790"/>
      <c r="T208" s="1790"/>
      <c r="U208" s="1790"/>
      <c r="V208" s="1790"/>
      <c r="W208" s="1790"/>
      <c r="X208" s="1790"/>
      <c r="Y208" s="1790"/>
      <c r="Z208" s="1790"/>
      <c r="AA208" s="1790"/>
      <c r="AB208" s="1790"/>
      <c r="AC208" s="1790"/>
      <c r="AD208" s="1790"/>
      <c r="AE208" s="1790"/>
    </row>
    <row customHeight="1" ht="11.25">
      <c r="A209" s="1145"/>
      <c r="B209" s="1790"/>
      <c r="D209" s="1790"/>
      <c r="K209" s="1790"/>
      <c r="N209" s="1790"/>
      <c r="O209" s="1790"/>
      <c r="P209" s="1790"/>
      <c r="Q209" s="1790"/>
      <c r="S209" s="1790"/>
      <c r="T209" s="1790"/>
      <c r="U209" s="1790"/>
      <c r="V209" s="1790"/>
      <c r="W209" s="1790"/>
      <c r="X209" s="1790"/>
      <c r="Y209" s="1790"/>
      <c r="Z209" s="1790"/>
      <c r="AA209" s="1790"/>
      <c r="AB209" s="1790"/>
      <c r="AC209" s="1790"/>
      <c r="AD209" s="1790"/>
      <c r="AE209" s="1790"/>
    </row>
    <row customHeight="1" ht="11.25">
      <c r="A210" s="1145"/>
      <c r="B210" s="1790"/>
      <c r="D210" s="1790"/>
      <c r="K210" s="1790"/>
      <c r="N210" s="1790"/>
      <c r="O210" s="1790"/>
      <c r="P210" s="1790"/>
      <c r="Q210" s="1790"/>
      <c r="S210" s="1790"/>
      <c r="T210" s="1790"/>
      <c r="U210" s="1790"/>
      <c r="V210" s="1790"/>
      <c r="W210" s="1790"/>
      <c r="X210" s="1790"/>
      <c r="Y210" s="1790"/>
      <c r="Z210" s="1790"/>
      <c r="AA210" s="1790"/>
      <c r="AB210" s="1790"/>
      <c r="AC210" s="1790"/>
      <c r="AD210" s="1790"/>
      <c r="AE210" s="1790"/>
    </row>
    <row customHeight="1" ht="11.25">
      <c r="A211" s="1145"/>
      <c r="B211" s="1790"/>
      <c r="D211" s="1790"/>
      <c r="K211" s="1790"/>
      <c r="N211" s="1790"/>
      <c r="O211" s="1790"/>
      <c r="P211" s="1790"/>
      <c r="Q211" s="1790"/>
      <c r="S211" s="1790"/>
      <c r="T211" s="1790"/>
      <c r="U211" s="1790"/>
      <c r="V211" s="1790"/>
      <c r="W211" s="1790"/>
      <c r="X211" s="1790"/>
      <c r="Y211" s="1790"/>
      <c r="Z211" s="1790"/>
      <c r="AA211" s="1790"/>
      <c r="AB211" s="1790"/>
      <c r="AC211" s="1790"/>
      <c r="AD211" s="1790"/>
      <c r="AE211" s="1790"/>
    </row>
    <row customHeight="1" ht="11.25">
      <c r="A212" s="1145"/>
      <c r="B212" s="1790"/>
      <c r="D212" s="1790"/>
      <c r="K212" s="1790"/>
      <c r="N212" s="1790"/>
      <c r="O212" s="1790"/>
      <c r="P212" s="1790"/>
      <c r="Q212" s="1790"/>
      <c r="S212" s="1790"/>
      <c r="T212" s="1790"/>
      <c r="U212" s="1790"/>
      <c r="V212" s="1790"/>
      <c r="W212" s="1790"/>
      <c r="X212" s="1790"/>
      <c r="Y212" s="1790"/>
      <c r="Z212" s="1790"/>
      <c r="AA212" s="1790"/>
      <c r="AB212" s="1790"/>
      <c r="AC212" s="1790"/>
      <c r="AD212" s="1790"/>
      <c r="AE212" s="1790"/>
    </row>
    <row customHeight="1" ht="11.25">
      <c r="A213" s="1145"/>
      <c r="B213" s="1790"/>
      <c r="D213" s="1790"/>
      <c r="K213" s="1790"/>
      <c r="N213" s="1790"/>
      <c r="O213" s="1790"/>
      <c r="P213" s="1790"/>
      <c r="Q213" s="1790"/>
      <c r="S213" s="1790"/>
      <c r="T213" s="1790"/>
      <c r="U213" s="1790"/>
      <c r="V213" s="1790"/>
      <c r="W213" s="1790"/>
      <c r="X213" s="1790"/>
      <c r="Y213" s="1790"/>
      <c r="Z213" s="1790"/>
      <c r="AA213" s="1790"/>
      <c r="AB213" s="1790"/>
      <c r="AC213" s="1790"/>
      <c r="AD213" s="1790"/>
      <c r="AE213" s="1790"/>
    </row>
    <row customHeight="1" ht="11.25">
      <c r="A214" s="1145"/>
      <c r="B214" s="1790"/>
      <c r="D214" s="1790"/>
      <c r="K214" s="1790"/>
      <c r="N214" s="1790"/>
      <c r="O214" s="1790"/>
      <c r="P214" s="1790"/>
      <c r="Q214" s="1790"/>
      <c r="S214" s="1790"/>
      <c r="T214" s="1790"/>
      <c r="U214" s="1790"/>
      <c r="V214" s="1790"/>
      <c r="W214" s="1790"/>
      <c r="X214" s="1790"/>
      <c r="Y214" s="1790"/>
      <c r="Z214" s="1790"/>
      <c r="AA214" s="1790"/>
      <c r="AB214" s="1790"/>
      <c r="AC214" s="1790"/>
      <c r="AD214" s="1790"/>
      <c r="AE214" s="1790"/>
    </row>
    <row customHeight="1" ht="11.25">
      <c r="A215" s="1145"/>
      <c r="B215" s="1790"/>
      <c r="D215" s="1790"/>
      <c r="K215" s="1790"/>
      <c r="N215" s="1790"/>
      <c r="O215" s="1790"/>
      <c r="P215" s="1790"/>
      <c r="Q215" s="1790"/>
      <c r="S215" s="1790"/>
      <c r="T215" s="1790"/>
      <c r="U215" s="1790"/>
      <c r="V215" s="1790"/>
      <c r="W215" s="1790"/>
      <c r="X215" s="1790"/>
      <c r="Y215" s="1790"/>
      <c r="Z215" s="1790"/>
      <c r="AA215" s="1790"/>
      <c r="AB215" s="1790"/>
      <c r="AC215" s="1790"/>
      <c r="AD215" s="1790"/>
      <c r="AE215" s="1790"/>
    </row>
    <row customHeight="1" ht="11.25">
      <c r="A216" s="1145"/>
      <c r="B216" s="1790"/>
      <c r="D216" s="1790"/>
      <c r="K216" s="1790"/>
      <c r="N216" s="1790"/>
      <c r="O216" s="1790"/>
      <c r="P216" s="1790"/>
      <c r="Q216" s="1790"/>
      <c r="S216" s="1790"/>
      <c r="T216" s="1790"/>
      <c r="U216" s="1790"/>
      <c r="V216" s="1790"/>
      <c r="W216" s="1790"/>
      <c r="X216" s="1790"/>
      <c r="Y216" s="1790"/>
      <c r="Z216" s="1790"/>
      <c r="AA216" s="1790"/>
      <c r="AB216" s="1790"/>
      <c r="AC216" s="1790"/>
      <c r="AD216" s="1790"/>
      <c r="AE216" s="1790"/>
    </row>
    <row customHeight="1" ht="11.25">
      <c r="A217" s="1145"/>
      <c r="B217" s="1790"/>
      <c r="D217" s="1790"/>
      <c r="K217" s="1790"/>
      <c r="N217" s="1790"/>
      <c r="O217" s="1790"/>
      <c r="P217" s="1790"/>
      <c r="Q217" s="1790"/>
      <c r="S217" s="1790"/>
      <c r="T217" s="1790"/>
      <c r="U217" s="1790"/>
      <c r="V217" s="1790"/>
      <c r="W217" s="1790"/>
      <c r="X217" s="1790"/>
      <c r="Y217" s="1790"/>
      <c r="Z217" s="1790"/>
      <c r="AA217" s="1790"/>
      <c r="AB217" s="1790"/>
      <c r="AC217" s="1790"/>
      <c r="AD217" s="1790"/>
      <c r="AE217" s="1790"/>
    </row>
    <row customHeight="1" ht="11.25">
      <c r="A218" s="1145"/>
      <c r="B218" s="1790"/>
      <c r="D218" s="1790"/>
      <c r="K218" s="1790"/>
      <c r="N218" s="1790"/>
      <c r="O218" s="1790"/>
      <c r="P218" s="1790"/>
      <c r="Q218" s="1790"/>
      <c r="S218" s="1790"/>
      <c r="T218" s="1790"/>
      <c r="U218" s="1790"/>
      <c r="V218" s="1790"/>
      <c r="W218" s="1790"/>
      <c r="X218" s="1790"/>
      <c r="Y218" s="1790"/>
      <c r="Z218" s="1790"/>
      <c r="AA218" s="1790"/>
      <c r="AB218" s="1790"/>
      <c r="AC218" s="1790"/>
      <c r="AD218" s="1790"/>
      <c r="AE218" s="1790"/>
    </row>
  </sheetData>
  <sheetProtection formatColumns="0" formatRows="0" autoFilter="0" sort="0" insertRows="0" insertColumns="1" deleteRows="0" deleteColumns="0"/>
  <mergeCells count="9">
    <mergeCell ref="F48:J48"/>
    <mergeCell ref="F49:J49"/>
    <mergeCell ref="E6:I6"/>
    <mergeCell ref="E7:I7"/>
    <mergeCell ref="F10:G10"/>
    <mergeCell ref="J10:J14"/>
    <mergeCell ref="F11:G11"/>
    <mergeCell ref="F12:G12"/>
    <mergeCell ref="E13:G13"/>
  </mergeCells>
  <dataValidations count="5">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33:I33">
      <formula1>900</formula1>
    </dataValidation>
    <dataValidation type="decimal" allowBlank="1" showErrorMessage="1" errorTitle="Ошибка" error="Допускается ввод только неотрицательных чисел!" sqref="H38:I39 H2:I2 H15:I15 H17:I32 H35:I35 H44:I46">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43:I43">
      <formula1>900</formula1>
    </dataValidation>
    <dataValidation type="decimal" allowBlank="1" showErrorMessage="1" errorTitle="Ошибка" error="Допускается ввод только действительных чисел!" sqref="H36:I37">
      <formula1>-9.99999999999999E+23</formula1>
      <formula2>9.99999999999999E+23</formula2>
    </dataValidation>
    <dataValidation type="decimal" allowBlank="1" showErrorMessage="1" errorTitle="Ошибка" error="Допускается ввод только действительных чисел!" sqref="H40:I42">
      <formula1>-9.99999999999999E+37</formula1>
      <formula2>9.99999999999999E+37</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56F7A75-894C-88AE-6B24-2987B51D6E98}" mc:Ignorable="x14ac xr xr2 xr3">
  <sheetPr>
    <tabColor theme="9" tint="-0.25"/>
  </sheetPr>
  <dimension ref="A1:AE209"/>
  <sheetViews>
    <sheetView topLeftCell="A1" showGridLines="0" zoomScale="90" workbookViewId="0">
      <selection activeCell="A1" sqref="A1"/>
    </sheetView>
  </sheetViews>
  <sheetFormatPr defaultColWidth="9.140625" customHeight="1" defaultRowHeight="11.25"/>
  <cols>
    <col min="1" max="1" style="9328" width="10.7109375" hidden="1" customWidth="1"/>
    <col min="2" max="2" style="8721" width="16.8515625" hidden="1" customWidth="1"/>
    <col min="3" max="3" style="8847" width="5.57421875" hidden="1" customWidth="1"/>
    <col min="4" max="4" style="9329" width="3.7109375" customWidth="1"/>
    <col min="5" max="5" style="8849" width="7.7109375" customWidth="1"/>
    <col min="6" max="6" style="8849" width="54.57421875" customWidth="1"/>
    <col min="7" max="7" style="8849" width="10.421875" customWidth="1"/>
    <col min="8" max="8" style="8849" width="40.7109375" hidden="1" customWidth="1"/>
    <col min="9" max="9" style="8849" width="40.7109375" customWidth="1"/>
    <col min="10" max="10" style="8849" width="102.8515625" customWidth="1"/>
    <col min="11" max="11" style="8721" width="9.7109375" customWidth="1"/>
    <col min="12" max="12" style="8847" width="5.28125" customWidth="1"/>
    <col min="13" max="13" style="8847" width="3.7109375" customWidth="1"/>
    <col min="14" max="17" style="8721" width="3.7109375" customWidth="1"/>
    <col min="18" max="18" style="8847" width="10.57421875" customWidth="1"/>
    <col min="19" max="19" style="8721" width="34.7109375" customWidth="1"/>
    <col min="20" max="20" style="8721" width="9.421875" customWidth="1"/>
    <col min="21" max="21" style="9330" width="9.140625"/>
    <col min="22" max="26" style="8721" width="9.140625"/>
    <col min="27" max="31" style="9232" width="9.140625"/>
  </cols>
  <sheetData>
    <row s="8721" customFormat="1" customHeight="1" ht="11.25" hidden="1">
      <c r="A1" s="1142"/>
      <c r="C1" s="1795"/>
      <c r="D1" s="691"/>
      <c r="H1" s="1316">
        <v>4</v>
      </c>
      <c r="I1" s="1316">
        <v>4</v>
      </c>
      <c r="L1" s="1795"/>
      <c r="M1" s="1795"/>
      <c r="R1" s="1795"/>
    </row>
    <row s="8721" customFormat="1" customHeight="1" ht="22.5" hidden="1">
      <c r="A2" s="1142"/>
      <c r="C2" s="1795"/>
      <c r="D2" s="692"/>
      <c r="E2" s="1817"/>
      <c r="F2" s="694"/>
      <c r="G2" s="1816" t="s">
        <v>553</v>
      </c>
      <c r="H2" s="695"/>
      <c r="I2" s="695"/>
      <c r="J2" s="696" t="s">
        <v>556</v>
      </c>
      <c r="K2" s="697"/>
      <c r="L2" s="1795"/>
      <c r="M2" s="1795"/>
      <c r="R2" s="1795"/>
      <c r="U2" s="698"/>
      <c r="AA2" s="1791"/>
      <c r="AB2" s="1791"/>
      <c r="AC2" s="1791"/>
      <c r="AD2" s="1791"/>
      <c r="AE2" s="1791"/>
    </row>
    <row customHeight="1" ht="11.25" hidden="1"/>
    <row s="9232" customFormat="1" customHeight="1" ht="11.25" hidden="1">
      <c r="A4" s="1142"/>
      <c r="B4" s="1316"/>
      <c r="C4" s="1795"/>
      <c r="D4" s="516"/>
      <c r="J4" s="1791">
        <v>4</v>
      </c>
      <c r="K4" s="1316"/>
      <c r="L4" s="1795"/>
      <c r="M4" s="1795"/>
      <c r="N4" s="1316"/>
      <c r="O4" s="1316"/>
      <c r="P4" s="1316"/>
      <c r="Q4" s="1316"/>
      <c r="R4" s="1795"/>
      <c r="S4" s="1316"/>
      <c r="T4" s="1316"/>
      <c r="U4" s="698"/>
      <c r="V4" s="1316"/>
      <c r="W4" s="1316"/>
      <c r="X4" s="1316"/>
      <c r="Y4" s="1316"/>
      <c r="Z4" s="1316"/>
    </row>
    <row r="6" customHeight="1" ht="32.25">
      <c r="E6" s="2353" t="s">
        <v>690</v>
      </c>
      <c r="F6" s="2353"/>
      <c r="G6" s="2353"/>
      <c r="H6" s="2353"/>
      <c r="I6" s="2353"/>
      <c r="J6" s="710"/>
    </row>
    <row customHeight="1" ht="24">
      <c r="E7" s="2354" t="str">
        <f>IF(org=0,"Не определено",org)</f>
        <v>АО "Теплокоммунэнерго"</v>
      </c>
      <c r="F7" s="2354"/>
      <c r="G7" s="2354"/>
      <c r="H7" s="2354"/>
      <c r="I7" s="2354"/>
    </row>
    <row customHeight="1" ht="11.25">
      <c r="E8" s="1291"/>
      <c r="F8" s="1291"/>
      <c r="G8" s="1291"/>
      <c r="H8" s="1291"/>
      <c r="I8" s="1291"/>
    </row>
    <row s="8847" customFormat="1" customHeight="1" ht="0.75">
      <c r="A9" s="1323"/>
      <c r="D9" s="1801"/>
      <c r="H9" s="1043"/>
      <c r="I9" s="1043" t="s">
        <v>114</v>
      </c>
    </row>
    <row customHeight="1" ht="11.25">
      <c r="E10" s="865"/>
      <c r="F10" s="2429" t="s">
        <v>102</v>
      </c>
      <c r="G10" s="2430"/>
      <c r="H10" s="1818" t="str">
        <f>IF(H9="","",INDEX(DIFFERENTIATION_UNMERGE_VD,MATCH(H9,DIFFERENTIATION_ID_DIFF,0)))</f>
        <v/>
      </c>
      <c r="I10" s="1818">
        <f>IF(I9="","",INDEX(DIFFERENTIATION_UNMERGE_VD,MATCH(I9,DIFFERENTIATION_ID_DIFF,0)))</f>
        <v>0</v>
      </c>
      <c r="J10" s="2185"/>
    </row>
    <row customHeight="1" ht="11.25">
      <c r="E11" s="865"/>
      <c r="F11" s="2429" t="s">
        <v>565</v>
      </c>
      <c r="G11" s="2430"/>
      <c r="H11" s="1818" t="str">
        <f>IF(H9="","",INDEX(DIFFERENTIATION_UNMERGE_AREA,MATCH(H9,DIFFERENTIATION_ID_DIFF,0)))</f>
        <v/>
      </c>
      <c r="I11" s="1818" t="str">
        <f>IF(I9="","",INDEX(DIFFERENTIATION_UNMERGE_AREA,MATCH(I9,DIFFERENTIATION_ID_DIFF,0)))</f>
        <v/>
      </c>
      <c r="J11" s="2185"/>
    </row>
    <row customHeight="1" ht="11.25" hidden="1">
      <c r="E12" s="1821"/>
      <c r="F12" s="2444" t="s">
        <v>566</v>
      </c>
      <c r="G12" s="2445"/>
      <c r="H12" s="1822" t="str">
        <f>IF(H9="","",INDEX(DIFFERENTIATION_UNMERGE_SYSTEM,MATCH(H9,DIFFERENTIATION_ID_DIFF,0)))</f>
        <v/>
      </c>
      <c r="I12" s="1822" t="str">
        <f>IF(I9="","",INDEX(DIFFERENTIATION_UNMERGE_SYSTEM,MATCH(I9,DIFFERENTIATION_ID_DIFF,0)))</f>
        <v>без дифференциации</v>
      </c>
      <c r="J12" s="2185"/>
    </row>
    <row customHeight="1" ht="11.25">
      <c r="E13" s="2431" t="s">
        <v>300</v>
      </c>
      <c r="F13" s="2432"/>
      <c r="G13" s="2432"/>
      <c r="H13" s="1815"/>
      <c r="I13" s="1815"/>
      <c r="J13" s="2185"/>
    </row>
    <row customHeight="1" ht="22.5">
      <c r="E14" s="1816" t="s">
        <v>85</v>
      </c>
      <c r="F14" s="1819" t="s">
        <v>302</v>
      </c>
      <c r="G14" s="1819" t="s">
        <v>567</v>
      </c>
      <c r="H14" s="1819" t="s">
        <v>303</v>
      </c>
      <c r="I14" s="1819" t="s">
        <v>303</v>
      </c>
      <c r="J14" s="2185"/>
    </row>
    <row customHeight="1" ht="18.75">
      <c r="D15" s="1797"/>
      <c r="E15" s="1789" t="s">
        <v>106</v>
      </c>
      <c r="F15" s="861" t="s">
        <v>691</v>
      </c>
      <c r="G15" s="1816" t="s">
        <v>553</v>
      </c>
      <c r="H15" s="711"/>
      <c r="I15" s="711"/>
      <c r="J15" s="443" t="s">
        <v>692</v>
      </c>
      <c r="K15" s="697" t="s">
        <v>620</v>
      </c>
    </row>
    <row customHeight="1" ht="22.5">
      <c r="D16" s="1797"/>
      <c r="E16" s="1789" t="s">
        <v>107</v>
      </c>
      <c r="F16" s="1824" t="s">
        <v>693</v>
      </c>
      <c r="G16" s="1816" t="s">
        <v>553</v>
      </c>
      <c r="H16" s="712">
        <f>SUM(H17,H20:H27)</f>
        <v>0</v>
      </c>
      <c r="I16" s="712">
        <f>SUM(I17,I20:I27)</f>
        <v>0</v>
      </c>
      <c r="J16" s="443" t="s">
        <v>694</v>
      </c>
      <c r="K16" s="697" t="s">
        <v>620</v>
      </c>
    </row>
    <row customHeight="1" ht="33.75">
      <c r="D17" s="1797"/>
      <c r="E17" s="1823" t="s">
        <v>623</v>
      </c>
      <c r="F17" s="1826" t="s">
        <v>695</v>
      </c>
      <c r="G17" s="1813" t="s">
        <v>553</v>
      </c>
      <c r="H17" s="711"/>
      <c r="I17" s="711"/>
      <c r="J17" s="443" t="s">
        <v>696</v>
      </c>
      <c r="K17" s="697"/>
    </row>
    <row customHeight="1" ht="18.75">
      <c r="D18" s="1797"/>
      <c r="E18" s="1823" t="s">
        <v>626</v>
      </c>
      <c r="F18" s="1827" t="s">
        <v>697</v>
      </c>
      <c r="G18" s="1813" t="s">
        <v>553</v>
      </c>
      <c r="H18" s="711"/>
      <c r="I18" s="711"/>
      <c r="J18" s="443"/>
      <c r="K18" s="697"/>
    </row>
    <row customHeight="1" ht="22.5">
      <c r="D19" s="1797"/>
      <c r="E19" s="1823" t="s">
        <v>629</v>
      </c>
      <c r="F19" s="1827" t="s">
        <v>698</v>
      </c>
      <c r="G19" s="1813" t="s">
        <v>553</v>
      </c>
      <c r="H19" s="711"/>
      <c r="I19" s="711"/>
      <c r="J19" s="443"/>
      <c r="K19" s="697"/>
    </row>
    <row customHeight="1" ht="33.75">
      <c r="D20" s="1797"/>
      <c r="E20" s="1823" t="s">
        <v>307</v>
      </c>
      <c r="F20" s="1826" t="s">
        <v>699</v>
      </c>
      <c r="G20" s="1813" t="s">
        <v>553</v>
      </c>
      <c r="H20" s="711"/>
      <c r="I20" s="711"/>
      <c r="J20" s="443"/>
      <c r="K20" s="697"/>
    </row>
    <row customHeight="1" ht="33.75">
      <c r="D21" s="1797"/>
      <c r="E21" s="1823" t="s">
        <v>310</v>
      </c>
      <c r="F21" s="1826" t="s">
        <v>700</v>
      </c>
      <c r="G21" s="1813" t="s">
        <v>553</v>
      </c>
      <c r="H21" s="711"/>
      <c r="I21" s="711"/>
      <c r="J21" s="443"/>
      <c r="K21" s="697"/>
    </row>
    <row customHeight="1" ht="56.25">
      <c r="D22" s="1797"/>
      <c r="E22" s="1823" t="s">
        <v>643</v>
      </c>
      <c r="F22" s="1826" t="s">
        <v>701</v>
      </c>
      <c r="G22" s="1813" t="s">
        <v>553</v>
      </c>
      <c r="H22" s="711"/>
      <c r="I22" s="711"/>
      <c r="J22" s="443"/>
      <c r="K22" s="697"/>
    </row>
    <row customHeight="1" ht="33.75">
      <c r="D23" s="1797"/>
      <c r="E23" s="1823" t="s">
        <v>650</v>
      </c>
      <c r="F23" s="1826" t="s">
        <v>702</v>
      </c>
      <c r="G23" s="1813" t="s">
        <v>553</v>
      </c>
      <c r="H23" s="711"/>
      <c r="I23" s="711"/>
      <c r="J23" s="443"/>
      <c r="K23" s="697"/>
    </row>
    <row customHeight="1" ht="33.75">
      <c r="D24" s="1797"/>
      <c r="E24" s="1823" t="s">
        <v>652</v>
      </c>
      <c r="F24" s="1826" t="s">
        <v>703</v>
      </c>
      <c r="G24" s="1813" t="s">
        <v>553</v>
      </c>
      <c r="H24" s="711"/>
      <c r="I24" s="711"/>
      <c r="J24" s="443"/>
      <c r="K24" s="697"/>
    </row>
    <row customHeight="1" ht="22.5">
      <c r="D25" s="1797"/>
      <c r="E25" s="1823" t="s">
        <v>654</v>
      </c>
      <c r="F25" s="1826" t="s">
        <v>704</v>
      </c>
      <c r="G25" s="1813" t="s">
        <v>553</v>
      </c>
      <c r="H25" s="711"/>
      <c r="I25" s="711"/>
      <c r="J25" s="443"/>
      <c r="K25" s="697"/>
    </row>
    <row customHeight="1" ht="67.5">
      <c r="D26" s="1797"/>
      <c r="E26" s="1823" t="s">
        <v>656</v>
      </c>
      <c r="F26" s="1826" t="s">
        <v>705</v>
      </c>
      <c r="G26" s="1813" t="s">
        <v>553</v>
      </c>
      <c r="H26" s="711"/>
      <c r="I26" s="711"/>
      <c r="J26" s="443"/>
      <c r="K26" s="697"/>
    </row>
    <row s="8721" customFormat="1" customHeight="1" ht="22.5">
      <c r="A27" s="1142"/>
      <c r="C27" s="1795"/>
      <c r="D27" s="1797"/>
      <c r="E27" s="1788" t="s">
        <v>660</v>
      </c>
      <c r="F27" s="1787" t="s">
        <v>706</v>
      </c>
      <c r="G27" s="1814" t="s">
        <v>553</v>
      </c>
      <c r="H27" s="733">
        <f>SUM(H28:H29)</f>
        <v>0</v>
      </c>
      <c r="I27" s="733">
        <f>SUM(I28:I29)</f>
        <v>0</v>
      </c>
      <c r="J27" s="443" t="s">
        <v>658</v>
      </c>
      <c r="K27" s="697"/>
      <c r="L27" s="1795"/>
      <c r="M27" s="1795"/>
      <c r="R27" s="1795"/>
      <c r="U27" s="698"/>
      <c r="AA27" s="1791"/>
      <c r="AB27" s="1791"/>
      <c r="AC27" s="1791"/>
      <c r="AD27" s="1791"/>
      <c r="AE27" s="1791"/>
    </row>
    <row s="8847" customFormat="1" customHeight="1" ht="0.75">
      <c r="A28" s="1323"/>
      <c r="D28" s="702"/>
      <c r="E28" s="956" t="str">
        <f>E27&amp;".0"</f>
        <v>2.9.0</v>
      </c>
      <c r="F28" s="1146"/>
      <c r="G28" s="705"/>
      <c r="H28" s="1147"/>
      <c r="I28" s="1147"/>
      <c r="J28" s="1148"/>
    </row>
    <row s="8721" customFormat="1" customHeight="1" ht="18.75">
      <c r="A29" s="1142"/>
      <c r="C29" s="1795"/>
      <c r="D29" s="1792"/>
      <c r="E29" s="724"/>
      <c r="F29" s="1825" t="s">
        <v>578</v>
      </c>
      <c r="G29" s="726"/>
      <c r="H29" s="727"/>
      <c r="I29" s="727"/>
      <c r="J29" s="455" t="s">
        <v>659</v>
      </c>
      <c r="K29" s="697"/>
      <c r="L29" s="1795"/>
      <c r="M29" s="1795"/>
      <c r="R29" s="1795"/>
      <c r="U29" s="698"/>
      <c r="AA29" s="1791"/>
      <c r="AB29" s="1791"/>
      <c r="AC29" s="1791"/>
      <c r="AD29" s="1791"/>
      <c r="AE29" s="1791"/>
    </row>
    <row s="8721" customFormat="1" customHeight="1" ht="22.5">
      <c r="A30" s="1142"/>
      <c r="C30" s="1795"/>
      <c r="D30" s="1797"/>
      <c r="E30" s="1823" t="s">
        <v>87</v>
      </c>
      <c r="F30" s="1820" t="s">
        <v>707</v>
      </c>
      <c r="G30" s="1813" t="s">
        <v>553</v>
      </c>
      <c r="H30" s="711"/>
      <c r="I30" s="711"/>
      <c r="J30" s="443"/>
      <c r="K30" s="697"/>
      <c r="L30" s="1795"/>
      <c r="M30" s="1795"/>
      <c r="R30" s="1795"/>
      <c r="U30" s="698"/>
      <c r="AA30" s="1791"/>
      <c r="AB30" s="1791"/>
      <c r="AC30" s="1791"/>
      <c r="AD30" s="1791"/>
      <c r="AE30" s="1791"/>
    </row>
    <row s="8721" customFormat="1" customHeight="1" ht="33.75">
      <c r="A31" s="1142"/>
      <c r="C31" s="1795"/>
      <c r="D31" s="729"/>
      <c r="E31" s="1823" t="s">
        <v>88</v>
      </c>
      <c r="F31" s="1820" t="s">
        <v>708</v>
      </c>
      <c r="G31" s="1813" t="s">
        <v>553</v>
      </c>
      <c r="H31" s="711"/>
      <c r="I31" s="711"/>
      <c r="J31" s="443" t="s">
        <v>709</v>
      </c>
      <c r="K31" s="697"/>
      <c r="L31" s="1795"/>
      <c r="M31" s="1795"/>
      <c r="R31" s="1795"/>
      <c r="U31" s="698"/>
      <c r="AA31" s="1791"/>
      <c r="AB31" s="1791"/>
      <c r="AC31" s="1791"/>
      <c r="AD31" s="1791"/>
      <c r="AE31" s="1791"/>
    </row>
    <row s="8721" customFormat="1" customHeight="1" ht="22.5">
      <c r="A32" s="1142"/>
      <c r="C32" s="1795"/>
      <c r="D32" s="1797"/>
      <c r="E32" s="1823" t="s">
        <v>668</v>
      </c>
      <c r="F32" s="844" t="s">
        <v>672</v>
      </c>
      <c r="G32" s="1813" t="s">
        <v>553</v>
      </c>
      <c r="H32" s="711"/>
      <c r="I32" s="711"/>
      <c r="J32" s="443" t="s">
        <v>710</v>
      </c>
      <c r="K32" s="697"/>
      <c r="L32" s="1795"/>
      <c r="M32" s="1795"/>
      <c r="R32" s="1795"/>
      <c r="U32" s="698"/>
      <c r="AA32" s="1791"/>
      <c r="AB32" s="1791"/>
      <c r="AC32" s="1791"/>
      <c r="AD32" s="1791"/>
      <c r="AE32" s="1791"/>
    </row>
    <row s="8721" customFormat="1" customHeight="1" ht="22.5">
      <c r="A33" s="1142"/>
      <c r="C33" s="1795"/>
      <c r="D33" s="1797"/>
      <c r="E33" s="1823" t="s">
        <v>711</v>
      </c>
      <c r="F33" s="844" t="s">
        <v>712</v>
      </c>
      <c r="G33" s="1813" t="s">
        <v>553</v>
      </c>
      <c r="H33" s="711"/>
      <c r="I33" s="711"/>
      <c r="J33" s="443" t="s">
        <v>713</v>
      </c>
      <c r="K33" s="697"/>
      <c r="L33" s="1795"/>
      <c r="M33" s="1795"/>
      <c r="R33" s="1795"/>
      <c r="U33" s="698"/>
      <c r="AA33" s="1791"/>
      <c r="AB33" s="1791"/>
      <c r="AC33" s="1791"/>
      <c r="AD33" s="1791"/>
      <c r="AE33" s="1791"/>
    </row>
    <row s="8721" customFormat="1" customHeight="1" ht="22.5">
      <c r="A34" s="1142"/>
      <c r="C34" s="1795"/>
      <c r="D34" s="1797"/>
      <c r="E34" s="1823" t="s">
        <v>714</v>
      </c>
      <c r="F34" s="844" t="s">
        <v>678</v>
      </c>
      <c r="G34" s="1813" t="s">
        <v>553</v>
      </c>
      <c r="H34" s="711"/>
      <c r="I34" s="711"/>
      <c r="J34" s="443" t="s">
        <v>715</v>
      </c>
      <c r="K34" s="697"/>
      <c r="L34" s="1795"/>
      <c r="M34" s="1795"/>
      <c r="R34" s="1795"/>
      <c r="U34" s="698"/>
      <c r="AA34" s="1791"/>
      <c r="AB34" s="1791"/>
      <c r="AC34" s="1791"/>
      <c r="AD34" s="1791"/>
      <c r="AE34" s="1791"/>
    </row>
    <row s="8721" customFormat="1" customHeight="1" ht="33.75">
      <c r="A35" s="1142"/>
      <c r="C35" s="1795" t="s">
        <v>589</v>
      </c>
      <c r="D35" s="1797"/>
      <c r="E35" s="1823" t="s">
        <v>108</v>
      </c>
      <c r="F35" s="1820" t="s">
        <v>680</v>
      </c>
      <c r="G35" s="1816" t="s">
        <v>306</v>
      </c>
      <c r="H35" s="555"/>
      <c r="I35" s="555"/>
      <c r="J35" s="443" t="s">
        <v>716</v>
      </c>
      <c r="K35" s="697"/>
      <c r="L35" s="1795"/>
      <c r="M35" s="1795"/>
      <c r="R35" s="1795"/>
      <c r="U35" s="698"/>
      <c r="AA35" s="1791"/>
      <c r="AB35" s="1791"/>
      <c r="AC35" s="1791"/>
      <c r="AD35" s="1791"/>
      <c r="AE35" s="1791"/>
    </row>
    <row s="8721" customFormat="1" customHeight="1" ht="22.5">
      <c r="A36" s="1142"/>
      <c r="C36" s="1795"/>
      <c r="D36" s="1797"/>
      <c r="E36" s="1823" t="s">
        <v>89</v>
      </c>
      <c r="F36" s="1820" t="s">
        <v>717</v>
      </c>
      <c r="G36" s="1813" t="s">
        <v>684</v>
      </c>
      <c r="H36" s="699"/>
      <c r="I36" s="699"/>
      <c r="J36" s="443" t="s">
        <v>685</v>
      </c>
      <c r="K36" s="697"/>
      <c r="L36" s="1795"/>
      <c r="M36" s="1795"/>
      <c r="R36" s="1795"/>
      <c r="U36" s="698"/>
      <c r="AA36" s="1791"/>
      <c r="AB36" s="1791"/>
      <c r="AC36" s="1791"/>
      <c r="AD36" s="1791"/>
      <c r="AE36" s="1791"/>
    </row>
    <row s="8721" customFormat="1" customHeight="1" ht="22.5">
      <c r="A37" s="1142"/>
      <c r="C37" s="1795"/>
      <c r="D37" s="1797"/>
      <c r="E37" s="1823" t="s">
        <v>90</v>
      </c>
      <c r="F37" s="1820" t="s">
        <v>718</v>
      </c>
      <c r="G37" s="1813" t="s">
        <v>687</v>
      </c>
      <c r="H37" s="699"/>
      <c r="I37" s="699"/>
      <c r="J37" s="443" t="s">
        <v>688</v>
      </c>
      <c r="K37" s="697"/>
      <c r="L37" s="1795"/>
      <c r="M37" s="1795"/>
      <c r="R37" s="1795"/>
      <c r="U37" s="698"/>
      <c r="AA37" s="1791"/>
      <c r="AB37" s="1791"/>
      <c r="AC37" s="1791"/>
      <c r="AD37" s="1791"/>
      <c r="AE37" s="1791"/>
    </row>
    <row customHeight="1" ht="11.25">
      <c r="D38" s="1797"/>
    </row>
    <row customHeight="1" ht="26.25">
      <c r="D39" s="1797"/>
      <c r="E39" s="1411" t="s">
        <v>719</v>
      </c>
      <c r="F39" s="2319" t="s">
        <v>720</v>
      </c>
      <c r="G39" s="2319"/>
      <c r="H39" s="2319"/>
      <c r="I39" s="2319"/>
      <c r="J39" s="2319"/>
    </row>
    <row s="8844" customFormat="1" customHeight="1" ht="37.5">
      <c r="A40" s="1142"/>
      <c r="B40" s="1795"/>
      <c r="C40" s="1795"/>
      <c r="D40" s="505"/>
      <c r="F40" s="2319" t="s">
        <v>721</v>
      </c>
      <c r="G40" s="2319"/>
      <c r="H40" s="2319"/>
      <c r="I40" s="2319"/>
      <c r="J40" s="2319"/>
      <c r="K40" s="1316"/>
      <c r="L40" s="1795"/>
      <c r="M40" s="1795"/>
      <c r="N40" s="1316"/>
      <c r="O40" s="1316"/>
      <c r="P40" s="1316"/>
      <c r="Q40" s="1316"/>
      <c r="R40" s="1795"/>
      <c r="S40" s="1316"/>
      <c r="T40" s="1316"/>
      <c r="U40" s="698"/>
      <c r="V40" s="1316"/>
      <c r="W40" s="1316"/>
      <c r="X40" s="1316"/>
      <c r="Y40" s="1316"/>
      <c r="Z40" s="1316"/>
      <c r="AA40" s="1791"/>
      <c r="AB40" s="720"/>
      <c r="AC40" s="720"/>
      <c r="AD40" s="720"/>
      <c r="AE40" s="720"/>
    </row>
    <row s="8844" customFormat="1" customHeight="1" ht="11.25">
      <c r="A41" s="1142"/>
      <c r="B41" s="1795"/>
      <c r="C41" s="1795"/>
      <c r="D41" s="505"/>
      <c r="K41" s="1316"/>
      <c r="L41" s="1795"/>
      <c r="M41" s="1795"/>
      <c r="N41" s="1316"/>
      <c r="O41" s="1316"/>
      <c r="P41" s="1316"/>
      <c r="Q41" s="1316"/>
      <c r="R41" s="1795"/>
      <c r="S41" s="1316"/>
      <c r="T41" s="1316"/>
      <c r="U41" s="698"/>
      <c r="V41" s="1316"/>
      <c r="W41" s="1316"/>
      <c r="X41" s="1316"/>
      <c r="Y41" s="1316"/>
      <c r="Z41" s="1316"/>
      <c r="AA41" s="1791"/>
      <c r="AB41" s="720"/>
      <c r="AC41" s="720"/>
      <c r="AD41" s="720"/>
      <c r="AE41" s="720"/>
    </row>
    <row s="8844" customFormat="1" customHeight="1" ht="11.25">
      <c r="A42" s="1142"/>
      <c r="B42" s="1795"/>
      <c r="C42" s="1795"/>
      <c r="D42" s="505"/>
      <c r="K42" s="1316"/>
      <c r="L42" s="1795"/>
      <c r="M42" s="1795"/>
      <c r="N42" s="1316"/>
      <c r="O42" s="1316"/>
      <c r="P42" s="1316"/>
      <c r="Q42" s="1316"/>
      <c r="R42" s="1795"/>
      <c r="S42" s="1316"/>
      <c r="T42" s="1316"/>
      <c r="U42" s="698"/>
      <c r="V42" s="1316"/>
      <c r="W42" s="1316"/>
      <c r="X42" s="1316"/>
      <c r="Y42" s="1316"/>
      <c r="Z42" s="1316"/>
      <c r="AA42" s="1791"/>
      <c r="AB42" s="720"/>
      <c r="AC42" s="720"/>
      <c r="AD42" s="720"/>
      <c r="AE42" s="720"/>
    </row>
    <row s="8844" customFormat="1" customHeight="1" ht="11.25">
      <c r="A43" s="1142"/>
      <c r="B43" s="1795"/>
      <c r="C43" s="1795"/>
      <c r="D43" s="505"/>
      <c r="H43" s="720"/>
      <c r="I43" s="720"/>
      <c r="K43" s="1316"/>
      <c r="L43" s="1795"/>
      <c r="M43" s="1795"/>
      <c r="N43" s="1316"/>
      <c r="O43" s="1316"/>
      <c r="P43" s="1316"/>
      <c r="Q43" s="1316"/>
      <c r="R43" s="1795"/>
      <c r="S43" s="1316"/>
      <c r="T43" s="1316"/>
      <c r="U43" s="698"/>
      <c r="V43" s="1316"/>
      <c r="W43" s="1316"/>
      <c r="X43" s="1316"/>
      <c r="Y43" s="1316"/>
      <c r="Z43" s="1316"/>
      <c r="AA43" s="1791"/>
      <c r="AB43" s="720"/>
      <c r="AC43" s="720"/>
      <c r="AD43" s="720"/>
      <c r="AE43" s="720"/>
    </row>
    <row s="8844" customFormat="1" customHeight="1" ht="11.25">
      <c r="A44" s="1142"/>
      <c r="B44" s="1795"/>
      <c r="C44" s="1795"/>
      <c r="D44" s="505"/>
      <c r="K44" s="1316"/>
      <c r="L44" s="1795"/>
      <c r="M44" s="1795"/>
      <c r="N44" s="1316"/>
      <c r="O44" s="1316"/>
      <c r="P44" s="1316"/>
      <c r="Q44" s="1316"/>
      <c r="R44" s="1795"/>
      <c r="S44" s="1316"/>
      <c r="T44" s="1316"/>
      <c r="U44" s="698"/>
      <c r="V44" s="1316"/>
      <c r="W44" s="1316"/>
      <c r="X44" s="1316"/>
      <c r="Y44" s="1316"/>
      <c r="Z44" s="1316"/>
      <c r="AA44" s="1791"/>
      <c r="AB44" s="720"/>
      <c r="AC44" s="720"/>
      <c r="AD44" s="720"/>
      <c r="AE44" s="720"/>
    </row>
    <row s="8844" customFormat="1" customHeight="1" ht="11.25">
      <c r="A45" s="1142"/>
      <c r="B45" s="1795"/>
      <c r="C45" s="1795"/>
      <c r="D45" s="505"/>
      <c r="K45" s="1316"/>
      <c r="L45" s="1795"/>
      <c r="M45" s="1795"/>
      <c r="N45" s="1316"/>
      <c r="O45" s="1316"/>
      <c r="P45" s="1316"/>
      <c r="Q45" s="1316"/>
      <c r="R45" s="1795"/>
      <c r="S45" s="1316"/>
      <c r="T45" s="1316"/>
      <c r="U45" s="698"/>
      <c r="V45" s="1316"/>
      <c r="W45" s="1316"/>
      <c r="X45" s="1316"/>
      <c r="Y45" s="1316"/>
      <c r="Z45" s="1316"/>
      <c r="AA45" s="1791"/>
      <c r="AB45" s="720"/>
      <c r="AC45" s="720"/>
      <c r="AD45" s="720"/>
      <c r="AE45" s="720"/>
    </row>
    <row s="8844" customFormat="1" customHeight="1" ht="11.25">
      <c r="A46" s="1142"/>
      <c r="B46" s="1795"/>
      <c r="C46" s="1795"/>
      <c r="D46" s="505"/>
      <c r="K46" s="1316"/>
      <c r="L46" s="1795"/>
      <c r="M46" s="1795"/>
      <c r="N46" s="1316"/>
      <c r="O46" s="1316"/>
      <c r="P46" s="1316"/>
      <c r="Q46" s="1316"/>
      <c r="R46" s="1795"/>
      <c r="S46" s="1316"/>
      <c r="T46" s="1316"/>
      <c r="U46" s="698"/>
      <c r="V46" s="1316"/>
      <c r="W46" s="1316"/>
      <c r="X46" s="1316"/>
      <c r="Y46" s="1316"/>
      <c r="Z46" s="1316"/>
      <c r="AA46" s="1791"/>
      <c r="AB46" s="720"/>
      <c r="AC46" s="720"/>
      <c r="AD46" s="720"/>
      <c r="AE46" s="720"/>
    </row>
    <row s="8844" customFormat="1" customHeight="1" ht="11.25">
      <c r="A47" s="1142"/>
      <c r="B47" s="1795"/>
      <c r="C47" s="1795"/>
      <c r="D47" s="505"/>
      <c r="K47" s="1316"/>
      <c r="L47" s="1795"/>
      <c r="M47" s="1795"/>
      <c r="N47" s="1316"/>
      <c r="O47" s="1316"/>
      <c r="P47" s="1316"/>
      <c r="Q47" s="1316"/>
      <c r="R47" s="1795"/>
      <c r="S47" s="1316"/>
      <c r="T47" s="1316"/>
      <c r="U47" s="698"/>
      <c r="V47" s="1316"/>
      <c r="W47" s="1316"/>
      <c r="X47" s="1316"/>
      <c r="Y47" s="1316"/>
      <c r="Z47" s="1316"/>
      <c r="AA47" s="1791"/>
      <c r="AB47" s="720"/>
      <c r="AC47" s="720"/>
      <c r="AD47" s="720"/>
      <c r="AE47" s="720"/>
    </row>
    <row s="8844" customFormat="1" customHeight="1" ht="11.25">
      <c r="A48" s="1142"/>
      <c r="B48" s="1795"/>
      <c r="C48" s="1795"/>
      <c r="D48" s="505"/>
      <c r="K48" s="1316"/>
      <c r="L48" s="1795"/>
      <c r="M48" s="1795"/>
      <c r="N48" s="1316"/>
      <c r="O48" s="1316"/>
      <c r="P48" s="1316"/>
      <c r="Q48" s="1316"/>
      <c r="R48" s="1795"/>
      <c r="S48" s="1316"/>
      <c r="T48" s="1316"/>
      <c r="U48" s="698"/>
      <c r="V48" s="1316"/>
      <c r="W48" s="1316"/>
      <c r="X48" s="1316"/>
      <c r="Y48" s="1316"/>
      <c r="Z48" s="1316"/>
      <c r="AA48" s="1791"/>
      <c r="AB48" s="720"/>
      <c r="AC48" s="720"/>
      <c r="AD48" s="720"/>
      <c r="AE48" s="720"/>
    </row>
    <row s="8844" customFormat="1" customHeight="1" ht="11.25">
      <c r="A49" s="1142"/>
      <c r="B49" s="1795"/>
      <c r="C49" s="1795"/>
      <c r="D49" s="505"/>
      <c r="K49" s="1316"/>
      <c r="L49" s="1795"/>
      <c r="M49" s="1795"/>
      <c r="N49" s="1316"/>
      <c r="O49" s="1316"/>
      <c r="P49" s="1316"/>
      <c r="Q49" s="1316"/>
      <c r="R49" s="1795"/>
      <c r="S49" s="1316"/>
      <c r="T49" s="1316"/>
      <c r="U49" s="698"/>
      <c r="V49" s="1316"/>
      <c r="W49" s="1316"/>
      <c r="X49" s="1316"/>
      <c r="Y49" s="1316"/>
      <c r="Z49" s="1316"/>
      <c r="AA49" s="1791"/>
      <c r="AB49" s="720"/>
      <c r="AC49" s="720"/>
      <c r="AD49" s="720"/>
      <c r="AE49" s="720"/>
    </row>
    <row s="8844" customFormat="1" customHeight="1" ht="11.25">
      <c r="A50" s="1142"/>
      <c r="B50" s="1795"/>
      <c r="C50" s="1795"/>
      <c r="D50" s="505"/>
      <c r="K50" s="1316"/>
      <c r="L50" s="1795"/>
      <c r="M50" s="1795"/>
      <c r="N50" s="1316"/>
      <c r="O50" s="1316"/>
      <c r="P50" s="1316"/>
      <c r="Q50" s="1316"/>
      <c r="R50" s="1795"/>
      <c r="S50" s="1316"/>
      <c r="T50" s="1316"/>
      <c r="U50" s="698"/>
      <c r="V50" s="1316"/>
      <c r="W50" s="1316"/>
      <c r="X50" s="1316"/>
      <c r="Y50" s="1316"/>
      <c r="Z50" s="1316"/>
      <c r="AA50" s="1791"/>
      <c r="AB50" s="720"/>
      <c r="AC50" s="720"/>
      <c r="AD50" s="720"/>
      <c r="AE50" s="720"/>
    </row>
    <row s="8844" customFormat="1" customHeight="1" ht="11.25">
      <c r="A51" s="1142"/>
      <c r="B51" s="1795"/>
      <c r="C51" s="1795"/>
      <c r="D51" s="505"/>
      <c r="K51" s="1316"/>
      <c r="L51" s="1795"/>
      <c r="M51" s="1795"/>
      <c r="N51" s="1316"/>
      <c r="O51" s="1316"/>
      <c r="P51" s="1316"/>
      <c r="Q51" s="1316"/>
      <c r="R51" s="1795"/>
      <c r="S51" s="1316"/>
      <c r="T51" s="1316"/>
      <c r="U51" s="698"/>
      <c r="V51" s="1316"/>
      <c r="W51" s="1316"/>
      <c r="X51" s="1316"/>
      <c r="Y51" s="1316"/>
      <c r="Z51" s="1316"/>
      <c r="AA51" s="1791"/>
      <c r="AB51" s="720"/>
      <c r="AC51" s="720"/>
      <c r="AD51" s="720"/>
      <c r="AE51" s="720"/>
    </row>
    <row s="8844" customFormat="1" customHeight="1" ht="11.25">
      <c r="A52" s="1142"/>
      <c r="B52" s="1795"/>
      <c r="C52" s="1795"/>
      <c r="D52" s="505"/>
      <c r="K52" s="1316"/>
      <c r="L52" s="1795"/>
      <c r="M52" s="1795"/>
      <c r="N52" s="1316"/>
      <c r="O52" s="1316"/>
      <c r="P52" s="1316"/>
      <c r="Q52" s="1316"/>
      <c r="R52" s="1795"/>
      <c r="S52" s="1316"/>
      <c r="T52" s="1316"/>
      <c r="U52" s="698"/>
      <c r="V52" s="1316"/>
      <c r="W52" s="1316"/>
      <c r="X52" s="1316"/>
      <c r="Y52" s="1316"/>
      <c r="Z52" s="1316"/>
      <c r="AA52" s="1791"/>
      <c r="AB52" s="720"/>
      <c r="AC52" s="720"/>
      <c r="AD52" s="720"/>
      <c r="AE52" s="720"/>
    </row>
    <row s="8844" customFormat="1" customHeight="1" ht="11.25">
      <c r="A53" s="1142"/>
      <c r="B53" s="1795"/>
      <c r="C53" s="1795"/>
      <c r="D53" s="505"/>
      <c r="K53" s="1316"/>
      <c r="L53" s="1795"/>
      <c r="M53" s="1795"/>
      <c r="N53" s="1316"/>
      <c r="O53" s="1316"/>
      <c r="P53" s="1316"/>
      <c r="Q53" s="1316"/>
      <c r="R53" s="1795"/>
      <c r="S53" s="1316"/>
      <c r="T53" s="1316"/>
      <c r="U53" s="698"/>
      <c r="V53" s="1316"/>
      <c r="W53" s="1316"/>
      <c r="X53" s="1316"/>
      <c r="Y53" s="1316"/>
      <c r="Z53" s="1316"/>
      <c r="AA53" s="1791"/>
      <c r="AB53" s="720"/>
      <c r="AC53" s="720"/>
      <c r="AD53" s="720"/>
      <c r="AE53" s="720"/>
    </row>
    <row s="8844" customFormat="1" customHeight="1" ht="11.25">
      <c r="A54" s="1142"/>
      <c r="B54" s="1795"/>
      <c r="C54" s="1795"/>
      <c r="D54" s="505"/>
      <c r="K54" s="1316"/>
      <c r="L54" s="1795"/>
      <c r="M54" s="1795"/>
      <c r="N54" s="1316"/>
      <c r="O54" s="1316"/>
      <c r="P54" s="1316"/>
      <c r="Q54" s="1316"/>
      <c r="R54" s="1795"/>
      <c r="S54" s="1316"/>
      <c r="T54" s="1316"/>
      <c r="U54" s="698"/>
      <c r="V54" s="1316"/>
      <c r="W54" s="1316"/>
      <c r="X54" s="1316"/>
      <c r="Y54" s="1316"/>
      <c r="Z54" s="1316"/>
      <c r="AA54" s="1791"/>
      <c r="AB54" s="720"/>
      <c r="AC54" s="720"/>
      <c r="AD54" s="720"/>
      <c r="AE54" s="720"/>
    </row>
    <row s="8844" customFormat="1" customHeight="1" ht="11.25">
      <c r="A55" s="1142"/>
      <c r="B55" s="1795"/>
      <c r="C55" s="1795"/>
      <c r="D55" s="505"/>
      <c r="K55" s="1316"/>
      <c r="L55" s="1795"/>
      <c r="M55" s="1795"/>
      <c r="N55" s="1316"/>
      <c r="O55" s="1316"/>
      <c r="P55" s="1316"/>
      <c r="Q55" s="1316"/>
      <c r="R55" s="1795"/>
      <c r="S55" s="1316"/>
      <c r="T55" s="1316"/>
      <c r="U55" s="698"/>
      <c r="V55" s="1316"/>
      <c r="W55" s="1316"/>
      <c r="X55" s="1316"/>
      <c r="Y55" s="1316"/>
      <c r="Z55" s="1316"/>
      <c r="AA55" s="1791"/>
      <c r="AB55" s="720"/>
      <c r="AC55" s="720"/>
      <c r="AD55" s="720"/>
      <c r="AE55" s="720"/>
    </row>
    <row s="8844" customFormat="1" customHeight="1" ht="11.25">
      <c r="A56" s="1142"/>
      <c r="B56" s="1795"/>
      <c r="C56" s="1795"/>
      <c r="D56" s="505"/>
      <c r="K56" s="1316"/>
      <c r="L56" s="1795"/>
      <c r="M56" s="1795"/>
      <c r="N56" s="1316"/>
      <c r="O56" s="1316"/>
      <c r="P56" s="1316"/>
      <c r="Q56" s="1316"/>
      <c r="R56" s="1795"/>
      <c r="S56" s="1316"/>
      <c r="T56" s="1316"/>
      <c r="U56" s="698"/>
      <c r="V56" s="1316"/>
      <c r="W56" s="1316"/>
      <c r="X56" s="1316"/>
      <c r="Y56" s="1316"/>
      <c r="Z56" s="1316"/>
      <c r="AA56" s="1791"/>
      <c r="AB56" s="720"/>
      <c r="AC56" s="720"/>
      <c r="AD56" s="720"/>
      <c r="AE56" s="720"/>
    </row>
    <row s="8844" customFormat="1" customHeight="1" ht="11.25">
      <c r="A57" s="1142"/>
      <c r="B57" s="1795"/>
      <c r="C57" s="1795"/>
      <c r="D57" s="505"/>
      <c r="K57" s="1316"/>
      <c r="L57" s="1795"/>
      <c r="M57" s="1795"/>
      <c r="N57" s="1316"/>
      <c r="O57" s="1316"/>
      <c r="P57" s="1316"/>
      <c r="Q57" s="1316"/>
      <c r="R57" s="1795"/>
      <c r="S57" s="1316"/>
      <c r="T57" s="1316"/>
      <c r="U57" s="698"/>
      <c r="V57" s="1316"/>
      <c r="W57" s="1316"/>
      <c r="X57" s="1316"/>
      <c r="Y57" s="1316"/>
      <c r="Z57" s="1316"/>
      <c r="AA57" s="1791"/>
      <c r="AB57" s="720"/>
      <c r="AC57" s="720"/>
      <c r="AD57" s="720"/>
      <c r="AE57" s="720"/>
    </row>
    <row s="8844" customFormat="1" customHeight="1" ht="11.25">
      <c r="A58" s="1142"/>
      <c r="B58" s="1795"/>
      <c r="C58" s="1795"/>
      <c r="D58" s="505"/>
      <c r="K58" s="1316"/>
      <c r="L58" s="1795"/>
      <c r="M58" s="1795"/>
      <c r="N58" s="1316"/>
      <c r="O58" s="1316"/>
      <c r="P58" s="1316"/>
      <c r="Q58" s="1316"/>
      <c r="R58" s="1795"/>
      <c r="S58" s="1316"/>
      <c r="T58" s="1316"/>
      <c r="U58" s="698"/>
      <c r="V58" s="1316"/>
      <c r="W58" s="1316"/>
      <c r="X58" s="1316"/>
      <c r="Y58" s="1316"/>
      <c r="Z58" s="1316"/>
      <c r="AA58" s="1791"/>
      <c r="AB58" s="720"/>
      <c r="AC58" s="720"/>
      <c r="AD58" s="720"/>
      <c r="AE58" s="720"/>
    </row>
    <row s="8844" customFormat="1" customHeight="1" ht="11.25">
      <c r="A59" s="1142"/>
      <c r="B59" s="1795"/>
      <c r="C59" s="1795"/>
      <c r="D59" s="505"/>
      <c r="K59" s="1316"/>
      <c r="L59" s="1795"/>
      <c r="M59" s="1795"/>
      <c r="N59" s="1316"/>
      <c r="O59" s="1316"/>
      <c r="P59" s="1316"/>
      <c r="Q59" s="1316"/>
      <c r="R59" s="1795"/>
      <c r="S59" s="1316"/>
      <c r="T59" s="1316"/>
      <c r="U59" s="698"/>
      <c r="V59" s="1316"/>
      <c r="W59" s="1316"/>
      <c r="X59" s="1316"/>
      <c r="Y59" s="1316"/>
      <c r="Z59" s="1316"/>
      <c r="AA59" s="1791"/>
      <c r="AB59" s="720"/>
      <c r="AC59" s="720"/>
      <c r="AD59" s="720"/>
      <c r="AE59" s="720"/>
    </row>
    <row s="8844" customFormat="1" customHeight="1" ht="11.25">
      <c r="A60" s="1142"/>
      <c r="B60" s="1795"/>
      <c r="C60" s="1795"/>
      <c r="D60" s="505"/>
      <c r="K60" s="1316"/>
      <c r="L60" s="1795"/>
      <c r="M60" s="1795"/>
      <c r="N60" s="1316"/>
      <c r="O60" s="1316"/>
      <c r="P60" s="1316"/>
      <c r="Q60" s="1316"/>
      <c r="R60" s="1795"/>
      <c r="S60" s="1316"/>
      <c r="T60" s="1316"/>
      <c r="U60" s="698"/>
      <c r="V60" s="1316"/>
      <c r="W60" s="1316"/>
      <c r="X60" s="1316"/>
      <c r="Y60" s="1316"/>
      <c r="Z60" s="1316"/>
      <c r="AA60" s="1791"/>
      <c r="AB60" s="720"/>
      <c r="AC60" s="720"/>
      <c r="AD60" s="720"/>
      <c r="AE60" s="720"/>
    </row>
    <row s="8844" customFormat="1" customHeight="1" ht="11.25">
      <c r="A61" s="1142"/>
      <c r="B61" s="1795"/>
      <c r="C61" s="1795"/>
      <c r="D61" s="505"/>
      <c r="K61" s="1316"/>
      <c r="L61" s="1795"/>
      <c r="M61" s="1795"/>
      <c r="N61" s="1316"/>
      <c r="O61" s="1316"/>
      <c r="P61" s="1316"/>
      <c r="Q61" s="1316"/>
      <c r="R61" s="1795"/>
      <c r="S61" s="1316"/>
      <c r="T61" s="1316"/>
      <c r="U61" s="698"/>
      <c r="V61" s="1316"/>
      <c r="W61" s="1316"/>
      <c r="X61" s="1316"/>
      <c r="Y61" s="1316"/>
      <c r="Z61" s="1316"/>
      <c r="AA61" s="1791"/>
      <c r="AB61" s="720"/>
      <c r="AC61" s="720"/>
      <c r="AD61" s="720"/>
      <c r="AE61" s="720"/>
    </row>
    <row s="8844" customFormat="1" customHeight="1" ht="11.25">
      <c r="A62" s="1142"/>
      <c r="B62" s="1795"/>
      <c r="C62" s="1795"/>
      <c r="D62" s="505"/>
      <c r="K62" s="1316"/>
      <c r="L62" s="1795"/>
      <c r="M62" s="1795"/>
      <c r="N62" s="1316"/>
      <c r="O62" s="1316"/>
      <c r="P62" s="1316"/>
      <c r="Q62" s="1316"/>
      <c r="R62" s="1795"/>
      <c r="S62" s="1316"/>
      <c r="T62" s="1316"/>
      <c r="U62" s="698"/>
      <c r="V62" s="1316"/>
      <c r="W62" s="1316"/>
      <c r="X62" s="1316"/>
      <c r="Y62" s="1316"/>
      <c r="Z62" s="1316"/>
      <c r="AA62" s="1791"/>
      <c r="AB62" s="720"/>
      <c r="AC62" s="720"/>
      <c r="AD62" s="720"/>
      <c r="AE62" s="720"/>
    </row>
    <row s="8844" customFormat="1" customHeight="1" ht="11.25">
      <c r="A63" s="1142"/>
      <c r="B63" s="1795"/>
      <c r="C63" s="1795"/>
      <c r="D63" s="505"/>
      <c r="K63" s="1316"/>
      <c r="L63" s="1795"/>
      <c r="M63" s="1795"/>
      <c r="N63" s="1316"/>
      <c r="O63" s="1316"/>
      <c r="P63" s="1316"/>
      <c r="Q63" s="1316"/>
      <c r="R63" s="1795"/>
      <c r="S63" s="1316"/>
      <c r="T63" s="1316"/>
      <c r="U63" s="698"/>
      <c r="V63" s="1316"/>
      <c r="W63" s="1316"/>
      <c r="X63" s="1316"/>
      <c r="Y63" s="1316"/>
      <c r="Z63" s="1316"/>
      <c r="AA63" s="1791"/>
      <c r="AB63" s="720"/>
      <c r="AC63" s="720"/>
      <c r="AD63" s="720"/>
      <c r="AE63" s="720"/>
    </row>
    <row s="8844" customFormat="1" customHeight="1" ht="11.25">
      <c r="A64" s="1142"/>
      <c r="B64" s="1795"/>
      <c r="C64" s="1795"/>
      <c r="D64" s="505"/>
      <c r="K64" s="1316"/>
      <c r="L64" s="1795"/>
      <c r="M64" s="1795"/>
      <c r="N64" s="1316"/>
      <c r="O64" s="1316"/>
      <c r="P64" s="1316"/>
      <c r="Q64" s="1316"/>
      <c r="R64" s="1795"/>
      <c r="S64" s="1316"/>
      <c r="T64" s="1316"/>
      <c r="U64" s="698"/>
      <c r="V64" s="1316"/>
      <c r="W64" s="1316"/>
      <c r="X64" s="1316"/>
      <c r="Y64" s="1316"/>
      <c r="Z64" s="1316"/>
      <c r="AA64" s="1791"/>
      <c r="AB64" s="720"/>
      <c r="AC64" s="720"/>
      <c r="AD64" s="720"/>
      <c r="AE64" s="720"/>
    </row>
    <row s="8844" customFormat="1" customHeight="1" ht="11.25">
      <c r="A65" s="1142"/>
      <c r="B65" s="1795"/>
      <c r="C65" s="1795"/>
      <c r="D65" s="505"/>
      <c r="K65" s="1316"/>
      <c r="L65" s="1795"/>
      <c r="M65" s="1795"/>
      <c r="N65" s="1316"/>
      <c r="O65" s="1316"/>
      <c r="P65" s="1316"/>
      <c r="Q65" s="1316"/>
      <c r="R65" s="1795"/>
      <c r="S65" s="1316"/>
      <c r="T65" s="1316"/>
      <c r="U65" s="698"/>
      <c r="V65" s="1316"/>
      <c r="W65" s="1316"/>
      <c r="X65" s="1316"/>
      <c r="Y65" s="1316"/>
      <c r="Z65" s="1316"/>
      <c r="AA65" s="1791"/>
      <c r="AB65" s="720"/>
      <c r="AC65" s="720"/>
      <c r="AD65" s="720"/>
      <c r="AE65" s="720"/>
    </row>
    <row s="8844" customFormat="1" customHeight="1" ht="11.25">
      <c r="A66" s="1142"/>
      <c r="B66" s="1795"/>
      <c r="C66" s="1795"/>
      <c r="D66" s="505"/>
      <c r="K66" s="1316"/>
      <c r="L66" s="1795"/>
      <c r="M66" s="1795"/>
      <c r="N66" s="1316"/>
      <c r="O66" s="1316"/>
      <c r="P66" s="1316"/>
      <c r="Q66" s="1316"/>
      <c r="R66" s="1795"/>
      <c r="S66" s="1316"/>
      <c r="T66" s="1316"/>
      <c r="U66" s="698"/>
      <c r="V66" s="1316"/>
      <c r="W66" s="1316"/>
      <c r="X66" s="1316"/>
      <c r="Y66" s="1316"/>
      <c r="Z66" s="1316"/>
      <c r="AA66" s="1791"/>
      <c r="AB66" s="720"/>
      <c r="AC66" s="720"/>
      <c r="AD66" s="720"/>
      <c r="AE66" s="720"/>
    </row>
    <row s="8844" customFormat="1" customHeight="1" ht="11.25">
      <c r="A67" s="1142"/>
      <c r="B67" s="1795"/>
      <c r="C67" s="1795"/>
      <c r="D67" s="505"/>
      <c r="K67" s="1316"/>
      <c r="L67" s="1795"/>
      <c r="M67" s="1795"/>
      <c r="N67" s="1316"/>
      <c r="O67" s="1316"/>
      <c r="P67" s="1316"/>
      <c r="Q67" s="1316"/>
      <c r="R67" s="1795"/>
      <c r="S67" s="1316"/>
      <c r="T67" s="1316"/>
      <c r="U67" s="698"/>
      <c r="V67" s="1316"/>
      <c r="W67" s="1316"/>
      <c r="X67" s="1316"/>
      <c r="Y67" s="1316"/>
      <c r="Z67" s="1316"/>
      <c r="AA67" s="1791"/>
      <c r="AB67" s="720"/>
      <c r="AC67" s="720"/>
      <c r="AD67" s="720"/>
      <c r="AE67" s="720"/>
    </row>
    <row s="8844" customFormat="1" customHeight="1" ht="11.25">
      <c r="A68" s="1142"/>
      <c r="B68" s="1795"/>
      <c r="C68" s="1795"/>
      <c r="D68" s="505"/>
      <c r="K68" s="1316"/>
      <c r="L68" s="1795"/>
      <c r="M68" s="1795"/>
      <c r="N68" s="1316"/>
      <c r="O68" s="1316"/>
      <c r="P68" s="1316"/>
      <c r="Q68" s="1316"/>
      <c r="R68" s="1795"/>
      <c r="S68" s="1316"/>
      <c r="T68" s="1316"/>
      <c r="U68" s="698"/>
      <c r="V68" s="1316"/>
      <c r="W68" s="1316"/>
      <c r="X68" s="1316"/>
      <c r="Y68" s="1316"/>
      <c r="Z68" s="1316"/>
      <c r="AA68" s="1791"/>
      <c r="AB68" s="720"/>
      <c r="AC68" s="720"/>
      <c r="AD68" s="720"/>
      <c r="AE68" s="720"/>
    </row>
    <row s="8844" customFormat="1" customHeight="1" ht="11.25">
      <c r="A69" s="1142"/>
      <c r="B69" s="1795"/>
      <c r="C69" s="1795"/>
      <c r="D69" s="505"/>
      <c r="K69" s="1316"/>
      <c r="L69" s="1795"/>
      <c r="M69" s="1795"/>
      <c r="N69" s="1316"/>
      <c r="O69" s="1316"/>
      <c r="P69" s="1316"/>
      <c r="Q69" s="1316"/>
      <c r="R69" s="1795"/>
      <c r="S69" s="1316"/>
      <c r="T69" s="1316"/>
      <c r="U69" s="698"/>
      <c r="V69" s="1316"/>
      <c r="W69" s="1316"/>
      <c r="X69" s="1316"/>
      <c r="Y69" s="1316"/>
      <c r="Z69" s="1316"/>
      <c r="AA69" s="1791"/>
      <c r="AB69" s="720"/>
      <c r="AC69" s="720"/>
      <c r="AD69" s="720"/>
      <c r="AE69" s="720"/>
    </row>
    <row s="8844" customFormat="1" customHeight="1" ht="11.25">
      <c r="A70" s="1142"/>
      <c r="B70" s="1795"/>
      <c r="C70" s="1795"/>
      <c r="D70" s="505"/>
      <c r="K70" s="1316"/>
      <c r="L70" s="1795"/>
      <c r="M70" s="1795"/>
      <c r="N70" s="1316"/>
      <c r="O70" s="1316"/>
      <c r="P70" s="1316"/>
      <c r="Q70" s="1316"/>
      <c r="R70" s="1795"/>
      <c r="S70" s="1316"/>
      <c r="T70" s="1316"/>
      <c r="U70" s="698"/>
      <c r="V70" s="1316"/>
      <c r="W70" s="1316"/>
      <c r="X70" s="1316"/>
      <c r="Y70" s="1316"/>
      <c r="Z70" s="1316"/>
      <c r="AA70" s="1791"/>
      <c r="AB70" s="720"/>
      <c r="AC70" s="720"/>
      <c r="AD70" s="720"/>
      <c r="AE70" s="720"/>
    </row>
    <row s="8844" customFormat="1" customHeight="1" ht="11.25">
      <c r="A71" s="1142"/>
      <c r="B71" s="1795"/>
      <c r="C71" s="1795"/>
      <c r="D71" s="505"/>
      <c r="K71" s="1316"/>
      <c r="L71" s="1795"/>
      <c r="M71" s="1795"/>
      <c r="N71" s="1316"/>
      <c r="O71" s="1316"/>
      <c r="P71" s="1316"/>
      <c r="Q71" s="1316"/>
      <c r="R71" s="1795"/>
      <c r="S71" s="1316"/>
      <c r="T71" s="1316"/>
      <c r="U71" s="698"/>
      <c r="V71" s="1316"/>
      <c r="W71" s="1316"/>
      <c r="X71" s="1316"/>
      <c r="Y71" s="1316"/>
      <c r="Z71" s="1316"/>
      <c r="AA71" s="1791"/>
      <c r="AB71" s="720"/>
      <c r="AC71" s="720"/>
      <c r="AD71" s="720"/>
      <c r="AE71" s="720"/>
    </row>
    <row s="8844" customFormat="1" customHeight="1" ht="11.25">
      <c r="A72" s="1142"/>
      <c r="B72" s="1795"/>
      <c r="C72" s="1795"/>
      <c r="D72" s="505"/>
      <c r="K72" s="1316"/>
      <c r="L72" s="1795"/>
      <c r="M72" s="1795"/>
      <c r="N72" s="1316"/>
      <c r="O72" s="1316"/>
      <c r="P72" s="1316"/>
      <c r="Q72" s="1316"/>
      <c r="R72" s="1795"/>
      <c r="S72" s="1316"/>
      <c r="T72" s="1316"/>
      <c r="U72" s="698"/>
      <c r="V72" s="1316"/>
      <c r="W72" s="1316"/>
      <c r="X72" s="1316"/>
      <c r="Y72" s="1316"/>
      <c r="Z72" s="1316"/>
      <c r="AA72" s="1791"/>
      <c r="AB72" s="720"/>
      <c r="AC72" s="720"/>
      <c r="AD72" s="720"/>
      <c r="AE72" s="720"/>
    </row>
    <row s="8844" customFormat="1" customHeight="1" ht="11.25">
      <c r="A73" s="1142"/>
      <c r="B73" s="1795"/>
      <c r="C73" s="1795"/>
      <c r="D73" s="505"/>
      <c r="K73" s="1316"/>
      <c r="L73" s="1795"/>
      <c r="M73" s="1795"/>
      <c r="N73" s="1316"/>
      <c r="O73" s="1316"/>
      <c r="P73" s="1316"/>
      <c r="Q73" s="1316"/>
      <c r="R73" s="1795"/>
      <c r="S73" s="1316"/>
      <c r="T73" s="1316"/>
      <c r="U73" s="698"/>
      <c r="V73" s="1316"/>
      <c r="W73" s="1316"/>
      <c r="X73" s="1316"/>
      <c r="Y73" s="1316"/>
      <c r="Z73" s="1316"/>
      <c r="AA73" s="1791"/>
      <c r="AB73" s="720"/>
      <c r="AC73" s="720"/>
      <c r="AD73" s="720"/>
      <c r="AE73" s="720"/>
    </row>
    <row s="8844" customFormat="1" customHeight="1" ht="11.25">
      <c r="A74" s="1142"/>
      <c r="B74" s="1795"/>
      <c r="C74" s="1795"/>
      <c r="D74" s="505"/>
      <c r="K74" s="1316"/>
      <c r="L74" s="1795"/>
      <c r="M74" s="1795"/>
      <c r="N74" s="1316"/>
      <c r="O74" s="1316"/>
      <c r="P74" s="1316"/>
      <c r="Q74" s="1316"/>
      <c r="R74" s="1795"/>
      <c r="S74" s="1316"/>
      <c r="T74" s="1316"/>
      <c r="U74" s="698"/>
      <c r="V74" s="1316"/>
      <c r="W74" s="1316"/>
      <c r="X74" s="1316"/>
      <c r="Y74" s="1316"/>
      <c r="Z74" s="1316"/>
      <c r="AA74" s="1791"/>
      <c r="AB74" s="720"/>
      <c r="AC74" s="720"/>
      <c r="AD74" s="720"/>
      <c r="AE74" s="720"/>
    </row>
    <row s="8844" customFormat="1" customHeight="1" ht="11.25">
      <c r="A75" s="1142"/>
      <c r="B75" s="1795"/>
      <c r="C75" s="1795"/>
      <c r="D75" s="505"/>
      <c r="K75" s="1316"/>
      <c r="L75" s="1795"/>
      <c r="M75" s="1795"/>
      <c r="N75" s="1316"/>
      <c r="O75" s="1316"/>
      <c r="P75" s="1316"/>
      <c r="Q75" s="1316"/>
      <c r="R75" s="1795"/>
      <c r="S75" s="1316"/>
      <c r="T75" s="1316"/>
      <c r="U75" s="698"/>
      <c r="V75" s="1316"/>
      <c r="W75" s="1316"/>
      <c r="X75" s="1316"/>
      <c r="Y75" s="1316"/>
      <c r="Z75" s="1316"/>
      <c r="AA75" s="1791"/>
      <c r="AB75" s="720"/>
      <c r="AC75" s="720"/>
      <c r="AD75" s="720"/>
      <c r="AE75" s="720"/>
    </row>
    <row s="8844" customFormat="1" customHeight="1" ht="11.25">
      <c r="A76" s="1142"/>
      <c r="B76" s="1795"/>
      <c r="C76" s="1795"/>
      <c r="D76" s="505"/>
      <c r="K76" s="1316"/>
      <c r="L76" s="1795"/>
      <c r="M76" s="1795"/>
      <c r="N76" s="1316"/>
      <c r="O76" s="1316"/>
      <c r="P76" s="1316"/>
      <c r="Q76" s="1316"/>
      <c r="R76" s="1795"/>
      <c r="S76" s="1316"/>
      <c r="T76" s="1316"/>
      <c r="U76" s="698"/>
      <c r="V76" s="1316"/>
      <c r="W76" s="1316"/>
      <c r="X76" s="1316"/>
      <c r="Y76" s="1316"/>
      <c r="Z76" s="1316"/>
      <c r="AA76" s="1791"/>
      <c r="AB76" s="720"/>
      <c r="AC76" s="720"/>
      <c r="AD76" s="720"/>
      <c r="AE76" s="720"/>
    </row>
    <row s="8844" customFormat="1" customHeight="1" ht="11.25">
      <c r="A77" s="1142"/>
      <c r="B77" s="1795"/>
      <c r="C77" s="1795"/>
      <c r="D77" s="505"/>
      <c r="K77" s="1316"/>
      <c r="L77" s="1795"/>
      <c r="M77" s="1795"/>
      <c r="N77" s="1316"/>
      <c r="O77" s="1316"/>
      <c r="P77" s="1316"/>
      <c r="Q77" s="1316"/>
      <c r="R77" s="1795"/>
      <c r="S77" s="1316"/>
      <c r="T77" s="1316"/>
      <c r="U77" s="698"/>
      <c r="V77" s="1316"/>
      <c r="W77" s="1316"/>
      <c r="X77" s="1316"/>
      <c r="Y77" s="1316"/>
      <c r="Z77" s="1316"/>
      <c r="AA77" s="1791"/>
      <c r="AB77" s="720"/>
      <c r="AC77" s="720"/>
      <c r="AD77" s="720"/>
      <c r="AE77" s="720"/>
    </row>
    <row s="8844" customFormat="1" customHeight="1" ht="11.25">
      <c r="A78" s="1142"/>
      <c r="B78" s="1795"/>
      <c r="C78" s="1795"/>
      <c r="D78" s="505"/>
      <c r="K78" s="1316"/>
      <c r="L78" s="1795"/>
      <c r="M78" s="1795"/>
      <c r="N78" s="1316"/>
      <c r="O78" s="1316"/>
      <c r="P78" s="1316"/>
      <c r="Q78" s="1316"/>
      <c r="R78" s="1795"/>
      <c r="S78" s="1316"/>
      <c r="T78" s="1316"/>
      <c r="U78" s="698"/>
      <c r="V78" s="1316"/>
      <c r="W78" s="1316"/>
      <c r="X78" s="1316"/>
      <c r="Y78" s="1316"/>
      <c r="Z78" s="1316"/>
      <c r="AA78" s="1791"/>
      <c r="AB78" s="720"/>
      <c r="AC78" s="720"/>
      <c r="AD78" s="720"/>
      <c r="AE78" s="720"/>
    </row>
    <row s="8844" customFormat="1" customHeight="1" ht="11.25">
      <c r="A79" s="1142"/>
      <c r="B79" s="1795"/>
      <c r="C79" s="1795"/>
      <c r="D79" s="505"/>
      <c r="K79" s="1316"/>
      <c r="L79" s="1795"/>
      <c r="M79" s="1795"/>
      <c r="N79" s="1316"/>
      <c r="O79" s="1316"/>
      <c r="P79" s="1316"/>
      <c r="Q79" s="1316"/>
      <c r="R79" s="1795"/>
      <c r="S79" s="1316"/>
      <c r="T79" s="1316"/>
      <c r="U79" s="698"/>
      <c r="V79" s="1316"/>
      <c r="W79" s="1316"/>
      <c r="X79" s="1316"/>
      <c r="Y79" s="1316"/>
      <c r="Z79" s="1316"/>
      <c r="AA79" s="1791"/>
      <c r="AB79" s="720"/>
      <c r="AC79" s="720"/>
      <c r="AD79" s="720"/>
      <c r="AE79" s="720"/>
    </row>
    <row s="8844" customFormat="1" customHeight="1" ht="11.25">
      <c r="A80" s="1142"/>
      <c r="B80" s="1795"/>
      <c r="C80" s="1795"/>
      <c r="D80" s="505"/>
      <c r="K80" s="1316"/>
      <c r="L80" s="1795"/>
      <c r="M80" s="1795"/>
      <c r="N80" s="1316"/>
      <c r="O80" s="1316"/>
      <c r="P80" s="1316"/>
      <c r="Q80" s="1316"/>
      <c r="R80" s="1795"/>
      <c r="S80" s="1316"/>
      <c r="T80" s="1316"/>
      <c r="U80" s="698"/>
      <c r="V80" s="1316"/>
      <c r="W80" s="1316"/>
      <c r="X80" s="1316"/>
      <c r="Y80" s="1316"/>
      <c r="Z80" s="1316"/>
      <c r="AA80" s="1791"/>
      <c r="AB80" s="720"/>
      <c r="AC80" s="720"/>
      <c r="AD80" s="720"/>
      <c r="AE80" s="720"/>
    </row>
    <row s="8844" customFormat="1" customHeight="1" ht="11.25">
      <c r="A81" s="1142"/>
      <c r="B81" s="1795"/>
      <c r="C81" s="1795"/>
      <c r="D81" s="505"/>
      <c r="K81" s="1316"/>
      <c r="L81" s="1795"/>
      <c r="M81" s="1795"/>
      <c r="N81" s="1316"/>
      <c r="O81" s="1316"/>
      <c r="P81" s="1316"/>
      <c r="Q81" s="1316"/>
      <c r="R81" s="1795"/>
      <c r="S81" s="1316"/>
      <c r="T81" s="1316"/>
      <c r="U81" s="698"/>
      <c r="V81" s="1316"/>
      <c r="W81" s="1316"/>
      <c r="X81" s="1316"/>
      <c r="Y81" s="1316"/>
      <c r="Z81" s="1316"/>
      <c r="AA81" s="1791"/>
      <c r="AB81" s="720"/>
      <c r="AC81" s="720"/>
      <c r="AD81" s="720"/>
      <c r="AE81" s="720"/>
    </row>
    <row s="8844" customFormat="1" customHeight="1" ht="11.25">
      <c r="A82" s="1142"/>
      <c r="B82" s="1795"/>
      <c r="C82" s="1795"/>
      <c r="D82" s="505"/>
      <c r="K82" s="1316"/>
      <c r="L82" s="1795"/>
      <c r="M82" s="1795"/>
      <c r="N82" s="1316"/>
      <c r="O82" s="1316"/>
      <c r="P82" s="1316"/>
      <c r="Q82" s="1316"/>
      <c r="R82" s="1795"/>
      <c r="S82" s="1316"/>
      <c r="T82" s="1316"/>
      <c r="U82" s="698"/>
      <c r="V82" s="1316"/>
      <c r="W82" s="1316"/>
      <c r="X82" s="1316"/>
      <c r="Y82" s="1316"/>
      <c r="Z82" s="1316"/>
      <c r="AA82" s="1791"/>
      <c r="AB82" s="720"/>
      <c r="AC82" s="720"/>
      <c r="AD82" s="720"/>
      <c r="AE82" s="720"/>
    </row>
    <row s="8844" customFormat="1" customHeight="1" ht="11.25">
      <c r="A83" s="1142"/>
      <c r="B83" s="1795"/>
      <c r="C83" s="1795"/>
      <c r="D83" s="505"/>
      <c r="K83" s="1316"/>
      <c r="L83" s="1795"/>
      <c r="M83" s="1795"/>
      <c r="N83" s="1316"/>
      <c r="O83" s="1316"/>
      <c r="P83" s="1316"/>
      <c r="Q83" s="1316"/>
      <c r="R83" s="1795"/>
      <c r="S83" s="1316"/>
      <c r="T83" s="1316"/>
      <c r="U83" s="698"/>
      <c r="V83" s="1316"/>
      <c r="W83" s="1316"/>
      <c r="X83" s="1316"/>
      <c r="Y83" s="1316"/>
      <c r="Z83" s="1316"/>
      <c r="AA83" s="1791"/>
      <c r="AB83" s="720"/>
      <c r="AC83" s="720"/>
      <c r="AD83" s="720"/>
      <c r="AE83" s="720"/>
    </row>
    <row s="8844" customFormat="1" customHeight="1" ht="11.25">
      <c r="A84" s="1142"/>
      <c r="B84" s="1795"/>
      <c r="C84" s="1795"/>
      <c r="D84" s="505"/>
      <c r="K84" s="1316"/>
      <c r="L84" s="1795"/>
      <c r="M84" s="1795"/>
      <c r="N84" s="1316"/>
      <c r="O84" s="1316"/>
      <c r="P84" s="1316"/>
      <c r="Q84" s="1316"/>
      <c r="R84" s="1795"/>
      <c r="S84" s="1316"/>
      <c r="T84" s="1316"/>
      <c r="U84" s="698"/>
      <c r="V84" s="1316"/>
      <c r="W84" s="1316"/>
      <c r="X84" s="1316"/>
      <c r="Y84" s="1316"/>
      <c r="Z84" s="1316"/>
      <c r="AA84" s="1791"/>
      <c r="AB84" s="720"/>
      <c r="AC84" s="720"/>
      <c r="AD84" s="720"/>
      <c r="AE84" s="720"/>
    </row>
    <row s="8844" customFormat="1" customHeight="1" ht="11.25">
      <c r="A85" s="1142"/>
      <c r="B85" s="1795"/>
      <c r="C85" s="1795"/>
      <c r="D85" s="505"/>
      <c r="K85" s="1316"/>
      <c r="L85" s="1795"/>
      <c r="M85" s="1795"/>
      <c r="N85" s="1316"/>
      <c r="O85" s="1316"/>
      <c r="P85" s="1316"/>
      <c r="Q85" s="1316"/>
      <c r="R85" s="1795"/>
      <c r="S85" s="1316"/>
      <c r="T85" s="1316"/>
      <c r="U85" s="698"/>
      <c r="V85" s="1316"/>
      <c r="W85" s="1316"/>
      <c r="X85" s="1316"/>
      <c r="Y85" s="1316"/>
      <c r="Z85" s="1316"/>
      <c r="AA85" s="1791"/>
      <c r="AB85" s="720"/>
      <c r="AC85" s="720"/>
      <c r="AD85" s="720"/>
      <c r="AE85" s="720"/>
    </row>
    <row s="8844" customFormat="1" customHeight="1" ht="11.25">
      <c r="A86" s="1142"/>
      <c r="B86" s="1795"/>
      <c r="C86" s="1795"/>
      <c r="D86" s="505"/>
      <c r="K86" s="1316"/>
      <c r="L86" s="1795"/>
      <c r="M86" s="1795"/>
      <c r="N86" s="1316"/>
      <c r="O86" s="1316"/>
      <c r="P86" s="1316"/>
      <c r="Q86" s="1316"/>
      <c r="R86" s="1795"/>
      <c r="S86" s="1316"/>
      <c r="T86" s="1316"/>
      <c r="U86" s="698"/>
      <c r="V86" s="1316"/>
      <c r="W86" s="1316"/>
      <c r="X86" s="1316"/>
      <c r="Y86" s="1316"/>
      <c r="Z86" s="1316"/>
      <c r="AA86" s="1791"/>
      <c r="AB86" s="720"/>
      <c r="AC86" s="720"/>
      <c r="AD86" s="720"/>
      <c r="AE86" s="720"/>
    </row>
    <row s="8844" customFormat="1" customHeight="1" ht="11.25">
      <c r="A87" s="1142"/>
      <c r="B87" s="1795"/>
      <c r="C87" s="1795"/>
      <c r="D87" s="505"/>
      <c r="K87" s="1316"/>
      <c r="L87" s="1795"/>
      <c r="M87" s="1795"/>
      <c r="N87" s="1316"/>
      <c r="O87" s="1316"/>
      <c r="P87" s="1316"/>
      <c r="Q87" s="1316"/>
      <c r="R87" s="1795"/>
      <c r="S87" s="1316"/>
      <c r="T87" s="1316"/>
      <c r="U87" s="698"/>
      <c r="V87" s="1316"/>
      <c r="W87" s="1316"/>
      <c r="X87" s="1316"/>
      <c r="Y87" s="1316"/>
      <c r="Z87" s="1316"/>
      <c r="AA87" s="1791"/>
      <c r="AB87" s="720"/>
      <c r="AC87" s="720"/>
      <c r="AD87" s="720"/>
      <c r="AE87" s="720"/>
    </row>
    <row s="8844" customFormat="1" customHeight="1" ht="11.25">
      <c r="A88" s="1142"/>
      <c r="B88" s="1795"/>
      <c r="C88" s="1795"/>
      <c r="D88" s="505"/>
      <c r="K88" s="1316"/>
      <c r="L88" s="1795"/>
      <c r="M88" s="1795"/>
      <c r="N88" s="1316"/>
      <c r="O88" s="1316"/>
      <c r="P88" s="1316"/>
      <c r="Q88" s="1316"/>
      <c r="R88" s="1795"/>
      <c r="S88" s="1316"/>
      <c r="T88" s="1316"/>
      <c r="U88" s="698"/>
      <c r="V88" s="1316"/>
      <c r="W88" s="1316"/>
      <c r="X88" s="1316"/>
      <c r="Y88" s="1316"/>
      <c r="Z88" s="1316"/>
      <c r="AA88" s="1791"/>
      <c r="AB88" s="720"/>
      <c r="AC88" s="720"/>
      <c r="AD88" s="720"/>
      <c r="AE88" s="720"/>
    </row>
    <row s="8844" customFormat="1" customHeight="1" ht="11.25">
      <c r="A89" s="1142"/>
      <c r="B89" s="1795"/>
      <c r="C89" s="1795"/>
      <c r="D89" s="505"/>
      <c r="K89" s="1316"/>
      <c r="L89" s="1795"/>
      <c r="M89" s="1795"/>
      <c r="N89" s="1316"/>
      <c r="O89" s="1316"/>
      <c r="P89" s="1316"/>
      <c r="Q89" s="1316"/>
      <c r="R89" s="1795"/>
      <c r="S89" s="1316"/>
      <c r="T89" s="1316"/>
      <c r="U89" s="698"/>
      <c r="V89" s="1316"/>
      <c r="W89" s="1316"/>
      <c r="X89" s="1316"/>
      <c r="Y89" s="1316"/>
      <c r="Z89" s="1316"/>
      <c r="AA89" s="1791"/>
      <c r="AB89" s="720"/>
      <c r="AC89" s="720"/>
      <c r="AD89" s="720"/>
      <c r="AE89" s="720"/>
    </row>
    <row s="8844" customFormat="1" customHeight="1" ht="11.25">
      <c r="A90" s="1142"/>
      <c r="B90" s="1795"/>
      <c r="C90" s="1795"/>
      <c r="D90" s="505"/>
      <c r="K90" s="1316"/>
      <c r="L90" s="1795"/>
      <c r="M90" s="1795"/>
      <c r="N90" s="1316"/>
      <c r="O90" s="1316"/>
      <c r="P90" s="1316"/>
      <c r="Q90" s="1316"/>
      <c r="R90" s="1795"/>
      <c r="S90" s="1316"/>
      <c r="T90" s="1316"/>
      <c r="U90" s="698"/>
      <c r="V90" s="1316"/>
      <c r="W90" s="1316"/>
      <c r="X90" s="1316"/>
      <c r="Y90" s="1316"/>
      <c r="Z90" s="1316"/>
      <c r="AA90" s="1791"/>
      <c r="AB90" s="720"/>
      <c r="AC90" s="720"/>
      <c r="AD90" s="720"/>
      <c r="AE90" s="720"/>
    </row>
    <row s="8844" customFormat="1" customHeight="1" ht="11.25">
      <c r="A91" s="1142"/>
      <c r="B91" s="1795"/>
      <c r="C91" s="1795"/>
      <c r="D91" s="505"/>
      <c r="K91" s="1316"/>
      <c r="L91" s="1795"/>
      <c r="M91" s="1795"/>
      <c r="N91" s="1316"/>
      <c r="O91" s="1316"/>
      <c r="P91" s="1316"/>
      <c r="Q91" s="1316"/>
      <c r="R91" s="1795"/>
      <c r="S91" s="1316"/>
      <c r="T91" s="1316"/>
      <c r="U91" s="698"/>
      <c r="V91" s="1316"/>
      <c r="W91" s="1316"/>
      <c r="X91" s="1316"/>
      <c r="Y91" s="1316"/>
      <c r="Z91" s="1316"/>
      <c r="AA91" s="1791"/>
      <c r="AB91" s="720"/>
      <c r="AC91" s="720"/>
      <c r="AD91" s="720"/>
      <c r="AE91" s="720"/>
    </row>
    <row s="8844" customFormat="1" customHeight="1" ht="11.25">
      <c r="A92" s="1142"/>
      <c r="B92" s="1795"/>
      <c r="C92" s="1795"/>
      <c r="D92" s="505"/>
      <c r="K92" s="1316"/>
      <c r="L92" s="1795"/>
      <c r="M92" s="1795"/>
      <c r="N92" s="1316"/>
      <c r="O92" s="1316"/>
      <c r="P92" s="1316"/>
      <c r="Q92" s="1316"/>
      <c r="R92" s="1795"/>
      <c r="S92" s="1316"/>
      <c r="T92" s="1316"/>
      <c r="U92" s="698"/>
      <c r="V92" s="1316"/>
      <c r="W92" s="1316"/>
      <c r="X92" s="1316"/>
      <c r="Y92" s="1316"/>
      <c r="Z92" s="1316"/>
      <c r="AA92" s="1791"/>
      <c r="AB92" s="720"/>
      <c r="AC92" s="720"/>
      <c r="AD92" s="720"/>
      <c r="AE92" s="720"/>
    </row>
    <row s="8844" customFormat="1" customHeight="1" ht="11.25">
      <c r="A93" s="1142"/>
      <c r="B93" s="1795"/>
      <c r="C93" s="1795"/>
      <c r="D93" s="505"/>
      <c r="K93" s="1316"/>
      <c r="L93" s="1795"/>
      <c r="M93" s="1795"/>
      <c r="N93" s="1316"/>
      <c r="O93" s="1316"/>
      <c r="P93" s="1316"/>
      <c r="Q93" s="1316"/>
      <c r="R93" s="1795"/>
      <c r="S93" s="1316"/>
      <c r="T93" s="1316"/>
      <c r="U93" s="698"/>
      <c r="V93" s="1316"/>
      <c r="W93" s="1316"/>
      <c r="X93" s="1316"/>
      <c r="Y93" s="1316"/>
      <c r="Z93" s="1316"/>
      <c r="AA93" s="1791"/>
      <c r="AB93" s="720"/>
      <c r="AC93" s="720"/>
      <c r="AD93" s="720"/>
      <c r="AE93" s="720"/>
    </row>
    <row s="8844" customFormat="1" customHeight="1" ht="11.25">
      <c r="A94" s="1142"/>
      <c r="B94" s="1795"/>
      <c r="C94" s="1795"/>
      <c r="D94" s="505"/>
      <c r="K94" s="1316"/>
      <c r="L94" s="1795"/>
      <c r="M94" s="1795"/>
      <c r="N94" s="1316"/>
      <c r="O94" s="1316"/>
      <c r="P94" s="1316"/>
      <c r="Q94" s="1316"/>
      <c r="R94" s="1795"/>
      <c r="S94" s="1316"/>
      <c r="T94" s="1316"/>
      <c r="U94" s="698"/>
      <c r="V94" s="1316"/>
      <c r="W94" s="1316"/>
      <c r="X94" s="1316"/>
      <c r="Y94" s="1316"/>
      <c r="Z94" s="1316"/>
      <c r="AA94" s="1791"/>
      <c r="AB94" s="720"/>
      <c r="AC94" s="720"/>
      <c r="AD94" s="720"/>
      <c r="AE94" s="720"/>
    </row>
    <row s="8844" customFormat="1" customHeight="1" ht="11.25">
      <c r="A95" s="1142"/>
      <c r="B95" s="1795"/>
      <c r="C95" s="1795"/>
      <c r="D95" s="505"/>
      <c r="K95" s="1316"/>
      <c r="L95" s="1795"/>
      <c r="M95" s="1795"/>
      <c r="N95" s="1316"/>
      <c r="O95" s="1316"/>
      <c r="P95" s="1316"/>
      <c r="Q95" s="1316"/>
      <c r="R95" s="1795"/>
      <c r="S95" s="1316"/>
      <c r="T95" s="1316"/>
      <c r="U95" s="698"/>
      <c r="V95" s="1316"/>
      <c r="W95" s="1316"/>
      <c r="X95" s="1316"/>
      <c r="Y95" s="1316"/>
      <c r="Z95" s="1316"/>
      <c r="AA95" s="1791"/>
      <c r="AB95" s="720"/>
      <c r="AC95" s="720"/>
      <c r="AD95" s="720"/>
      <c r="AE95" s="720"/>
    </row>
    <row s="8844" customFormat="1" customHeight="1" ht="11.25">
      <c r="A96" s="1142"/>
      <c r="B96" s="1795"/>
      <c r="C96" s="1795"/>
      <c r="D96" s="505"/>
      <c r="K96" s="1316"/>
      <c r="L96" s="1795"/>
      <c r="M96" s="1795"/>
      <c r="N96" s="1316"/>
      <c r="O96" s="1316"/>
      <c r="P96" s="1316"/>
      <c r="Q96" s="1316"/>
      <c r="R96" s="1795"/>
      <c r="S96" s="1316"/>
      <c r="T96" s="1316"/>
      <c r="U96" s="698"/>
      <c r="V96" s="1316"/>
      <c r="W96" s="1316"/>
      <c r="X96" s="1316"/>
      <c r="Y96" s="1316"/>
      <c r="Z96" s="1316"/>
      <c r="AA96" s="1791"/>
      <c r="AB96" s="720"/>
      <c r="AC96" s="720"/>
      <c r="AD96" s="720"/>
      <c r="AE96" s="720"/>
    </row>
    <row s="8844" customFormat="1" customHeight="1" ht="11.25">
      <c r="A97" s="1142"/>
      <c r="B97" s="1795"/>
      <c r="C97" s="1795"/>
      <c r="D97" s="505"/>
      <c r="K97" s="1316"/>
      <c r="L97" s="1795"/>
      <c r="M97" s="1795"/>
      <c r="N97" s="1316"/>
      <c r="O97" s="1316"/>
      <c r="P97" s="1316"/>
      <c r="Q97" s="1316"/>
      <c r="R97" s="1795"/>
      <c r="S97" s="1316"/>
      <c r="T97" s="1316"/>
      <c r="U97" s="698"/>
      <c r="V97" s="1316"/>
      <c r="W97" s="1316"/>
      <c r="X97" s="1316"/>
      <c r="Y97" s="1316"/>
      <c r="Z97" s="1316"/>
      <c r="AA97" s="1791"/>
      <c r="AB97" s="720"/>
      <c r="AC97" s="720"/>
      <c r="AD97" s="720"/>
      <c r="AE97" s="720"/>
    </row>
    <row s="8844" customFormat="1" customHeight="1" ht="11.25">
      <c r="A98" s="1142"/>
      <c r="B98" s="1795"/>
      <c r="C98" s="1795"/>
      <c r="D98" s="505"/>
      <c r="K98" s="1316"/>
      <c r="L98" s="1795"/>
      <c r="M98" s="1795"/>
      <c r="N98" s="1316"/>
      <c r="O98" s="1316"/>
      <c r="P98" s="1316"/>
      <c r="Q98" s="1316"/>
      <c r="R98" s="1795"/>
      <c r="S98" s="1316"/>
      <c r="T98" s="1316"/>
      <c r="U98" s="698"/>
      <c r="V98" s="1316"/>
      <c r="W98" s="1316"/>
      <c r="X98" s="1316"/>
      <c r="Y98" s="1316"/>
      <c r="Z98" s="1316"/>
      <c r="AA98" s="1791"/>
      <c r="AB98" s="720"/>
      <c r="AC98" s="720"/>
      <c r="AD98" s="720"/>
      <c r="AE98" s="720"/>
    </row>
    <row s="8844" customFormat="1" customHeight="1" ht="11.25">
      <c r="A99" s="1142"/>
      <c r="B99" s="1795"/>
      <c r="C99" s="1795"/>
      <c r="D99" s="505"/>
      <c r="K99" s="1316"/>
      <c r="L99" s="1795"/>
      <c r="M99" s="1795"/>
      <c r="N99" s="1316"/>
      <c r="O99" s="1316"/>
      <c r="P99" s="1316"/>
      <c r="Q99" s="1316"/>
      <c r="R99" s="1795"/>
      <c r="S99" s="1316"/>
      <c r="T99" s="1316"/>
      <c r="U99" s="698"/>
      <c r="V99" s="1316"/>
      <c r="W99" s="1316"/>
      <c r="X99" s="1316"/>
      <c r="Y99" s="1316"/>
      <c r="Z99" s="1316"/>
      <c r="AA99" s="1791"/>
      <c r="AB99" s="720"/>
      <c r="AC99" s="720"/>
      <c r="AD99" s="720"/>
      <c r="AE99" s="720"/>
    </row>
    <row s="8844" customFormat="1" customHeight="1" ht="11.25">
      <c r="A100" s="1142"/>
      <c r="B100" s="1795"/>
      <c r="C100" s="1795"/>
      <c r="D100" s="505"/>
      <c r="K100" s="1316"/>
      <c r="L100" s="1795"/>
      <c r="M100" s="1795"/>
      <c r="N100" s="1316"/>
      <c r="O100" s="1316"/>
      <c r="P100" s="1316"/>
      <c r="Q100" s="1316"/>
      <c r="R100" s="1795"/>
      <c r="S100" s="1316"/>
      <c r="T100" s="1316"/>
      <c r="U100" s="698"/>
      <c r="V100" s="1316"/>
      <c r="W100" s="1316"/>
      <c r="X100" s="1316"/>
      <c r="Y100" s="1316"/>
      <c r="Z100" s="1316"/>
      <c r="AA100" s="1791"/>
      <c r="AB100" s="720"/>
      <c r="AC100" s="720"/>
      <c r="AD100" s="720"/>
      <c r="AE100" s="720"/>
    </row>
    <row s="8844" customFormat="1" customHeight="1" ht="11.25">
      <c r="A101" s="1142"/>
      <c r="B101" s="1795"/>
      <c r="C101" s="1795"/>
      <c r="D101" s="505"/>
      <c r="K101" s="1316"/>
      <c r="L101" s="1795"/>
      <c r="M101" s="1795"/>
      <c r="N101" s="1316"/>
      <c r="O101" s="1316"/>
      <c r="P101" s="1316"/>
      <c r="Q101" s="1316"/>
      <c r="R101" s="1795"/>
      <c r="S101" s="1316"/>
      <c r="T101" s="1316"/>
      <c r="U101" s="698"/>
      <c r="V101" s="1316"/>
      <c r="W101" s="1316"/>
      <c r="X101" s="1316"/>
      <c r="Y101" s="1316"/>
      <c r="Z101" s="1316"/>
      <c r="AA101" s="1791"/>
      <c r="AB101" s="720"/>
      <c r="AC101" s="720"/>
      <c r="AD101" s="720"/>
      <c r="AE101" s="720"/>
    </row>
    <row s="8844" customFormat="1" customHeight="1" ht="11.25">
      <c r="A102" s="1142"/>
      <c r="B102" s="1795"/>
      <c r="C102" s="1795"/>
      <c r="D102" s="505"/>
      <c r="K102" s="1316"/>
      <c r="L102" s="1795"/>
      <c r="M102" s="1795"/>
      <c r="N102" s="1316"/>
      <c r="O102" s="1316"/>
      <c r="P102" s="1316"/>
      <c r="Q102" s="1316"/>
      <c r="R102" s="1795"/>
      <c r="S102" s="1316"/>
      <c r="T102" s="1316"/>
      <c r="U102" s="698"/>
      <c r="V102" s="1316"/>
      <c r="W102" s="1316"/>
      <c r="X102" s="1316"/>
      <c r="Y102" s="1316"/>
      <c r="Z102" s="1316"/>
      <c r="AA102" s="1791"/>
      <c r="AB102" s="720"/>
      <c r="AC102" s="720"/>
      <c r="AD102" s="720"/>
      <c r="AE102" s="720"/>
    </row>
    <row s="8844" customFormat="1" customHeight="1" ht="11.25">
      <c r="A103" s="1142"/>
      <c r="B103" s="1795"/>
      <c r="C103" s="1795"/>
      <c r="D103" s="505"/>
      <c r="K103" s="1316"/>
      <c r="L103" s="1795"/>
      <c r="M103" s="1795"/>
      <c r="N103" s="1316"/>
      <c r="O103" s="1316"/>
      <c r="P103" s="1316"/>
      <c r="Q103" s="1316"/>
      <c r="R103" s="1795"/>
      <c r="S103" s="1316"/>
      <c r="T103" s="1316"/>
      <c r="U103" s="698"/>
      <c r="V103" s="1316"/>
      <c r="W103" s="1316"/>
      <c r="X103" s="1316"/>
      <c r="Y103" s="1316"/>
      <c r="Z103" s="1316"/>
      <c r="AA103" s="1791"/>
      <c r="AB103" s="720"/>
      <c r="AC103" s="720"/>
      <c r="AD103" s="720"/>
      <c r="AE103" s="720"/>
    </row>
    <row s="8844" customFormat="1" customHeight="1" ht="11.25">
      <c r="A104" s="1142"/>
      <c r="B104" s="1795"/>
      <c r="C104" s="1795"/>
      <c r="D104" s="505"/>
      <c r="K104" s="1316"/>
      <c r="L104" s="1795"/>
      <c r="M104" s="1795"/>
      <c r="N104" s="1316"/>
      <c r="O104" s="1316"/>
      <c r="P104" s="1316"/>
      <c r="Q104" s="1316"/>
      <c r="R104" s="1795"/>
      <c r="S104" s="1316"/>
      <c r="T104" s="1316"/>
      <c r="U104" s="698"/>
      <c r="V104" s="1316"/>
      <c r="W104" s="1316"/>
      <c r="X104" s="1316"/>
      <c r="Y104" s="1316"/>
      <c r="Z104" s="1316"/>
      <c r="AA104" s="1791"/>
      <c r="AB104" s="720"/>
      <c r="AC104" s="720"/>
      <c r="AD104" s="720"/>
      <c r="AE104" s="720"/>
    </row>
    <row s="8844" customFormat="1" customHeight="1" ht="11.25">
      <c r="A105" s="1142"/>
      <c r="B105" s="1795"/>
      <c r="C105" s="1795"/>
      <c r="D105" s="505"/>
      <c r="K105" s="1316"/>
      <c r="L105" s="1795"/>
      <c r="M105" s="1795"/>
      <c r="N105" s="1316"/>
      <c r="O105" s="1316"/>
      <c r="P105" s="1316"/>
      <c r="Q105" s="1316"/>
      <c r="R105" s="1795"/>
      <c r="S105" s="1316"/>
      <c r="T105" s="1316"/>
      <c r="U105" s="698"/>
      <c r="V105" s="1316"/>
      <c r="W105" s="1316"/>
      <c r="X105" s="1316"/>
      <c r="Y105" s="1316"/>
      <c r="Z105" s="1316"/>
      <c r="AA105" s="1791"/>
      <c r="AB105" s="720"/>
      <c r="AC105" s="720"/>
      <c r="AD105" s="720"/>
      <c r="AE105" s="720"/>
    </row>
    <row s="8844" customFormat="1" customHeight="1" ht="11.25">
      <c r="A106" s="1142"/>
      <c r="B106" s="1795"/>
      <c r="C106" s="1795"/>
      <c r="D106" s="505"/>
      <c r="K106" s="1316"/>
      <c r="L106" s="1795"/>
      <c r="M106" s="1795"/>
      <c r="N106" s="1316"/>
      <c r="O106" s="1316"/>
      <c r="P106" s="1316"/>
      <c r="Q106" s="1316"/>
      <c r="R106" s="1795"/>
      <c r="S106" s="1316"/>
      <c r="T106" s="1316"/>
      <c r="U106" s="698"/>
      <c r="V106" s="1316"/>
      <c r="W106" s="1316"/>
      <c r="X106" s="1316"/>
      <c r="Y106" s="1316"/>
      <c r="Z106" s="1316"/>
      <c r="AA106" s="1791"/>
      <c r="AB106" s="720"/>
      <c r="AC106" s="720"/>
      <c r="AD106" s="720"/>
      <c r="AE106" s="720"/>
    </row>
    <row s="8844" customFormat="1" customHeight="1" ht="11.25">
      <c r="A107" s="1142"/>
      <c r="B107" s="1795"/>
      <c r="C107" s="1795"/>
      <c r="D107" s="505"/>
      <c r="K107" s="1316"/>
      <c r="L107" s="1795"/>
      <c r="M107" s="1795"/>
      <c r="N107" s="1316"/>
      <c r="O107" s="1316"/>
      <c r="P107" s="1316"/>
      <c r="Q107" s="1316"/>
      <c r="R107" s="1795"/>
      <c r="S107" s="1316"/>
      <c r="T107" s="1316"/>
      <c r="U107" s="698"/>
      <c r="V107" s="1316"/>
      <c r="W107" s="1316"/>
      <c r="X107" s="1316"/>
      <c r="Y107" s="1316"/>
      <c r="Z107" s="1316"/>
      <c r="AA107" s="1791"/>
      <c r="AB107" s="720"/>
      <c r="AC107" s="720"/>
      <c r="AD107" s="720"/>
      <c r="AE107" s="720"/>
    </row>
    <row s="8844" customFormat="1" customHeight="1" ht="11.25">
      <c r="A108" s="1142"/>
      <c r="B108" s="1795"/>
      <c r="C108" s="1795"/>
      <c r="D108" s="505"/>
      <c r="K108" s="1316"/>
      <c r="L108" s="1795"/>
      <c r="M108" s="1795"/>
      <c r="N108" s="1316"/>
      <c r="O108" s="1316"/>
      <c r="P108" s="1316"/>
      <c r="Q108" s="1316"/>
      <c r="R108" s="1795"/>
      <c r="S108" s="1316"/>
      <c r="T108" s="1316"/>
      <c r="U108" s="698"/>
      <c r="V108" s="1316"/>
      <c r="W108" s="1316"/>
      <c r="X108" s="1316"/>
      <c r="Y108" s="1316"/>
      <c r="Z108" s="1316"/>
      <c r="AA108" s="1791"/>
      <c r="AB108" s="720"/>
      <c r="AC108" s="720"/>
      <c r="AD108" s="720"/>
      <c r="AE108" s="720"/>
    </row>
    <row s="8844" customFormat="1" customHeight="1" ht="11.25">
      <c r="A109" s="1142"/>
      <c r="B109" s="1795"/>
      <c r="C109" s="1795"/>
      <c r="D109" s="505"/>
      <c r="K109" s="1316"/>
      <c r="L109" s="1795"/>
      <c r="M109" s="1795"/>
      <c r="N109" s="1316"/>
      <c r="O109" s="1316"/>
      <c r="P109" s="1316"/>
      <c r="Q109" s="1316"/>
      <c r="R109" s="1795"/>
      <c r="S109" s="1316"/>
      <c r="T109" s="1316"/>
      <c r="U109" s="698"/>
      <c r="V109" s="1316"/>
      <c r="W109" s="1316"/>
      <c r="X109" s="1316"/>
      <c r="Y109" s="1316"/>
      <c r="Z109" s="1316"/>
      <c r="AA109" s="1791"/>
      <c r="AB109" s="720"/>
      <c r="AC109" s="720"/>
      <c r="AD109" s="720"/>
      <c r="AE109" s="720"/>
    </row>
    <row s="8844" customFormat="1" customHeight="1" ht="11.25">
      <c r="A110" s="1142"/>
      <c r="B110" s="1795"/>
      <c r="C110" s="1795"/>
      <c r="D110" s="505"/>
      <c r="K110" s="1316"/>
      <c r="L110" s="1795"/>
      <c r="M110" s="1795"/>
      <c r="N110" s="1316"/>
      <c r="O110" s="1316"/>
      <c r="P110" s="1316"/>
      <c r="Q110" s="1316"/>
      <c r="R110" s="1795"/>
      <c r="S110" s="1316"/>
      <c r="T110" s="1316"/>
      <c r="U110" s="698"/>
      <c r="V110" s="1316"/>
      <c r="W110" s="1316"/>
      <c r="X110" s="1316"/>
      <c r="Y110" s="1316"/>
      <c r="Z110" s="1316"/>
      <c r="AA110" s="1791"/>
      <c r="AB110" s="720"/>
      <c r="AC110" s="720"/>
      <c r="AD110" s="720"/>
      <c r="AE110" s="720"/>
    </row>
    <row s="8844" customFormat="1" customHeight="1" ht="11.25">
      <c r="A111" s="1142"/>
      <c r="B111" s="1795"/>
      <c r="C111" s="1795"/>
      <c r="D111" s="505"/>
      <c r="K111" s="1316"/>
      <c r="L111" s="1795"/>
      <c r="M111" s="1795"/>
      <c r="N111" s="1316"/>
      <c r="O111" s="1316"/>
      <c r="P111" s="1316"/>
      <c r="Q111" s="1316"/>
      <c r="R111" s="1795"/>
      <c r="S111" s="1316"/>
      <c r="T111" s="1316"/>
      <c r="U111" s="698"/>
      <c r="V111" s="1316"/>
      <c r="W111" s="1316"/>
      <c r="X111" s="1316"/>
      <c r="Y111" s="1316"/>
      <c r="Z111" s="1316"/>
      <c r="AA111" s="1791"/>
      <c r="AB111" s="720"/>
      <c r="AC111" s="720"/>
      <c r="AD111" s="720"/>
      <c r="AE111" s="720"/>
    </row>
    <row s="8844" customFormat="1" customHeight="1" ht="11.25">
      <c r="A112" s="1142"/>
      <c r="B112" s="1795"/>
      <c r="C112" s="1795"/>
      <c r="D112" s="505"/>
      <c r="K112" s="1316"/>
      <c r="L112" s="1795"/>
      <c r="M112" s="1795"/>
      <c r="N112" s="1316"/>
      <c r="O112" s="1316"/>
      <c r="P112" s="1316"/>
      <c r="Q112" s="1316"/>
      <c r="R112" s="1795"/>
      <c r="S112" s="1316"/>
      <c r="T112" s="1316"/>
      <c r="U112" s="698"/>
      <c r="V112" s="1316"/>
      <c r="W112" s="1316"/>
      <c r="X112" s="1316"/>
      <c r="Y112" s="1316"/>
      <c r="Z112" s="1316"/>
      <c r="AA112" s="1791"/>
      <c r="AB112" s="720"/>
      <c r="AC112" s="720"/>
      <c r="AD112" s="720"/>
      <c r="AE112" s="720"/>
    </row>
    <row s="8844" customFormat="1" customHeight="1" ht="11.25">
      <c r="A113" s="1142"/>
      <c r="B113" s="1795"/>
      <c r="C113" s="1795"/>
      <c r="D113" s="505"/>
      <c r="K113" s="1316"/>
      <c r="L113" s="1795"/>
      <c r="M113" s="1795"/>
      <c r="N113" s="1316"/>
      <c r="O113" s="1316"/>
      <c r="P113" s="1316"/>
      <c r="Q113" s="1316"/>
      <c r="R113" s="1795"/>
      <c r="S113" s="1316"/>
      <c r="T113" s="1316"/>
      <c r="U113" s="698"/>
      <c r="V113" s="1316"/>
      <c r="W113" s="1316"/>
      <c r="X113" s="1316"/>
      <c r="Y113" s="1316"/>
      <c r="Z113" s="1316"/>
      <c r="AA113" s="1791"/>
      <c r="AB113" s="720"/>
      <c r="AC113" s="720"/>
      <c r="AD113" s="720"/>
      <c r="AE113" s="720"/>
    </row>
    <row s="8844" customFormat="1" customHeight="1" ht="11.25">
      <c r="A114" s="1142"/>
      <c r="B114" s="1795"/>
      <c r="C114" s="1795"/>
      <c r="D114" s="505"/>
      <c r="K114" s="1316"/>
      <c r="L114" s="1795"/>
      <c r="M114" s="1795"/>
      <c r="N114" s="1316"/>
      <c r="O114" s="1316"/>
      <c r="P114" s="1316"/>
      <c r="Q114" s="1316"/>
      <c r="R114" s="1795"/>
      <c r="S114" s="1316"/>
      <c r="T114" s="1316"/>
      <c r="U114" s="698"/>
      <c r="V114" s="1316"/>
      <c r="W114" s="1316"/>
      <c r="X114" s="1316"/>
      <c r="Y114" s="1316"/>
      <c r="Z114" s="1316"/>
      <c r="AA114" s="1791"/>
      <c r="AB114" s="720"/>
      <c r="AC114" s="720"/>
      <c r="AD114" s="720"/>
      <c r="AE114" s="720"/>
    </row>
    <row s="8844" customFormat="1" customHeight="1" ht="11.25">
      <c r="A115" s="1142"/>
      <c r="B115" s="1795"/>
      <c r="C115" s="1795"/>
      <c r="D115" s="505"/>
      <c r="K115" s="1316"/>
      <c r="L115" s="1795"/>
      <c r="M115" s="1795"/>
      <c r="N115" s="1316"/>
      <c r="O115" s="1316"/>
      <c r="P115" s="1316"/>
      <c r="Q115" s="1316"/>
      <c r="R115" s="1795"/>
      <c r="S115" s="1316"/>
      <c r="T115" s="1316"/>
      <c r="U115" s="698"/>
      <c r="V115" s="1316"/>
      <c r="W115" s="1316"/>
      <c r="X115" s="1316"/>
      <c r="Y115" s="1316"/>
      <c r="Z115" s="1316"/>
      <c r="AA115" s="1791"/>
      <c r="AB115" s="720"/>
      <c r="AC115" s="720"/>
      <c r="AD115" s="720"/>
      <c r="AE115" s="720"/>
    </row>
    <row s="8844" customFormat="1" customHeight="1" ht="11.25">
      <c r="A116" s="1142"/>
      <c r="B116" s="1795"/>
      <c r="C116" s="1795"/>
      <c r="D116" s="505"/>
      <c r="K116" s="1316"/>
      <c r="L116" s="1795"/>
      <c r="M116" s="1795"/>
      <c r="N116" s="1316"/>
      <c r="O116" s="1316"/>
      <c r="P116" s="1316"/>
      <c r="Q116" s="1316"/>
      <c r="R116" s="1795"/>
      <c r="S116" s="1316"/>
      <c r="T116" s="1316"/>
      <c r="U116" s="698"/>
      <c r="V116" s="1316"/>
      <c r="W116" s="1316"/>
      <c r="X116" s="1316"/>
      <c r="Y116" s="1316"/>
      <c r="Z116" s="1316"/>
      <c r="AA116" s="1791"/>
      <c r="AB116" s="720"/>
      <c r="AC116" s="720"/>
      <c r="AD116" s="720"/>
      <c r="AE116" s="720"/>
    </row>
    <row s="8844" customFormat="1" customHeight="1" ht="11.25">
      <c r="A117" s="1142"/>
      <c r="B117" s="1795"/>
      <c r="C117" s="1795"/>
      <c r="D117" s="505"/>
      <c r="K117" s="1316"/>
      <c r="L117" s="1795"/>
      <c r="M117" s="1795"/>
      <c r="N117" s="1316"/>
      <c r="O117" s="1316"/>
      <c r="P117" s="1316"/>
      <c r="Q117" s="1316"/>
      <c r="R117" s="1795"/>
      <c r="S117" s="1316"/>
      <c r="T117" s="1316"/>
      <c r="U117" s="698"/>
      <c r="V117" s="1316"/>
      <c r="W117" s="1316"/>
      <c r="X117" s="1316"/>
      <c r="Y117" s="1316"/>
      <c r="Z117" s="1316"/>
      <c r="AA117" s="1791"/>
      <c r="AB117" s="720"/>
      <c r="AC117" s="720"/>
      <c r="AD117" s="720"/>
      <c r="AE117" s="720"/>
    </row>
    <row s="8844" customFormat="1" customHeight="1" ht="11.25">
      <c r="A118" s="1142"/>
      <c r="B118" s="1795"/>
      <c r="C118" s="1795"/>
      <c r="D118" s="505"/>
      <c r="K118" s="1316"/>
      <c r="L118" s="1795"/>
      <c r="M118" s="1795"/>
      <c r="N118" s="1316"/>
      <c r="O118" s="1316"/>
      <c r="P118" s="1316"/>
      <c r="Q118" s="1316"/>
      <c r="R118" s="1795"/>
      <c r="S118" s="1316"/>
      <c r="T118" s="1316"/>
      <c r="U118" s="698"/>
      <c r="V118" s="1316"/>
      <c r="W118" s="1316"/>
      <c r="X118" s="1316"/>
      <c r="Y118" s="1316"/>
      <c r="Z118" s="1316"/>
      <c r="AA118" s="1791"/>
      <c r="AB118" s="720"/>
      <c r="AC118" s="720"/>
      <c r="AD118" s="720"/>
      <c r="AE118" s="720"/>
    </row>
    <row s="8844" customFormat="1" customHeight="1" ht="11.25">
      <c r="A119" s="1142"/>
      <c r="B119" s="1795"/>
      <c r="C119" s="1795"/>
      <c r="D119" s="505"/>
      <c r="K119" s="1316"/>
      <c r="L119" s="1795"/>
      <c r="M119" s="1795"/>
      <c r="N119" s="1316"/>
      <c r="O119" s="1316"/>
      <c r="P119" s="1316"/>
      <c r="Q119" s="1316"/>
      <c r="R119" s="1795"/>
      <c r="S119" s="1316"/>
      <c r="T119" s="1316"/>
      <c r="U119" s="698"/>
      <c r="V119" s="1316"/>
      <c r="W119" s="1316"/>
      <c r="X119" s="1316"/>
      <c r="Y119" s="1316"/>
      <c r="Z119" s="1316"/>
      <c r="AA119" s="1791"/>
      <c r="AB119" s="720"/>
      <c r="AC119" s="720"/>
      <c r="AD119" s="720"/>
      <c r="AE119" s="720"/>
    </row>
    <row s="8844" customFormat="1" customHeight="1" ht="11.25">
      <c r="A120" s="1142"/>
      <c r="B120" s="1795"/>
      <c r="C120" s="1795"/>
      <c r="D120" s="505"/>
      <c r="K120" s="1316"/>
      <c r="L120" s="1795"/>
      <c r="M120" s="1795"/>
      <c r="N120" s="1316"/>
      <c r="O120" s="1316"/>
      <c r="P120" s="1316"/>
      <c r="Q120" s="1316"/>
      <c r="R120" s="1795"/>
      <c r="S120" s="1316"/>
      <c r="T120" s="1316"/>
      <c r="U120" s="698"/>
      <c r="V120" s="1316"/>
      <c r="W120" s="1316"/>
      <c r="X120" s="1316"/>
      <c r="Y120" s="1316"/>
      <c r="Z120" s="1316"/>
      <c r="AA120" s="1791"/>
      <c r="AB120" s="720"/>
      <c r="AC120" s="720"/>
      <c r="AD120" s="720"/>
      <c r="AE120" s="720"/>
    </row>
    <row s="8844" customFormat="1" customHeight="1" ht="11.25">
      <c r="A121" s="1142"/>
      <c r="B121" s="1795"/>
      <c r="C121" s="1795"/>
      <c r="D121" s="505"/>
      <c r="K121" s="1316"/>
      <c r="L121" s="1795"/>
      <c r="M121" s="1795"/>
      <c r="N121" s="1316"/>
      <c r="O121" s="1316"/>
      <c r="P121" s="1316"/>
      <c r="Q121" s="1316"/>
      <c r="R121" s="1795"/>
      <c r="S121" s="1316"/>
      <c r="T121" s="1316"/>
      <c r="U121" s="698"/>
      <c r="V121" s="1316"/>
      <c r="W121" s="1316"/>
      <c r="X121" s="1316"/>
      <c r="Y121" s="1316"/>
      <c r="Z121" s="1316"/>
      <c r="AA121" s="1791"/>
      <c r="AB121" s="720"/>
      <c r="AC121" s="720"/>
      <c r="AD121" s="720"/>
      <c r="AE121" s="720"/>
    </row>
    <row s="8844" customFormat="1" customHeight="1" ht="11.25">
      <c r="A122" s="1142"/>
      <c r="B122" s="1795"/>
      <c r="C122" s="1795"/>
      <c r="D122" s="505"/>
      <c r="K122" s="1316"/>
      <c r="L122" s="1795"/>
      <c r="M122" s="1795"/>
      <c r="N122" s="1316"/>
      <c r="O122" s="1316"/>
      <c r="P122" s="1316"/>
      <c r="Q122" s="1316"/>
      <c r="R122" s="1795"/>
      <c r="S122" s="1316"/>
      <c r="T122" s="1316"/>
      <c r="U122" s="698"/>
      <c r="V122" s="1316"/>
      <c r="W122" s="1316"/>
      <c r="X122" s="1316"/>
      <c r="Y122" s="1316"/>
      <c r="Z122" s="1316"/>
      <c r="AA122" s="1791"/>
      <c r="AB122" s="720"/>
      <c r="AC122" s="720"/>
      <c r="AD122" s="720"/>
      <c r="AE122" s="720"/>
    </row>
    <row s="8844" customFormat="1" customHeight="1" ht="11.25">
      <c r="A123" s="1142"/>
      <c r="B123" s="1795"/>
      <c r="C123" s="1795"/>
      <c r="D123" s="505"/>
      <c r="K123" s="1316"/>
      <c r="L123" s="1795"/>
      <c r="M123" s="1795"/>
      <c r="N123" s="1316"/>
      <c r="O123" s="1316"/>
      <c r="P123" s="1316"/>
      <c r="Q123" s="1316"/>
      <c r="R123" s="1795"/>
      <c r="S123" s="1316"/>
      <c r="T123" s="1316"/>
      <c r="U123" s="698"/>
      <c r="V123" s="1316"/>
      <c r="W123" s="1316"/>
      <c r="X123" s="1316"/>
      <c r="Y123" s="1316"/>
      <c r="Z123" s="1316"/>
      <c r="AA123" s="1791"/>
      <c r="AB123" s="720"/>
      <c r="AC123" s="720"/>
      <c r="AD123" s="720"/>
      <c r="AE123" s="720"/>
    </row>
    <row s="8844" customFormat="1" customHeight="1" ht="11.25">
      <c r="A124" s="1142"/>
      <c r="B124" s="1795"/>
      <c r="C124" s="1795"/>
      <c r="D124" s="505"/>
      <c r="K124" s="1316"/>
      <c r="L124" s="1795"/>
      <c r="M124" s="1795"/>
      <c r="N124" s="1316"/>
      <c r="O124" s="1316"/>
      <c r="P124" s="1316"/>
      <c r="Q124" s="1316"/>
      <c r="R124" s="1795"/>
      <c r="S124" s="1316"/>
      <c r="T124" s="1316"/>
      <c r="U124" s="698"/>
      <c r="V124" s="1316"/>
      <c r="W124" s="1316"/>
      <c r="X124" s="1316"/>
      <c r="Y124" s="1316"/>
      <c r="Z124" s="1316"/>
      <c r="AA124" s="1791"/>
      <c r="AB124" s="720"/>
      <c r="AC124" s="720"/>
      <c r="AD124" s="720"/>
      <c r="AE124" s="720"/>
    </row>
    <row s="8844" customFormat="1" customHeight="1" ht="11.25">
      <c r="A125" s="1142"/>
      <c r="B125" s="1795"/>
      <c r="C125" s="1795"/>
      <c r="D125" s="505"/>
      <c r="K125" s="1316"/>
      <c r="L125" s="1795"/>
      <c r="M125" s="1795"/>
      <c r="N125" s="1316"/>
      <c r="O125" s="1316"/>
      <c r="P125" s="1316"/>
      <c r="Q125" s="1316"/>
      <c r="R125" s="1795"/>
      <c r="S125" s="1316"/>
      <c r="T125" s="1316"/>
      <c r="U125" s="698"/>
      <c r="V125" s="1316"/>
      <c r="W125" s="1316"/>
      <c r="X125" s="1316"/>
      <c r="Y125" s="1316"/>
      <c r="Z125" s="1316"/>
      <c r="AA125" s="1791"/>
      <c r="AB125" s="720"/>
      <c r="AC125" s="720"/>
      <c r="AD125" s="720"/>
      <c r="AE125" s="720"/>
    </row>
    <row s="8844" customFormat="1" customHeight="1" ht="11.25">
      <c r="A126" s="1142"/>
      <c r="B126" s="1795"/>
      <c r="C126" s="1795"/>
      <c r="D126" s="505"/>
      <c r="K126" s="1316"/>
      <c r="L126" s="1795"/>
      <c r="M126" s="1795"/>
      <c r="N126" s="1316"/>
      <c r="O126" s="1316"/>
      <c r="P126" s="1316"/>
      <c r="Q126" s="1316"/>
      <c r="R126" s="1795"/>
      <c r="S126" s="1316"/>
      <c r="T126" s="1316"/>
      <c r="U126" s="698"/>
      <c r="V126" s="1316"/>
      <c r="W126" s="1316"/>
      <c r="X126" s="1316"/>
      <c r="Y126" s="1316"/>
      <c r="Z126" s="1316"/>
      <c r="AA126" s="1791"/>
      <c r="AB126" s="720"/>
      <c r="AC126" s="720"/>
      <c r="AD126" s="720"/>
      <c r="AE126" s="720"/>
    </row>
    <row s="8844" customFormat="1" customHeight="1" ht="11.25">
      <c r="A127" s="1142"/>
      <c r="B127" s="1795"/>
      <c r="C127" s="1795"/>
      <c r="D127" s="505"/>
      <c r="K127" s="1316"/>
      <c r="L127" s="1795"/>
      <c r="M127" s="1795"/>
      <c r="N127" s="1316"/>
      <c r="O127" s="1316"/>
      <c r="P127" s="1316"/>
      <c r="Q127" s="1316"/>
      <c r="R127" s="1795"/>
      <c r="S127" s="1316"/>
      <c r="T127" s="1316"/>
      <c r="U127" s="698"/>
      <c r="V127" s="1316"/>
      <c r="W127" s="1316"/>
      <c r="X127" s="1316"/>
      <c r="Y127" s="1316"/>
      <c r="Z127" s="1316"/>
      <c r="AA127" s="1791"/>
      <c r="AB127" s="720"/>
      <c r="AC127" s="720"/>
      <c r="AD127" s="720"/>
      <c r="AE127" s="720"/>
    </row>
    <row s="8844" customFormat="1" customHeight="1" ht="11.25">
      <c r="A128" s="1142"/>
      <c r="B128" s="1795"/>
      <c r="C128" s="1795"/>
      <c r="D128" s="505"/>
      <c r="K128" s="1316"/>
      <c r="L128" s="1795"/>
      <c r="M128" s="1795"/>
      <c r="N128" s="1316"/>
      <c r="O128" s="1316"/>
      <c r="P128" s="1316"/>
      <c r="Q128" s="1316"/>
      <c r="R128" s="1795"/>
      <c r="S128" s="1316"/>
      <c r="T128" s="1316"/>
      <c r="U128" s="698"/>
      <c r="V128" s="1316"/>
      <c r="W128" s="1316"/>
      <c r="X128" s="1316"/>
      <c r="Y128" s="1316"/>
      <c r="Z128" s="1316"/>
      <c r="AA128" s="1791"/>
      <c r="AB128" s="720"/>
      <c r="AC128" s="720"/>
      <c r="AD128" s="720"/>
      <c r="AE128" s="720"/>
    </row>
    <row s="8844" customFormat="1" customHeight="1" ht="11.25">
      <c r="A129" s="1142"/>
      <c r="B129" s="1795"/>
      <c r="C129" s="1795"/>
      <c r="D129" s="505"/>
      <c r="K129" s="1316"/>
      <c r="L129" s="1795"/>
      <c r="M129" s="1795"/>
      <c r="N129" s="1316"/>
      <c r="O129" s="1316"/>
      <c r="P129" s="1316"/>
      <c r="Q129" s="1316"/>
      <c r="R129" s="1795"/>
      <c r="S129" s="1316"/>
      <c r="T129" s="1316"/>
      <c r="U129" s="698"/>
      <c r="V129" s="1316"/>
      <c r="W129" s="1316"/>
      <c r="X129" s="1316"/>
      <c r="Y129" s="1316"/>
      <c r="Z129" s="1316"/>
      <c r="AA129" s="1791"/>
      <c r="AB129" s="720"/>
      <c r="AC129" s="720"/>
      <c r="AD129" s="720"/>
      <c r="AE129" s="720"/>
    </row>
    <row s="8844" customFormat="1" customHeight="1" ht="11.25">
      <c r="A130" s="1142"/>
      <c r="B130" s="1795"/>
      <c r="C130" s="1795"/>
      <c r="D130" s="505"/>
      <c r="K130" s="1316"/>
      <c r="L130" s="1795"/>
      <c r="M130" s="1795"/>
      <c r="N130" s="1316"/>
      <c r="O130" s="1316"/>
      <c r="P130" s="1316"/>
      <c r="Q130" s="1316"/>
      <c r="R130" s="1795"/>
      <c r="S130" s="1316"/>
      <c r="T130" s="1316"/>
      <c r="U130" s="698"/>
      <c r="V130" s="1316"/>
      <c r="W130" s="1316"/>
      <c r="X130" s="1316"/>
      <c r="Y130" s="1316"/>
      <c r="Z130" s="1316"/>
      <c r="AA130" s="1791"/>
      <c r="AB130" s="720"/>
      <c r="AC130" s="720"/>
      <c r="AD130" s="720"/>
      <c r="AE130" s="720"/>
    </row>
    <row s="8844" customFormat="1" customHeight="1" ht="11.25">
      <c r="A131" s="1142"/>
      <c r="B131" s="1795"/>
      <c r="C131" s="1795"/>
      <c r="D131" s="505"/>
      <c r="K131" s="1316"/>
      <c r="L131" s="1795"/>
      <c r="M131" s="1795"/>
      <c r="N131" s="1316"/>
      <c r="O131" s="1316"/>
      <c r="P131" s="1316"/>
      <c r="Q131" s="1316"/>
      <c r="R131" s="1795"/>
      <c r="S131" s="1316"/>
      <c r="T131" s="1316"/>
      <c r="U131" s="698"/>
      <c r="V131" s="1316"/>
      <c r="W131" s="1316"/>
      <c r="X131" s="1316"/>
      <c r="Y131" s="1316"/>
      <c r="Z131" s="1316"/>
      <c r="AA131" s="1791"/>
      <c r="AB131" s="720"/>
      <c r="AC131" s="720"/>
      <c r="AD131" s="720"/>
      <c r="AE131" s="720"/>
    </row>
    <row s="8844" customFormat="1" customHeight="1" ht="11.25">
      <c r="A132" s="1142"/>
      <c r="B132" s="1795"/>
      <c r="C132" s="1795"/>
      <c r="D132" s="505"/>
      <c r="K132" s="1316"/>
      <c r="L132" s="1795"/>
      <c r="M132" s="1795"/>
      <c r="N132" s="1316"/>
      <c r="O132" s="1316"/>
      <c r="P132" s="1316"/>
      <c r="Q132" s="1316"/>
      <c r="R132" s="1795"/>
      <c r="S132" s="1316"/>
      <c r="T132" s="1316"/>
      <c r="U132" s="698"/>
      <c r="V132" s="1316"/>
      <c r="W132" s="1316"/>
      <c r="X132" s="1316"/>
      <c r="Y132" s="1316"/>
      <c r="Z132" s="1316"/>
      <c r="AA132" s="1791"/>
      <c r="AB132" s="720"/>
      <c r="AC132" s="720"/>
      <c r="AD132" s="720"/>
      <c r="AE132" s="720"/>
    </row>
    <row s="8844" customFormat="1" customHeight="1" ht="11.25">
      <c r="A133" s="1142"/>
      <c r="B133" s="1795"/>
      <c r="C133" s="1795"/>
      <c r="D133" s="505"/>
      <c r="K133" s="1316"/>
      <c r="L133" s="1795"/>
      <c r="M133" s="1795"/>
      <c r="N133" s="1316"/>
      <c r="O133" s="1316"/>
      <c r="P133" s="1316"/>
      <c r="Q133" s="1316"/>
      <c r="R133" s="1795"/>
      <c r="S133" s="1316"/>
      <c r="T133" s="1316"/>
      <c r="U133" s="698"/>
      <c r="V133" s="1316"/>
      <c r="W133" s="1316"/>
      <c r="X133" s="1316"/>
      <c r="Y133" s="1316"/>
      <c r="Z133" s="1316"/>
      <c r="AA133" s="1791"/>
      <c r="AB133" s="720"/>
      <c r="AC133" s="720"/>
      <c r="AD133" s="720"/>
      <c r="AE133" s="720"/>
    </row>
    <row s="8844" customFormat="1" customHeight="1" ht="11.25">
      <c r="A134" s="1142"/>
      <c r="B134" s="1795"/>
      <c r="C134" s="1795"/>
      <c r="D134" s="505"/>
      <c r="K134" s="1316"/>
      <c r="L134" s="1795"/>
      <c r="M134" s="1795"/>
      <c r="N134" s="1316"/>
      <c r="O134" s="1316"/>
      <c r="P134" s="1316"/>
      <c r="Q134" s="1316"/>
      <c r="R134" s="1795"/>
      <c r="S134" s="1316"/>
      <c r="T134" s="1316"/>
      <c r="U134" s="698"/>
      <c r="V134" s="1316"/>
      <c r="W134" s="1316"/>
      <c r="X134" s="1316"/>
      <c r="Y134" s="1316"/>
      <c r="Z134" s="1316"/>
      <c r="AA134" s="1791"/>
      <c r="AB134" s="720"/>
      <c r="AC134" s="720"/>
      <c r="AD134" s="720"/>
      <c r="AE134" s="720"/>
    </row>
    <row s="8844" customFormat="1" customHeight="1" ht="11.25">
      <c r="A135" s="1142"/>
      <c r="B135" s="1795"/>
      <c r="C135" s="1795"/>
      <c r="D135" s="505"/>
      <c r="K135" s="1316"/>
      <c r="L135" s="1795"/>
      <c r="M135" s="1795"/>
      <c r="N135" s="1316"/>
      <c r="O135" s="1316"/>
      <c r="P135" s="1316"/>
      <c r="Q135" s="1316"/>
      <c r="R135" s="1795"/>
      <c r="S135" s="1316"/>
      <c r="T135" s="1316"/>
      <c r="U135" s="698"/>
      <c r="V135" s="1316"/>
      <c r="W135" s="1316"/>
      <c r="X135" s="1316"/>
      <c r="Y135" s="1316"/>
      <c r="Z135" s="1316"/>
      <c r="AA135" s="1791"/>
      <c r="AB135" s="720"/>
      <c r="AC135" s="720"/>
      <c r="AD135" s="720"/>
      <c r="AE135" s="720"/>
    </row>
    <row s="8844" customFormat="1" customHeight="1" ht="11.25">
      <c r="A136" s="1142"/>
      <c r="B136" s="1795"/>
      <c r="C136" s="1795"/>
      <c r="D136" s="505"/>
      <c r="K136" s="1316"/>
      <c r="L136" s="1795"/>
      <c r="M136" s="1795"/>
      <c r="N136" s="1316"/>
      <c r="O136" s="1316"/>
      <c r="P136" s="1316"/>
      <c r="Q136" s="1316"/>
      <c r="R136" s="1795"/>
      <c r="S136" s="1316"/>
      <c r="T136" s="1316"/>
      <c r="U136" s="698"/>
      <c r="V136" s="1316"/>
      <c r="W136" s="1316"/>
      <c r="X136" s="1316"/>
      <c r="Y136" s="1316"/>
      <c r="Z136" s="1316"/>
      <c r="AA136" s="1791"/>
      <c r="AB136" s="720"/>
      <c r="AC136" s="720"/>
      <c r="AD136" s="720"/>
      <c r="AE136" s="720"/>
    </row>
    <row s="8844" customFormat="1" customHeight="1" ht="11.25">
      <c r="A137" s="1142"/>
      <c r="B137" s="1795"/>
      <c r="C137" s="1795"/>
      <c r="D137" s="505"/>
      <c r="K137" s="1316"/>
      <c r="L137" s="1795"/>
      <c r="M137" s="1795"/>
      <c r="N137" s="1316"/>
      <c r="O137" s="1316"/>
      <c r="P137" s="1316"/>
      <c r="Q137" s="1316"/>
      <c r="R137" s="1795"/>
      <c r="S137" s="1316"/>
      <c r="T137" s="1316"/>
      <c r="U137" s="698"/>
      <c r="V137" s="1316"/>
      <c r="W137" s="1316"/>
      <c r="X137" s="1316"/>
      <c r="Y137" s="1316"/>
      <c r="Z137" s="1316"/>
      <c r="AA137" s="1791"/>
      <c r="AB137" s="720"/>
      <c r="AC137" s="720"/>
      <c r="AD137" s="720"/>
      <c r="AE137" s="720"/>
    </row>
    <row s="8844" customFormat="1" customHeight="1" ht="11.25">
      <c r="A138" s="1142"/>
      <c r="B138" s="1795"/>
      <c r="C138" s="1795"/>
      <c r="D138" s="505"/>
      <c r="K138" s="1316"/>
      <c r="L138" s="1795"/>
      <c r="M138" s="1795"/>
      <c r="N138" s="1316"/>
      <c r="O138" s="1316"/>
      <c r="P138" s="1316"/>
      <c r="Q138" s="1316"/>
      <c r="R138" s="1795"/>
      <c r="S138" s="1316"/>
      <c r="T138" s="1316"/>
      <c r="U138" s="698"/>
      <c r="V138" s="1316"/>
      <c r="W138" s="1316"/>
      <c r="X138" s="1316"/>
      <c r="Y138" s="1316"/>
      <c r="Z138" s="1316"/>
      <c r="AA138" s="1791"/>
      <c r="AB138" s="720"/>
      <c r="AC138" s="720"/>
      <c r="AD138" s="720"/>
      <c r="AE138" s="720"/>
    </row>
    <row s="8844" customFormat="1" customHeight="1" ht="11.25">
      <c r="A139" s="1142"/>
      <c r="B139" s="1795"/>
      <c r="C139" s="1795"/>
      <c r="D139" s="505"/>
      <c r="K139" s="1316"/>
      <c r="L139" s="1795"/>
      <c r="M139" s="1795"/>
      <c r="N139" s="1316"/>
      <c r="O139" s="1316"/>
      <c r="P139" s="1316"/>
      <c r="Q139" s="1316"/>
      <c r="R139" s="1795"/>
      <c r="S139" s="1316"/>
      <c r="T139" s="1316"/>
      <c r="U139" s="698"/>
      <c r="V139" s="1316"/>
      <c r="W139" s="1316"/>
      <c r="X139" s="1316"/>
      <c r="Y139" s="1316"/>
      <c r="Z139" s="1316"/>
      <c r="AA139" s="1791"/>
      <c r="AB139" s="720"/>
      <c r="AC139" s="720"/>
      <c r="AD139" s="720"/>
      <c r="AE139" s="720"/>
    </row>
    <row s="8844" customFormat="1" customHeight="1" ht="11.25">
      <c r="A140" s="1142"/>
      <c r="B140" s="1795"/>
      <c r="C140" s="1795"/>
      <c r="D140" s="505"/>
      <c r="K140" s="1316"/>
      <c r="L140" s="1795"/>
      <c r="M140" s="1795"/>
      <c r="N140" s="1316"/>
      <c r="O140" s="1316"/>
      <c r="P140" s="1316"/>
      <c r="Q140" s="1316"/>
      <c r="R140" s="1795"/>
      <c r="S140" s="1316"/>
      <c r="T140" s="1316"/>
      <c r="U140" s="698"/>
      <c r="V140" s="1316"/>
      <c r="W140" s="1316"/>
      <c r="X140" s="1316"/>
      <c r="Y140" s="1316"/>
      <c r="Z140" s="1316"/>
      <c r="AA140" s="1791"/>
      <c r="AB140" s="720"/>
      <c r="AC140" s="720"/>
      <c r="AD140" s="720"/>
      <c r="AE140" s="720"/>
    </row>
    <row s="8844" customFormat="1" customHeight="1" ht="11.25">
      <c r="A141" s="1142"/>
      <c r="B141" s="1795"/>
      <c r="C141" s="1795"/>
      <c r="D141" s="505"/>
      <c r="K141" s="1316"/>
      <c r="L141" s="1795"/>
      <c r="M141" s="1795"/>
      <c r="N141" s="1316"/>
      <c r="O141" s="1316"/>
      <c r="P141" s="1316"/>
      <c r="Q141" s="1316"/>
      <c r="R141" s="1795"/>
      <c r="S141" s="1316"/>
      <c r="T141" s="1316"/>
      <c r="U141" s="698"/>
      <c r="V141" s="1316"/>
      <c r="W141" s="1316"/>
      <c r="X141" s="1316"/>
      <c r="Y141" s="1316"/>
      <c r="Z141" s="1316"/>
      <c r="AA141" s="1791"/>
      <c r="AB141" s="720"/>
      <c r="AC141" s="720"/>
      <c r="AD141" s="720"/>
      <c r="AE141" s="720"/>
    </row>
    <row s="8844" customFormat="1" customHeight="1" ht="11.25">
      <c r="A142" s="1142"/>
      <c r="B142" s="1795"/>
      <c r="C142" s="1795"/>
      <c r="D142" s="505"/>
      <c r="K142" s="1316"/>
      <c r="L142" s="1795"/>
      <c r="M142" s="1795"/>
      <c r="N142" s="1316"/>
      <c r="O142" s="1316"/>
      <c r="P142" s="1316"/>
      <c r="Q142" s="1316"/>
      <c r="R142" s="1795"/>
      <c r="S142" s="1316"/>
      <c r="T142" s="1316"/>
      <c r="U142" s="698"/>
      <c r="V142" s="1316"/>
      <c r="W142" s="1316"/>
      <c r="X142" s="1316"/>
      <c r="Y142" s="1316"/>
      <c r="Z142" s="1316"/>
      <c r="AA142" s="1791"/>
      <c r="AB142" s="720"/>
      <c r="AC142" s="720"/>
      <c r="AD142" s="720"/>
      <c r="AE142" s="720"/>
    </row>
    <row s="8844" customFormat="1" customHeight="1" ht="11.25">
      <c r="A143" s="1142"/>
      <c r="B143" s="1795"/>
      <c r="C143" s="1795"/>
      <c r="D143" s="505"/>
      <c r="K143" s="1316"/>
      <c r="L143" s="1795"/>
      <c r="M143" s="1795"/>
      <c r="N143" s="1316"/>
      <c r="O143" s="1316"/>
      <c r="P143" s="1316"/>
      <c r="Q143" s="1316"/>
      <c r="R143" s="1795"/>
      <c r="S143" s="1316"/>
      <c r="T143" s="1316"/>
      <c r="U143" s="698"/>
      <c r="V143" s="1316"/>
      <c r="W143" s="1316"/>
      <c r="X143" s="1316"/>
      <c r="Y143" s="1316"/>
      <c r="Z143" s="1316"/>
      <c r="AA143" s="1791"/>
      <c r="AB143" s="720"/>
      <c r="AC143" s="720"/>
      <c r="AD143" s="720"/>
      <c r="AE143" s="720"/>
    </row>
    <row s="8844" customFormat="1" customHeight="1" ht="11.25">
      <c r="A144" s="1142"/>
      <c r="B144" s="1795"/>
      <c r="C144" s="1795"/>
      <c r="D144" s="505"/>
      <c r="K144" s="1316"/>
      <c r="L144" s="1795"/>
      <c r="M144" s="1795"/>
      <c r="N144" s="1316"/>
      <c r="O144" s="1316"/>
      <c r="P144" s="1316"/>
      <c r="Q144" s="1316"/>
      <c r="R144" s="1795"/>
      <c r="S144" s="1316"/>
      <c r="T144" s="1316"/>
      <c r="U144" s="698"/>
      <c r="V144" s="1316"/>
      <c r="W144" s="1316"/>
      <c r="X144" s="1316"/>
      <c r="Y144" s="1316"/>
      <c r="Z144" s="1316"/>
      <c r="AA144" s="1791"/>
      <c r="AB144" s="720"/>
      <c r="AC144" s="720"/>
      <c r="AD144" s="720"/>
      <c r="AE144" s="720"/>
    </row>
    <row s="8844" customFormat="1" customHeight="1" ht="11.25">
      <c r="A145" s="1142"/>
      <c r="B145" s="1795"/>
      <c r="C145" s="1795"/>
      <c r="D145" s="505"/>
      <c r="K145" s="1316"/>
      <c r="L145" s="1795"/>
      <c r="M145" s="1795"/>
      <c r="N145" s="1316"/>
      <c r="O145" s="1316"/>
      <c r="P145" s="1316"/>
      <c r="Q145" s="1316"/>
      <c r="R145" s="1795"/>
      <c r="S145" s="1316"/>
      <c r="T145" s="1316"/>
      <c r="U145" s="698"/>
      <c r="V145" s="1316"/>
      <c r="W145" s="1316"/>
      <c r="X145" s="1316"/>
      <c r="Y145" s="1316"/>
      <c r="Z145" s="1316"/>
      <c r="AA145" s="1791"/>
      <c r="AB145" s="720"/>
      <c r="AC145" s="720"/>
      <c r="AD145" s="720"/>
      <c r="AE145" s="720"/>
    </row>
    <row s="8844" customFormat="1" customHeight="1" ht="11.25">
      <c r="A146" s="1142"/>
      <c r="B146" s="1795"/>
      <c r="C146" s="1795"/>
      <c r="D146" s="505"/>
      <c r="K146" s="1316"/>
      <c r="L146" s="1795"/>
      <c r="M146" s="1795"/>
      <c r="N146" s="1316"/>
      <c r="O146" s="1316"/>
      <c r="P146" s="1316"/>
      <c r="Q146" s="1316"/>
      <c r="R146" s="1795"/>
      <c r="S146" s="1316"/>
      <c r="T146" s="1316"/>
      <c r="U146" s="698"/>
      <c r="V146" s="1316"/>
      <c r="W146" s="1316"/>
      <c r="X146" s="1316"/>
      <c r="Y146" s="1316"/>
      <c r="Z146" s="1316"/>
      <c r="AA146" s="1791"/>
      <c r="AB146" s="720"/>
      <c r="AC146" s="720"/>
      <c r="AD146" s="720"/>
      <c r="AE146" s="720"/>
    </row>
    <row s="8844" customFormat="1" customHeight="1" ht="11.25">
      <c r="A147" s="1142"/>
      <c r="B147" s="1795"/>
      <c r="C147" s="1795"/>
      <c r="D147" s="505"/>
      <c r="K147" s="1316"/>
      <c r="L147" s="1795"/>
      <c r="M147" s="1795"/>
      <c r="N147" s="1316"/>
      <c r="O147" s="1316"/>
      <c r="P147" s="1316"/>
      <c r="Q147" s="1316"/>
      <c r="R147" s="1795"/>
      <c r="S147" s="1316"/>
      <c r="T147" s="1316"/>
      <c r="U147" s="698"/>
      <c r="V147" s="1316"/>
      <c r="W147" s="1316"/>
      <c r="X147" s="1316"/>
      <c r="Y147" s="1316"/>
      <c r="Z147" s="1316"/>
      <c r="AA147" s="1791"/>
      <c r="AB147" s="720"/>
      <c r="AC147" s="720"/>
      <c r="AD147" s="720"/>
      <c r="AE147" s="720"/>
    </row>
    <row s="8844" customFormat="1" customHeight="1" ht="11.25">
      <c r="A148" s="1142"/>
      <c r="B148" s="1795"/>
      <c r="C148" s="1795"/>
      <c r="D148" s="505"/>
      <c r="K148" s="1316"/>
      <c r="L148" s="1795"/>
      <c r="M148" s="1795"/>
      <c r="N148" s="1316"/>
      <c r="O148" s="1316"/>
      <c r="P148" s="1316"/>
      <c r="Q148" s="1316"/>
      <c r="R148" s="1795"/>
      <c r="S148" s="1316"/>
      <c r="T148" s="1316"/>
      <c r="U148" s="698"/>
      <c r="V148" s="1316"/>
      <c r="W148" s="1316"/>
      <c r="X148" s="1316"/>
      <c r="Y148" s="1316"/>
      <c r="Z148" s="1316"/>
      <c r="AA148" s="1791"/>
      <c r="AB148" s="720"/>
      <c r="AC148" s="720"/>
      <c r="AD148" s="720"/>
      <c r="AE148" s="720"/>
    </row>
    <row s="8844" customFormat="1" customHeight="1" ht="11.25">
      <c r="A149" s="1142"/>
      <c r="B149" s="1795"/>
      <c r="C149" s="1795"/>
      <c r="D149" s="505"/>
      <c r="K149" s="1316"/>
      <c r="L149" s="1795"/>
      <c r="M149" s="1795"/>
      <c r="N149" s="1316"/>
      <c r="O149" s="1316"/>
      <c r="P149" s="1316"/>
      <c r="Q149" s="1316"/>
      <c r="R149" s="1795"/>
      <c r="S149" s="1316"/>
      <c r="T149" s="1316"/>
      <c r="U149" s="698"/>
      <c r="V149" s="1316"/>
      <c r="W149" s="1316"/>
      <c r="X149" s="1316"/>
      <c r="Y149" s="1316"/>
      <c r="Z149" s="1316"/>
      <c r="AA149" s="1791"/>
      <c r="AB149" s="720"/>
      <c r="AC149" s="720"/>
      <c r="AD149" s="720"/>
      <c r="AE149" s="720"/>
    </row>
    <row s="8844" customFormat="1" customHeight="1" ht="11.25">
      <c r="A150" s="1142"/>
      <c r="B150" s="1795"/>
      <c r="C150" s="1795"/>
      <c r="D150" s="505"/>
      <c r="K150" s="1316"/>
      <c r="L150" s="1795"/>
      <c r="M150" s="1795"/>
      <c r="N150" s="1316"/>
      <c r="O150" s="1316"/>
      <c r="P150" s="1316"/>
      <c r="Q150" s="1316"/>
      <c r="R150" s="1795"/>
      <c r="S150" s="1316"/>
      <c r="T150" s="1316"/>
      <c r="U150" s="698"/>
      <c r="V150" s="1316"/>
      <c r="W150" s="1316"/>
      <c r="X150" s="1316"/>
      <c r="Y150" s="1316"/>
      <c r="Z150" s="1316"/>
      <c r="AA150" s="1791"/>
      <c r="AB150" s="720"/>
      <c r="AC150" s="720"/>
      <c r="AD150" s="720"/>
      <c r="AE150" s="720"/>
    </row>
    <row s="8844" customFormat="1" customHeight="1" ht="11.25">
      <c r="A151" s="1142"/>
      <c r="B151" s="1795"/>
      <c r="C151" s="1795"/>
      <c r="D151" s="505"/>
      <c r="K151" s="1316"/>
      <c r="L151" s="1795"/>
      <c r="M151" s="1795"/>
      <c r="N151" s="1316"/>
      <c r="O151" s="1316"/>
      <c r="P151" s="1316"/>
      <c r="Q151" s="1316"/>
      <c r="R151" s="1795"/>
      <c r="S151" s="1316"/>
      <c r="T151" s="1316"/>
      <c r="U151" s="698"/>
      <c r="V151" s="1316"/>
      <c r="W151" s="1316"/>
      <c r="X151" s="1316"/>
      <c r="Y151" s="1316"/>
      <c r="Z151" s="1316"/>
      <c r="AA151" s="1791"/>
      <c r="AB151" s="720"/>
      <c r="AC151" s="720"/>
      <c r="AD151" s="720"/>
      <c r="AE151" s="720"/>
    </row>
    <row s="8844" customFormat="1" customHeight="1" ht="11.25">
      <c r="A152" s="1142"/>
      <c r="B152" s="1795"/>
      <c r="C152" s="1795"/>
      <c r="D152" s="505"/>
      <c r="K152" s="1316"/>
      <c r="L152" s="1795"/>
      <c r="M152" s="1795"/>
      <c r="N152" s="1316"/>
      <c r="O152" s="1316"/>
      <c r="P152" s="1316"/>
      <c r="Q152" s="1316"/>
      <c r="R152" s="1795"/>
      <c r="S152" s="1316"/>
      <c r="T152" s="1316"/>
      <c r="U152" s="698"/>
      <c r="V152" s="1316"/>
      <c r="W152" s="1316"/>
      <c r="X152" s="1316"/>
      <c r="Y152" s="1316"/>
      <c r="Z152" s="1316"/>
      <c r="AA152" s="1791"/>
      <c r="AB152" s="720"/>
      <c r="AC152" s="720"/>
      <c r="AD152" s="720"/>
      <c r="AE152" s="720"/>
    </row>
    <row s="8844" customFormat="1" customHeight="1" ht="11.25">
      <c r="A153" s="1142"/>
      <c r="B153" s="1795"/>
      <c r="C153" s="1795"/>
      <c r="D153" s="505"/>
      <c r="K153" s="1316"/>
      <c r="L153" s="1795"/>
      <c r="M153" s="1795"/>
      <c r="N153" s="1316"/>
      <c r="O153" s="1316"/>
      <c r="P153" s="1316"/>
      <c r="Q153" s="1316"/>
      <c r="R153" s="1795"/>
      <c r="S153" s="1316"/>
      <c r="T153" s="1316"/>
      <c r="U153" s="698"/>
      <c r="V153" s="1316"/>
      <c r="W153" s="1316"/>
      <c r="X153" s="1316"/>
      <c r="Y153" s="1316"/>
      <c r="Z153" s="1316"/>
      <c r="AA153" s="1791"/>
      <c r="AB153" s="720"/>
      <c r="AC153" s="720"/>
      <c r="AD153" s="720"/>
      <c r="AE153" s="720"/>
    </row>
    <row s="8844" customFormat="1" customHeight="1" ht="11.25">
      <c r="A154" s="1142"/>
      <c r="B154" s="1795"/>
      <c r="C154" s="1795"/>
      <c r="D154" s="505"/>
      <c r="K154" s="1316"/>
      <c r="L154" s="1795"/>
      <c r="M154" s="1795"/>
      <c r="N154" s="1316"/>
      <c r="O154" s="1316"/>
      <c r="P154" s="1316"/>
      <c r="Q154" s="1316"/>
      <c r="R154" s="1795"/>
      <c r="S154" s="1316"/>
      <c r="T154" s="1316"/>
      <c r="U154" s="698"/>
      <c r="V154" s="1316"/>
      <c r="W154" s="1316"/>
      <c r="X154" s="1316"/>
      <c r="Y154" s="1316"/>
      <c r="Z154" s="1316"/>
      <c r="AA154" s="1791"/>
      <c r="AB154" s="720"/>
      <c r="AC154" s="720"/>
      <c r="AD154" s="720"/>
      <c r="AE154" s="720"/>
    </row>
    <row s="8844" customFormat="1" customHeight="1" ht="11.25">
      <c r="A155" s="1142"/>
      <c r="B155" s="1795"/>
      <c r="C155" s="1795"/>
      <c r="D155" s="505"/>
      <c r="K155" s="1316"/>
      <c r="L155" s="1795"/>
      <c r="M155" s="1795"/>
      <c r="N155" s="1316"/>
      <c r="O155" s="1316"/>
      <c r="P155" s="1316"/>
      <c r="Q155" s="1316"/>
      <c r="R155" s="1795"/>
      <c r="S155" s="1316"/>
      <c r="T155" s="1316"/>
      <c r="U155" s="698"/>
      <c r="V155" s="1316"/>
      <c r="W155" s="1316"/>
      <c r="X155" s="1316"/>
      <c r="Y155" s="1316"/>
      <c r="Z155" s="1316"/>
      <c r="AA155" s="1791"/>
      <c r="AB155" s="720"/>
      <c r="AC155" s="720"/>
      <c r="AD155" s="720"/>
      <c r="AE155" s="720"/>
    </row>
    <row s="8844" customFormat="1" customHeight="1" ht="11.25">
      <c r="A156" s="1142"/>
      <c r="B156" s="1795"/>
      <c r="C156" s="1795"/>
      <c r="D156" s="505"/>
      <c r="K156" s="1316"/>
      <c r="L156" s="1795"/>
      <c r="M156" s="1795"/>
      <c r="N156" s="1316"/>
      <c r="O156" s="1316"/>
      <c r="P156" s="1316"/>
      <c r="Q156" s="1316"/>
      <c r="R156" s="1795"/>
      <c r="S156" s="1316"/>
      <c r="T156" s="1316"/>
      <c r="U156" s="698"/>
      <c r="V156" s="1316"/>
      <c r="W156" s="1316"/>
      <c r="X156" s="1316"/>
      <c r="Y156" s="1316"/>
      <c r="Z156" s="1316"/>
      <c r="AA156" s="1791"/>
      <c r="AB156" s="720"/>
      <c r="AC156" s="720"/>
      <c r="AD156" s="720"/>
      <c r="AE156" s="720"/>
    </row>
    <row s="8844" customFormat="1" customHeight="1" ht="11.25">
      <c r="A157" s="1142"/>
      <c r="B157" s="1795"/>
      <c r="C157" s="1795"/>
      <c r="D157" s="505"/>
      <c r="K157" s="1316"/>
      <c r="L157" s="1795"/>
      <c r="M157" s="1795"/>
      <c r="N157" s="1316"/>
      <c r="O157" s="1316"/>
      <c r="P157" s="1316"/>
      <c r="Q157" s="1316"/>
      <c r="R157" s="1795"/>
      <c r="S157" s="1316"/>
      <c r="T157" s="1316"/>
      <c r="U157" s="698"/>
      <c r="V157" s="1316"/>
      <c r="W157" s="1316"/>
      <c r="X157" s="1316"/>
      <c r="Y157" s="1316"/>
      <c r="Z157" s="1316"/>
      <c r="AA157" s="1791"/>
      <c r="AB157" s="720"/>
      <c r="AC157" s="720"/>
      <c r="AD157" s="720"/>
      <c r="AE157" s="720"/>
    </row>
    <row s="8844" customFormat="1" customHeight="1" ht="11.25">
      <c r="A158" s="1142"/>
      <c r="B158" s="1795"/>
      <c r="C158" s="1795"/>
      <c r="D158" s="505"/>
      <c r="K158" s="1316"/>
      <c r="L158" s="1795"/>
      <c r="M158" s="1795"/>
      <c r="N158" s="1316"/>
      <c r="O158" s="1316"/>
      <c r="P158" s="1316"/>
      <c r="Q158" s="1316"/>
      <c r="R158" s="1795"/>
      <c r="S158" s="1316"/>
      <c r="T158" s="1316"/>
      <c r="U158" s="698"/>
      <c r="V158" s="1316"/>
      <c r="W158" s="1316"/>
      <c r="X158" s="1316"/>
      <c r="Y158" s="1316"/>
      <c r="Z158" s="1316"/>
      <c r="AA158" s="1791"/>
      <c r="AB158" s="720"/>
      <c r="AC158" s="720"/>
      <c r="AD158" s="720"/>
      <c r="AE158" s="720"/>
    </row>
    <row s="8844" customFormat="1" customHeight="1" ht="11.25">
      <c r="A159" s="1142"/>
      <c r="B159" s="1795"/>
      <c r="C159" s="1795"/>
      <c r="D159" s="505"/>
      <c r="K159" s="1316"/>
      <c r="L159" s="1795"/>
      <c r="M159" s="1795"/>
      <c r="N159" s="1316"/>
      <c r="O159" s="1316"/>
      <c r="P159" s="1316"/>
      <c r="Q159" s="1316"/>
      <c r="R159" s="1795"/>
      <c r="S159" s="1316"/>
      <c r="T159" s="1316"/>
      <c r="U159" s="698"/>
      <c r="V159" s="1316"/>
      <c r="W159" s="1316"/>
      <c r="X159" s="1316"/>
      <c r="Y159" s="1316"/>
      <c r="Z159" s="1316"/>
      <c r="AA159" s="1791"/>
      <c r="AB159" s="720"/>
      <c r="AC159" s="720"/>
      <c r="AD159" s="720"/>
      <c r="AE159" s="720"/>
    </row>
    <row s="8844" customFormat="1" customHeight="1" ht="11.25">
      <c r="A160" s="1142"/>
      <c r="B160" s="1795"/>
      <c r="C160" s="1795"/>
      <c r="D160" s="505"/>
      <c r="K160" s="1316"/>
      <c r="L160" s="1795"/>
      <c r="M160" s="1795"/>
      <c r="N160" s="1316"/>
      <c r="O160" s="1316"/>
      <c r="P160" s="1316"/>
      <c r="Q160" s="1316"/>
      <c r="R160" s="1795"/>
      <c r="S160" s="1316"/>
      <c r="T160" s="1316"/>
      <c r="U160" s="698"/>
      <c r="V160" s="1316"/>
      <c r="W160" s="1316"/>
      <c r="X160" s="1316"/>
      <c r="Y160" s="1316"/>
      <c r="Z160" s="1316"/>
      <c r="AA160" s="1791"/>
      <c r="AB160" s="720"/>
      <c r="AC160" s="720"/>
      <c r="AD160" s="720"/>
      <c r="AE160" s="720"/>
    </row>
    <row s="8844" customFormat="1" customHeight="1" ht="11.25">
      <c r="A161" s="1142"/>
      <c r="B161" s="1795"/>
      <c r="C161" s="1795"/>
      <c r="D161" s="505"/>
      <c r="K161" s="1316"/>
      <c r="L161" s="1795"/>
      <c r="M161" s="1795"/>
      <c r="N161" s="1316"/>
      <c r="O161" s="1316"/>
      <c r="P161" s="1316"/>
      <c r="Q161" s="1316"/>
      <c r="R161" s="1795"/>
      <c r="S161" s="1316"/>
      <c r="T161" s="1316"/>
      <c r="U161" s="698"/>
      <c r="V161" s="1316"/>
      <c r="W161" s="1316"/>
      <c r="X161" s="1316"/>
      <c r="Y161" s="1316"/>
      <c r="Z161" s="1316"/>
      <c r="AA161" s="1791"/>
      <c r="AB161" s="720"/>
      <c r="AC161" s="720"/>
      <c r="AD161" s="720"/>
      <c r="AE161" s="720"/>
    </row>
    <row s="8844" customFormat="1" customHeight="1" ht="11.25">
      <c r="A162" s="1142"/>
      <c r="B162" s="1795"/>
      <c r="C162" s="1795"/>
      <c r="D162" s="505"/>
      <c r="K162" s="1316"/>
      <c r="L162" s="1795"/>
      <c r="M162" s="1795"/>
      <c r="N162" s="1316"/>
      <c r="O162" s="1316"/>
      <c r="P162" s="1316"/>
      <c r="Q162" s="1316"/>
      <c r="R162" s="1795"/>
      <c r="S162" s="1316"/>
      <c r="T162" s="1316"/>
      <c r="U162" s="698"/>
      <c r="V162" s="1316"/>
      <c r="W162" s="1316"/>
      <c r="X162" s="1316"/>
      <c r="Y162" s="1316"/>
      <c r="Z162" s="1316"/>
      <c r="AA162" s="1791"/>
      <c r="AB162" s="720"/>
      <c r="AC162" s="720"/>
      <c r="AD162" s="720"/>
      <c r="AE162" s="720"/>
    </row>
    <row s="8844" customFormat="1" customHeight="1" ht="11.25">
      <c r="A163" s="1142"/>
      <c r="B163" s="1795"/>
      <c r="C163" s="1795"/>
      <c r="D163" s="505"/>
      <c r="K163" s="1316"/>
      <c r="L163" s="1795"/>
      <c r="M163" s="1795"/>
      <c r="N163" s="1316"/>
      <c r="O163" s="1316"/>
      <c r="P163" s="1316"/>
      <c r="Q163" s="1316"/>
      <c r="R163" s="1795"/>
      <c r="S163" s="1316"/>
      <c r="T163" s="1316"/>
      <c r="U163" s="698"/>
      <c r="V163" s="1316"/>
      <c r="W163" s="1316"/>
      <c r="X163" s="1316"/>
      <c r="Y163" s="1316"/>
      <c r="Z163" s="1316"/>
      <c r="AA163" s="1791"/>
      <c r="AB163" s="720"/>
      <c r="AC163" s="720"/>
      <c r="AD163" s="720"/>
      <c r="AE163" s="720"/>
    </row>
    <row s="8844" customFormat="1" customHeight="1" ht="11.25">
      <c r="A164" s="1142"/>
      <c r="B164" s="1795"/>
      <c r="C164" s="1795"/>
      <c r="D164" s="505"/>
      <c r="K164" s="1316"/>
      <c r="L164" s="1795"/>
      <c r="M164" s="1795"/>
      <c r="N164" s="1316"/>
      <c r="O164" s="1316"/>
      <c r="P164" s="1316"/>
      <c r="Q164" s="1316"/>
      <c r="R164" s="1795"/>
      <c r="S164" s="1316"/>
      <c r="T164" s="1316"/>
      <c r="U164" s="698"/>
      <c r="V164" s="1316"/>
      <c r="W164" s="1316"/>
      <c r="X164" s="1316"/>
      <c r="Y164" s="1316"/>
      <c r="Z164" s="1316"/>
      <c r="AA164" s="1791"/>
      <c r="AB164" s="720"/>
      <c r="AC164" s="720"/>
      <c r="AD164" s="720"/>
      <c r="AE164" s="720"/>
    </row>
    <row s="8844" customFormat="1" customHeight="1" ht="11.25">
      <c r="A165" s="1142"/>
      <c r="B165" s="1795"/>
      <c r="C165" s="1795"/>
      <c r="D165" s="505"/>
      <c r="K165" s="1316"/>
      <c r="L165" s="1795"/>
      <c r="M165" s="1795"/>
      <c r="N165" s="1316"/>
      <c r="O165" s="1316"/>
      <c r="P165" s="1316"/>
      <c r="Q165" s="1316"/>
      <c r="R165" s="1795"/>
      <c r="S165" s="1316"/>
      <c r="T165" s="1316"/>
      <c r="U165" s="698"/>
      <c r="V165" s="1316"/>
      <c r="W165" s="1316"/>
      <c r="X165" s="1316"/>
      <c r="Y165" s="1316"/>
      <c r="Z165" s="1316"/>
      <c r="AA165" s="1791"/>
      <c r="AB165" s="720"/>
      <c r="AC165" s="720"/>
      <c r="AD165" s="720"/>
      <c r="AE165" s="720"/>
    </row>
    <row s="8844" customFormat="1" customHeight="1" ht="11.25">
      <c r="A166" s="1142"/>
      <c r="B166" s="1795"/>
      <c r="C166" s="1795"/>
      <c r="D166" s="505"/>
      <c r="K166" s="1316"/>
      <c r="L166" s="1795"/>
      <c r="M166" s="1795"/>
      <c r="N166" s="1316"/>
      <c r="O166" s="1316"/>
      <c r="P166" s="1316"/>
      <c r="Q166" s="1316"/>
      <c r="R166" s="1795"/>
      <c r="S166" s="1316"/>
      <c r="T166" s="1316"/>
      <c r="U166" s="698"/>
      <c r="V166" s="1316"/>
      <c r="W166" s="1316"/>
      <c r="X166" s="1316"/>
      <c r="Y166" s="1316"/>
      <c r="Z166" s="1316"/>
      <c r="AA166" s="1791"/>
      <c r="AB166" s="720"/>
      <c r="AC166" s="720"/>
      <c r="AD166" s="720"/>
      <c r="AE166" s="720"/>
    </row>
    <row s="8844" customFormat="1" customHeight="1" ht="11.25">
      <c r="A167" s="1142"/>
      <c r="B167" s="1795"/>
      <c r="C167" s="1795"/>
      <c r="D167" s="505"/>
      <c r="K167" s="1316"/>
      <c r="L167" s="1795"/>
      <c r="M167" s="1795"/>
      <c r="N167" s="1316"/>
      <c r="O167" s="1316"/>
      <c r="P167" s="1316"/>
      <c r="Q167" s="1316"/>
      <c r="R167" s="1795"/>
      <c r="S167" s="1316"/>
      <c r="T167" s="1316"/>
      <c r="U167" s="698"/>
      <c r="V167" s="1316"/>
      <c r="W167" s="1316"/>
      <c r="X167" s="1316"/>
      <c r="Y167" s="1316"/>
      <c r="Z167" s="1316"/>
      <c r="AA167" s="1791"/>
      <c r="AB167" s="720"/>
      <c r="AC167" s="720"/>
      <c r="AD167" s="720"/>
      <c r="AE167" s="720"/>
    </row>
    <row s="8844" customFormat="1" customHeight="1" ht="11.25">
      <c r="A168" s="1142"/>
      <c r="B168" s="1795"/>
      <c r="C168" s="1795"/>
      <c r="D168" s="505"/>
      <c r="K168" s="1316"/>
      <c r="L168" s="1795"/>
      <c r="M168" s="1795"/>
      <c r="N168" s="1316"/>
      <c r="O168" s="1316"/>
      <c r="P168" s="1316"/>
      <c r="Q168" s="1316"/>
      <c r="R168" s="1795"/>
      <c r="S168" s="1316"/>
      <c r="T168" s="1316"/>
      <c r="U168" s="698"/>
      <c r="V168" s="1316"/>
      <c r="W168" s="1316"/>
      <c r="X168" s="1316"/>
      <c r="Y168" s="1316"/>
      <c r="Z168" s="1316"/>
      <c r="AA168" s="1791"/>
      <c r="AB168" s="720"/>
      <c r="AC168" s="720"/>
      <c r="AD168" s="720"/>
      <c r="AE168" s="720"/>
    </row>
    <row s="8844" customFormat="1" customHeight="1" ht="11.25">
      <c r="A169" s="1142"/>
      <c r="B169" s="1795"/>
      <c r="C169" s="1795"/>
      <c r="D169" s="505"/>
      <c r="K169" s="1316"/>
      <c r="L169" s="1795"/>
      <c r="M169" s="1795"/>
      <c r="N169" s="1316"/>
      <c r="O169" s="1316"/>
      <c r="P169" s="1316"/>
      <c r="Q169" s="1316"/>
      <c r="R169" s="1795"/>
      <c r="S169" s="1316"/>
      <c r="T169" s="1316"/>
      <c r="U169" s="698"/>
      <c r="V169" s="1316"/>
      <c r="W169" s="1316"/>
      <c r="X169" s="1316"/>
      <c r="Y169" s="1316"/>
      <c r="Z169" s="1316"/>
      <c r="AA169" s="1791"/>
      <c r="AB169" s="720"/>
      <c r="AC169" s="720"/>
      <c r="AD169" s="720"/>
      <c r="AE169" s="720"/>
    </row>
    <row s="8844" customFormat="1" customHeight="1" ht="11.25">
      <c r="A170" s="1142"/>
      <c r="B170" s="1795"/>
      <c r="C170" s="1795"/>
      <c r="D170" s="505"/>
      <c r="K170" s="1316"/>
      <c r="L170" s="1795"/>
      <c r="M170" s="1795"/>
      <c r="N170" s="1316"/>
      <c r="O170" s="1316"/>
      <c r="P170" s="1316"/>
      <c r="Q170" s="1316"/>
      <c r="R170" s="1795"/>
      <c r="S170" s="1316"/>
      <c r="T170" s="1316"/>
      <c r="U170" s="698"/>
      <c r="V170" s="1316"/>
      <c r="W170" s="1316"/>
      <c r="X170" s="1316"/>
      <c r="Y170" s="1316"/>
      <c r="Z170" s="1316"/>
      <c r="AA170" s="1791"/>
      <c r="AB170" s="720"/>
      <c r="AC170" s="720"/>
      <c r="AD170" s="720"/>
      <c r="AE170" s="720"/>
    </row>
    <row s="8844" customFormat="1" customHeight="1" ht="11.25">
      <c r="A171" s="1142"/>
      <c r="B171" s="1795"/>
      <c r="C171" s="1795"/>
      <c r="D171" s="505"/>
      <c r="K171" s="1316"/>
      <c r="L171" s="1795"/>
      <c r="M171" s="1795"/>
      <c r="N171" s="1316"/>
      <c r="O171" s="1316"/>
      <c r="P171" s="1316"/>
      <c r="Q171" s="1316"/>
      <c r="R171" s="1795"/>
      <c r="S171" s="1316"/>
      <c r="T171" s="1316"/>
      <c r="U171" s="698"/>
      <c r="V171" s="1316"/>
      <c r="W171" s="1316"/>
      <c r="X171" s="1316"/>
      <c r="Y171" s="1316"/>
      <c r="Z171" s="1316"/>
      <c r="AA171" s="1791"/>
      <c r="AB171" s="720"/>
      <c r="AC171" s="720"/>
      <c r="AD171" s="720"/>
      <c r="AE171" s="720"/>
    </row>
    <row s="8844" customFormat="1" customHeight="1" ht="11.25">
      <c r="A172" s="1142"/>
      <c r="B172" s="1795"/>
      <c r="C172" s="1795"/>
      <c r="D172" s="505"/>
      <c r="K172" s="1316"/>
      <c r="L172" s="1795"/>
      <c r="M172" s="1795"/>
      <c r="N172" s="1316"/>
      <c r="O172" s="1316"/>
      <c r="P172" s="1316"/>
      <c r="Q172" s="1316"/>
      <c r="R172" s="1795"/>
      <c r="S172" s="1316"/>
      <c r="T172" s="1316"/>
      <c r="U172" s="698"/>
      <c r="V172" s="1316"/>
      <c r="W172" s="1316"/>
      <c r="X172" s="1316"/>
      <c r="Y172" s="1316"/>
      <c r="Z172" s="1316"/>
      <c r="AA172" s="1791"/>
      <c r="AB172" s="720"/>
      <c r="AC172" s="720"/>
      <c r="AD172" s="720"/>
      <c r="AE172" s="720"/>
    </row>
    <row s="8844" customFormat="1" customHeight="1" ht="11.25">
      <c r="A173" s="1142"/>
      <c r="B173" s="1795"/>
      <c r="C173" s="1795"/>
      <c r="D173" s="505"/>
      <c r="K173" s="1316"/>
      <c r="L173" s="1795"/>
      <c r="M173" s="1795"/>
      <c r="N173" s="1316"/>
      <c r="O173" s="1316"/>
      <c r="P173" s="1316"/>
      <c r="Q173" s="1316"/>
      <c r="R173" s="1795"/>
      <c r="S173" s="1316"/>
      <c r="T173" s="1316"/>
      <c r="U173" s="698"/>
      <c r="V173" s="1316"/>
      <c r="W173" s="1316"/>
      <c r="X173" s="1316"/>
      <c r="Y173" s="1316"/>
      <c r="Z173" s="1316"/>
      <c r="AA173" s="1791"/>
      <c r="AB173" s="720"/>
      <c r="AC173" s="720"/>
      <c r="AD173" s="720"/>
      <c r="AE173" s="720"/>
    </row>
    <row s="8844" customFormat="1" customHeight="1" ht="11.25">
      <c r="A174" s="1142"/>
      <c r="B174" s="1795"/>
      <c r="C174" s="1795"/>
      <c r="D174" s="505"/>
      <c r="K174" s="1316"/>
      <c r="L174" s="1795"/>
      <c r="M174" s="1795"/>
      <c r="N174" s="1316"/>
      <c r="O174" s="1316"/>
      <c r="P174" s="1316"/>
      <c r="Q174" s="1316"/>
      <c r="R174" s="1795"/>
      <c r="S174" s="1316"/>
      <c r="T174" s="1316"/>
      <c r="U174" s="698"/>
      <c r="V174" s="1316"/>
      <c r="W174" s="1316"/>
      <c r="X174" s="1316"/>
      <c r="Y174" s="1316"/>
      <c r="Z174" s="1316"/>
      <c r="AA174" s="1791"/>
      <c r="AB174" s="720"/>
      <c r="AC174" s="720"/>
      <c r="AD174" s="720"/>
      <c r="AE174" s="720"/>
    </row>
    <row s="8844" customFormat="1" customHeight="1" ht="11.25">
      <c r="A175" s="1142"/>
      <c r="B175" s="1795"/>
      <c r="C175" s="1795"/>
      <c r="D175" s="505"/>
      <c r="K175" s="1316"/>
      <c r="L175" s="1795"/>
      <c r="M175" s="1795"/>
      <c r="N175" s="1316"/>
      <c r="O175" s="1316"/>
      <c r="P175" s="1316"/>
      <c r="Q175" s="1316"/>
      <c r="R175" s="1795"/>
      <c r="S175" s="1316"/>
      <c r="T175" s="1316"/>
      <c r="U175" s="698"/>
      <c r="V175" s="1316"/>
      <c r="W175" s="1316"/>
      <c r="X175" s="1316"/>
      <c r="Y175" s="1316"/>
      <c r="Z175" s="1316"/>
      <c r="AA175" s="1791"/>
      <c r="AB175" s="720"/>
      <c r="AC175" s="720"/>
      <c r="AD175" s="720"/>
      <c r="AE175" s="720"/>
    </row>
    <row s="8844" customFormat="1" customHeight="1" ht="11.25">
      <c r="A176" s="1142"/>
      <c r="B176" s="1795"/>
      <c r="C176" s="1795"/>
      <c r="D176" s="505"/>
      <c r="K176" s="1316"/>
      <c r="L176" s="1795"/>
      <c r="M176" s="1795"/>
      <c r="N176" s="1316"/>
      <c r="O176" s="1316"/>
      <c r="P176" s="1316"/>
      <c r="Q176" s="1316"/>
      <c r="R176" s="1795"/>
      <c r="S176" s="1316"/>
      <c r="T176" s="1316"/>
      <c r="U176" s="698"/>
      <c r="V176" s="1316"/>
      <c r="W176" s="1316"/>
      <c r="X176" s="1316"/>
      <c r="Y176" s="1316"/>
      <c r="Z176" s="1316"/>
      <c r="AA176" s="1791"/>
      <c r="AB176" s="720"/>
      <c r="AC176" s="720"/>
      <c r="AD176" s="720"/>
      <c r="AE176" s="720"/>
    </row>
    <row s="8844" customFormat="1" customHeight="1" ht="11.25">
      <c r="A177" s="1142"/>
      <c r="B177" s="1795"/>
      <c r="C177" s="1795"/>
      <c r="D177" s="505"/>
      <c r="K177" s="1316"/>
      <c r="L177" s="1795"/>
      <c r="M177" s="1795"/>
      <c r="N177" s="1316"/>
      <c r="O177" s="1316"/>
      <c r="P177" s="1316"/>
      <c r="Q177" s="1316"/>
      <c r="R177" s="1795"/>
      <c r="S177" s="1316"/>
      <c r="T177" s="1316"/>
      <c r="U177" s="698"/>
      <c r="V177" s="1316"/>
      <c r="W177" s="1316"/>
      <c r="X177" s="1316"/>
      <c r="Y177" s="1316"/>
      <c r="Z177" s="1316"/>
      <c r="AA177" s="1791"/>
      <c r="AB177" s="720"/>
      <c r="AC177" s="720"/>
      <c r="AD177" s="720"/>
      <c r="AE177" s="720"/>
    </row>
    <row s="8844" customFormat="1" customHeight="1" ht="11.25">
      <c r="A178" s="1142"/>
      <c r="B178" s="1795"/>
      <c r="C178" s="1795"/>
      <c r="D178" s="505"/>
      <c r="K178" s="1316"/>
      <c r="L178" s="1795"/>
      <c r="M178" s="1795"/>
      <c r="N178" s="1316"/>
      <c r="O178" s="1316"/>
      <c r="P178" s="1316"/>
      <c r="Q178" s="1316"/>
      <c r="R178" s="1795"/>
      <c r="S178" s="1316"/>
      <c r="T178" s="1316"/>
      <c r="U178" s="698"/>
      <c r="V178" s="1316"/>
      <c r="W178" s="1316"/>
      <c r="X178" s="1316"/>
      <c r="Y178" s="1316"/>
      <c r="Z178" s="1316"/>
      <c r="AA178" s="1791"/>
      <c r="AB178" s="720"/>
      <c r="AC178" s="720"/>
      <c r="AD178" s="720"/>
      <c r="AE178" s="720"/>
    </row>
    <row s="8844" customFormat="1" customHeight="1" ht="11.25">
      <c r="A179" s="1142"/>
      <c r="B179" s="1795"/>
      <c r="C179" s="1795"/>
      <c r="D179" s="505"/>
      <c r="K179" s="1316"/>
      <c r="L179" s="1795"/>
      <c r="M179" s="1795"/>
      <c r="N179" s="1316"/>
      <c r="O179" s="1316"/>
      <c r="P179" s="1316"/>
      <c r="Q179" s="1316"/>
      <c r="R179" s="1795"/>
      <c r="S179" s="1316"/>
      <c r="T179" s="1316"/>
      <c r="U179" s="698"/>
      <c r="V179" s="1316"/>
      <c r="W179" s="1316"/>
      <c r="X179" s="1316"/>
      <c r="Y179" s="1316"/>
      <c r="Z179" s="1316"/>
      <c r="AA179" s="1791"/>
      <c r="AB179" s="720"/>
      <c r="AC179" s="720"/>
      <c r="AD179" s="720"/>
      <c r="AE179" s="720"/>
    </row>
    <row s="8844" customFormat="1" customHeight="1" ht="11.25">
      <c r="A180" s="1142"/>
      <c r="B180" s="1795"/>
      <c r="C180" s="1795"/>
      <c r="D180" s="505"/>
      <c r="K180" s="1316"/>
      <c r="L180" s="1795"/>
      <c r="M180" s="1795"/>
      <c r="N180" s="1316"/>
      <c r="O180" s="1316"/>
      <c r="P180" s="1316"/>
      <c r="Q180" s="1316"/>
      <c r="R180" s="1795"/>
      <c r="S180" s="1316"/>
      <c r="T180" s="1316"/>
      <c r="U180" s="698"/>
      <c r="V180" s="1316"/>
      <c r="W180" s="1316"/>
      <c r="X180" s="1316"/>
      <c r="Y180" s="1316"/>
      <c r="Z180" s="1316"/>
      <c r="AA180" s="1791"/>
      <c r="AB180" s="720"/>
      <c r="AC180" s="720"/>
      <c r="AD180" s="720"/>
      <c r="AE180" s="720"/>
    </row>
    <row s="8844" customFormat="1" customHeight="1" ht="11.25">
      <c r="A181" s="1142"/>
      <c r="B181" s="1795"/>
      <c r="C181" s="1795"/>
      <c r="D181" s="505"/>
      <c r="K181" s="1316"/>
      <c r="L181" s="1795"/>
      <c r="M181" s="1795"/>
      <c r="N181" s="1316"/>
      <c r="O181" s="1316"/>
      <c r="P181" s="1316"/>
      <c r="Q181" s="1316"/>
      <c r="R181" s="1795"/>
      <c r="S181" s="1316"/>
      <c r="T181" s="1316"/>
      <c r="U181" s="698"/>
      <c r="V181" s="1316"/>
      <c r="W181" s="1316"/>
      <c r="X181" s="1316"/>
      <c r="Y181" s="1316"/>
      <c r="Z181" s="1316"/>
      <c r="AA181" s="1791"/>
      <c r="AB181" s="720"/>
      <c r="AC181" s="720"/>
      <c r="AD181" s="720"/>
      <c r="AE181" s="720"/>
    </row>
    <row s="8844" customFormat="1" customHeight="1" ht="11.25">
      <c r="A182" s="1142"/>
      <c r="B182" s="1795"/>
      <c r="C182" s="1795"/>
      <c r="D182" s="505"/>
      <c r="K182" s="1316"/>
      <c r="L182" s="1795"/>
      <c r="M182" s="1795"/>
      <c r="N182" s="1316"/>
      <c r="O182" s="1316"/>
      <c r="P182" s="1316"/>
      <c r="Q182" s="1316"/>
      <c r="R182" s="1795"/>
      <c r="S182" s="1316"/>
      <c r="T182" s="1316"/>
      <c r="U182" s="698"/>
      <c r="V182" s="1316"/>
      <c r="W182" s="1316"/>
      <c r="X182" s="1316"/>
      <c r="Y182" s="1316"/>
      <c r="Z182" s="1316"/>
      <c r="AA182" s="1791"/>
      <c r="AB182" s="720"/>
      <c r="AC182" s="720"/>
      <c r="AD182" s="720"/>
      <c r="AE182" s="720"/>
    </row>
    <row s="8844" customFormat="1" customHeight="1" ht="11.25">
      <c r="A183" s="1142"/>
      <c r="B183" s="1795"/>
      <c r="C183" s="1795"/>
      <c r="D183" s="505"/>
      <c r="K183" s="1316"/>
      <c r="L183" s="1795"/>
      <c r="M183" s="1795"/>
      <c r="N183" s="1316"/>
      <c r="O183" s="1316"/>
      <c r="P183" s="1316"/>
      <c r="Q183" s="1316"/>
      <c r="R183" s="1795"/>
      <c r="S183" s="1316"/>
      <c r="T183" s="1316"/>
      <c r="U183" s="698"/>
      <c r="V183" s="1316"/>
      <c r="W183" s="1316"/>
      <c r="X183" s="1316"/>
      <c r="Y183" s="1316"/>
      <c r="Z183" s="1316"/>
      <c r="AA183" s="1791"/>
      <c r="AB183" s="720"/>
      <c r="AC183" s="720"/>
      <c r="AD183" s="720"/>
      <c r="AE183" s="720"/>
    </row>
    <row s="8844" customFormat="1" customHeight="1" ht="11.25">
      <c r="A184" s="1142"/>
      <c r="B184" s="1795"/>
      <c r="C184" s="1795"/>
      <c r="D184" s="505"/>
      <c r="K184" s="1316"/>
      <c r="L184" s="1795"/>
      <c r="M184" s="1795"/>
      <c r="N184" s="1316"/>
      <c r="O184" s="1316"/>
      <c r="P184" s="1316"/>
      <c r="Q184" s="1316"/>
      <c r="R184" s="1795"/>
      <c r="S184" s="1316"/>
      <c r="T184" s="1316"/>
      <c r="U184" s="698"/>
      <c r="V184" s="1316"/>
      <c r="W184" s="1316"/>
      <c r="X184" s="1316"/>
      <c r="Y184" s="1316"/>
      <c r="Z184" s="1316"/>
      <c r="AA184" s="1791"/>
      <c r="AB184" s="720"/>
      <c r="AC184" s="720"/>
      <c r="AD184" s="720"/>
      <c r="AE184" s="720"/>
    </row>
    <row s="8844" customFormat="1" customHeight="1" ht="11.25">
      <c r="A185" s="1142"/>
      <c r="B185" s="1795"/>
      <c r="C185" s="1795"/>
      <c r="D185" s="505"/>
      <c r="K185" s="1316"/>
      <c r="L185" s="1795"/>
      <c r="M185" s="1795"/>
      <c r="N185" s="1316"/>
      <c r="O185" s="1316"/>
      <c r="P185" s="1316"/>
      <c r="Q185" s="1316"/>
      <c r="R185" s="1795"/>
      <c r="S185" s="1316"/>
      <c r="T185" s="1316"/>
      <c r="U185" s="698"/>
      <c r="V185" s="1316"/>
      <c r="W185" s="1316"/>
      <c r="X185" s="1316"/>
      <c r="Y185" s="1316"/>
      <c r="Z185" s="1316"/>
      <c r="AA185" s="1791"/>
      <c r="AB185" s="720"/>
      <c r="AC185" s="720"/>
      <c r="AD185" s="720"/>
      <c r="AE185" s="720"/>
    </row>
    <row s="8844" customFormat="1" customHeight="1" ht="11.25">
      <c r="A186" s="1142"/>
      <c r="B186" s="1795"/>
      <c r="C186" s="1795"/>
      <c r="D186" s="505"/>
      <c r="K186" s="1316"/>
      <c r="L186" s="1795"/>
      <c r="M186" s="1795"/>
      <c r="N186" s="1316"/>
      <c r="O186" s="1316"/>
      <c r="P186" s="1316"/>
      <c r="Q186" s="1316"/>
      <c r="R186" s="1795"/>
      <c r="S186" s="1316"/>
      <c r="T186" s="1316"/>
      <c r="U186" s="698"/>
      <c r="V186" s="1316"/>
      <c r="W186" s="1316"/>
      <c r="X186" s="1316"/>
      <c r="Y186" s="1316"/>
      <c r="Z186" s="1316"/>
      <c r="AA186" s="1791"/>
      <c r="AB186" s="720"/>
      <c r="AC186" s="720"/>
      <c r="AD186" s="720"/>
      <c r="AE186" s="720"/>
    </row>
    <row s="8844" customFormat="1" customHeight="1" ht="11.25">
      <c r="A187" s="1142"/>
      <c r="B187" s="1795"/>
      <c r="C187" s="1795"/>
      <c r="D187" s="505"/>
      <c r="K187" s="1316"/>
      <c r="L187" s="1795"/>
      <c r="M187" s="1795"/>
      <c r="N187" s="1316"/>
      <c r="O187" s="1316"/>
      <c r="P187" s="1316"/>
      <c r="Q187" s="1316"/>
      <c r="R187" s="1795"/>
      <c r="S187" s="1316"/>
      <c r="T187" s="1316"/>
      <c r="U187" s="698"/>
      <c r="V187" s="1316"/>
      <c r="W187" s="1316"/>
      <c r="X187" s="1316"/>
      <c r="Y187" s="1316"/>
      <c r="Z187" s="1316"/>
      <c r="AA187" s="1791"/>
      <c r="AB187" s="720"/>
      <c r="AC187" s="720"/>
      <c r="AD187" s="720"/>
      <c r="AE187" s="720"/>
    </row>
    <row s="8844" customFormat="1" customHeight="1" ht="11.25">
      <c r="A188" s="1142"/>
      <c r="B188" s="1795"/>
      <c r="C188" s="1795"/>
      <c r="D188" s="505"/>
      <c r="K188" s="1316"/>
      <c r="L188" s="1795"/>
      <c r="M188" s="1795"/>
      <c r="N188" s="1316"/>
      <c r="O188" s="1316"/>
      <c r="P188" s="1316"/>
      <c r="Q188" s="1316"/>
      <c r="R188" s="1795"/>
      <c r="S188" s="1316"/>
      <c r="T188" s="1316"/>
      <c r="U188" s="698"/>
      <c r="V188" s="1316"/>
      <c r="W188" s="1316"/>
      <c r="X188" s="1316"/>
      <c r="Y188" s="1316"/>
      <c r="Z188" s="1316"/>
      <c r="AA188" s="1791"/>
      <c r="AB188" s="720"/>
      <c r="AC188" s="720"/>
      <c r="AD188" s="720"/>
      <c r="AE188" s="720"/>
    </row>
    <row s="8844" customFormat="1" customHeight="1" ht="11.25">
      <c r="A189" s="1142"/>
      <c r="B189" s="1795"/>
      <c r="C189" s="1795"/>
      <c r="D189" s="505"/>
      <c r="K189" s="1316"/>
      <c r="L189" s="1795"/>
      <c r="M189" s="1795"/>
      <c r="N189" s="1316"/>
      <c r="O189" s="1316"/>
      <c r="P189" s="1316"/>
      <c r="Q189" s="1316"/>
      <c r="R189" s="1795"/>
      <c r="S189" s="1316"/>
      <c r="T189" s="1316"/>
      <c r="U189" s="698"/>
      <c r="V189" s="1316"/>
      <c r="W189" s="1316"/>
      <c r="X189" s="1316"/>
      <c r="Y189" s="1316"/>
      <c r="Z189" s="1316"/>
      <c r="AA189" s="1791"/>
      <c r="AB189" s="720"/>
      <c r="AC189" s="720"/>
      <c r="AD189" s="720"/>
      <c r="AE189" s="720"/>
    </row>
    <row s="8844" customFormat="1" customHeight="1" ht="11.25">
      <c r="A190" s="1142"/>
      <c r="B190" s="1795"/>
      <c r="C190" s="1795"/>
      <c r="D190" s="505"/>
      <c r="K190" s="1316"/>
      <c r="L190" s="1795"/>
      <c r="M190" s="1795"/>
      <c r="N190" s="1316"/>
      <c r="O190" s="1316"/>
      <c r="P190" s="1316"/>
      <c r="Q190" s="1316"/>
      <c r="R190" s="1795"/>
      <c r="S190" s="1316"/>
      <c r="T190" s="1316"/>
      <c r="U190" s="698"/>
      <c r="V190" s="1316"/>
      <c r="W190" s="1316"/>
      <c r="X190" s="1316"/>
      <c r="Y190" s="1316"/>
      <c r="Z190" s="1316"/>
      <c r="AA190" s="1791"/>
      <c r="AB190" s="720"/>
      <c r="AC190" s="720"/>
      <c r="AD190" s="720"/>
      <c r="AE190" s="720"/>
    </row>
    <row s="8844" customFormat="1" customHeight="1" ht="11.25">
      <c r="A191" s="1142"/>
      <c r="B191" s="1795"/>
      <c r="C191" s="1795"/>
      <c r="D191" s="505"/>
      <c r="K191" s="1316"/>
      <c r="L191" s="1795"/>
      <c r="M191" s="1795"/>
      <c r="N191" s="1316"/>
      <c r="O191" s="1316"/>
      <c r="P191" s="1316"/>
      <c r="Q191" s="1316"/>
      <c r="R191" s="1795"/>
      <c r="S191" s="1316"/>
      <c r="T191" s="1316"/>
      <c r="U191" s="698"/>
      <c r="V191" s="1316"/>
      <c r="W191" s="1316"/>
      <c r="X191" s="1316"/>
      <c r="Y191" s="1316"/>
      <c r="Z191" s="1316"/>
      <c r="AA191" s="1791"/>
      <c r="AB191" s="720"/>
      <c r="AC191" s="720"/>
      <c r="AD191" s="720"/>
      <c r="AE191" s="720"/>
    </row>
    <row s="8844" customFormat="1" customHeight="1" ht="11.25">
      <c r="A192" s="1142"/>
      <c r="B192" s="1795"/>
      <c r="C192" s="1795"/>
      <c r="D192" s="505"/>
      <c r="K192" s="1316"/>
      <c r="L192" s="1795"/>
      <c r="M192" s="1795"/>
      <c r="N192" s="1316"/>
      <c r="O192" s="1316"/>
      <c r="P192" s="1316"/>
      <c r="Q192" s="1316"/>
      <c r="R192" s="1795"/>
      <c r="S192" s="1316"/>
      <c r="T192" s="1316"/>
      <c r="U192" s="698"/>
      <c r="V192" s="1316"/>
      <c r="W192" s="1316"/>
      <c r="X192" s="1316"/>
      <c r="Y192" s="1316"/>
      <c r="Z192" s="1316"/>
      <c r="AA192" s="1791"/>
      <c r="AB192" s="720"/>
      <c r="AC192" s="720"/>
      <c r="AD192" s="720"/>
      <c r="AE192" s="720"/>
    </row>
    <row s="8844" customFormat="1" customHeight="1" ht="11.25">
      <c r="A193" s="1142"/>
      <c r="B193" s="1795"/>
      <c r="C193" s="1795"/>
      <c r="D193" s="505"/>
      <c r="K193" s="1316"/>
      <c r="L193" s="1795"/>
      <c r="M193" s="1795"/>
      <c r="N193" s="1316"/>
      <c r="O193" s="1316"/>
      <c r="P193" s="1316"/>
      <c r="Q193" s="1316"/>
      <c r="R193" s="1795"/>
      <c r="S193" s="1316"/>
      <c r="T193" s="1316"/>
      <c r="U193" s="698"/>
      <c r="V193" s="1316"/>
      <c r="W193" s="1316"/>
      <c r="X193" s="1316"/>
      <c r="Y193" s="1316"/>
      <c r="Z193" s="1316"/>
      <c r="AA193" s="1791"/>
      <c r="AB193" s="720"/>
      <c r="AC193" s="720"/>
      <c r="AD193" s="720"/>
      <c r="AE193" s="720"/>
    </row>
    <row s="8844" customFormat="1" customHeight="1" ht="11.25">
      <c r="A194" s="1142"/>
      <c r="B194" s="1795"/>
      <c r="C194" s="1795"/>
      <c r="D194" s="505"/>
      <c r="K194" s="1316"/>
      <c r="L194" s="1795"/>
      <c r="M194" s="1795"/>
      <c r="N194" s="1316"/>
      <c r="O194" s="1316"/>
      <c r="P194" s="1316"/>
      <c r="Q194" s="1316"/>
      <c r="R194" s="1795"/>
      <c r="S194" s="1316"/>
      <c r="T194" s="1316"/>
      <c r="U194" s="698"/>
      <c r="V194" s="1316"/>
      <c r="W194" s="1316"/>
      <c r="X194" s="1316"/>
      <c r="Y194" s="1316"/>
      <c r="Z194" s="1316"/>
      <c r="AA194" s="1791"/>
      <c r="AB194" s="720"/>
      <c r="AC194" s="720"/>
      <c r="AD194" s="720"/>
      <c r="AE194" s="720"/>
    </row>
    <row s="8844" customFormat="1" customHeight="1" ht="11.25">
      <c r="A195" s="1142"/>
      <c r="B195" s="1795"/>
      <c r="C195" s="1795"/>
      <c r="D195" s="505"/>
      <c r="K195" s="1316"/>
      <c r="L195" s="1795"/>
      <c r="M195" s="1795"/>
      <c r="N195" s="1316"/>
      <c r="O195" s="1316"/>
      <c r="P195" s="1316"/>
      <c r="Q195" s="1316"/>
      <c r="R195" s="1795"/>
      <c r="S195" s="1316"/>
      <c r="T195" s="1316"/>
      <c r="U195" s="698"/>
      <c r="V195" s="1316"/>
      <c r="W195" s="1316"/>
      <c r="X195" s="1316"/>
      <c r="Y195" s="1316"/>
      <c r="Z195" s="1316"/>
      <c r="AA195" s="1791"/>
      <c r="AB195" s="720"/>
      <c r="AC195" s="720"/>
      <c r="AD195" s="720"/>
      <c r="AE195" s="720"/>
    </row>
    <row r="199" customHeight="1" ht="11.25">
      <c r="A199" s="1145"/>
      <c r="B199" s="1790"/>
      <c r="D199" s="1790"/>
      <c r="K199" s="1790"/>
      <c r="N199" s="1790"/>
      <c r="O199" s="1790"/>
      <c r="P199" s="1790"/>
      <c r="Q199" s="1790"/>
      <c r="S199" s="1790"/>
      <c r="T199" s="1790"/>
      <c r="U199" s="1790"/>
      <c r="V199" s="1790"/>
      <c r="W199" s="1790"/>
      <c r="X199" s="1790"/>
      <c r="Y199" s="1790"/>
      <c r="Z199" s="1790"/>
      <c r="AA199" s="1790"/>
      <c r="AB199" s="1790"/>
      <c r="AC199" s="1790"/>
      <c r="AD199" s="1790"/>
      <c r="AE199" s="1790"/>
    </row>
    <row customHeight="1" ht="11.25">
      <c r="A200" s="1145"/>
      <c r="B200" s="1790"/>
      <c r="D200" s="1790"/>
      <c r="K200" s="1790"/>
      <c r="N200" s="1790"/>
      <c r="O200" s="1790"/>
      <c r="P200" s="1790"/>
      <c r="Q200" s="1790"/>
      <c r="S200" s="1790"/>
      <c r="T200" s="1790"/>
      <c r="U200" s="1790"/>
      <c r="V200" s="1790"/>
      <c r="W200" s="1790"/>
      <c r="X200" s="1790"/>
      <c r="Y200" s="1790"/>
      <c r="Z200" s="1790"/>
      <c r="AA200" s="1790"/>
      <c r="AB200" s="1790"/>
      <c r="AC200" s="1790"/>
      <c r="AD200" s="1790"/>
      <c r="AE200" s="1790"/>
    </row>
    <row customHeight="1" ht="11.25">
      <c r="A201" s="1145"/>
      <c r="B201" s="1790"/>
      <c r="D201" s="1790"/>
      <c r="K201" s="1790"/>
      <c r="N201" s="1790"/>
      <c r="O201" s="1790"/>
      <c r="P201" s="1790"/>
      <c r="Q201" s="1790"/>
      <c r="S201" s="1790"/>
      <c r="T201" s="1790"/>
      <c r="U201" s="1790"/>
      <c r="V201" s="1790"/>
      <c r="W201" s="1790"/>
      <c r="X201" s="1790"/>
      <c r="Y201" s="1790"/>
      <c r="Z201" s="1790"/>
      <c r="AA201" s="1790"/>
      <c r="AB201" s="1790"/>
      <c r="AC201" s="1790"/>
      <c r="AD201" s="1790"/>
      <c r="AE201" s="1790"/>
    </row>
    <row customHeight="1" ht="11.25">
      <c r="A202" s="1145"/>
      <c r="B202" s="1790"/>
      <c r="D202" s="1790"/>
      <c r="K202" s="1790"/>
      <c r="N202" s="1790"/>
      <c r="O202" s="1790"/>
      <c r="P202" s="1790"/>
      <c r="Q202" s="1790"/>
      <c r="S202" s="1790"/>
      <c r="T202" s="1790"/>
      <c r="U202" s="1790"/>
      <c r="V202" s="1790"/>
      <c r="W202" s="1790"/>
      <c r="X202" s="1790"/>
      <c r="Y202" s="1790"/>
      <c r="Z202" s="1790"/>
      <c r="AA202" s="1790"/>
      <c r="AB202" s="1790"/>
      <c r="AC202" s="1790"/>
      <c r="AD202" s="1790"/>
      <c r="AE202" s="1790"/>
    </row>
    <row customHeight="1" ht="11.25">
      <c r="A203" s="1145"/>
      <c r="B203" s="1790"/>
      <c r="D203" s="1790"/>
      <c r="K203" s="1790"/>
      <c r="N203" s="1790"/>
      <c r="O203" s="1790"/>
      <c r="P203" s="1790"/>
      <c r="Q203" s="1790"/>
      <c r="S203" s="1790"/>
      <c r="T203" s="1790"/>
      <c r="U203" s="1790"/>
      <c r="V203" s="1790"/>
      <c r="W203" s="1790"/>
      <c r="X203" s="1790"/>
      <c r="Y203" s="1790"/>
      <c r="Z203" s="1790"/>
      <c r="AA203" s="1790"/>
      <c r="AB203" s="1790"/>
      <c r="AC203" s="1790"/>
      <c r="AD203" s="1790"/>
      <c r="AE203" s="1790"/>
    </row>
    <row customHeight="1" ht="11.25">
      <c r="A204" s="1145"/>
      <c r="B204" s="1790"/>
      <c r="D204" s="1790"/>
      <c r="K204" s="1790"/>
      <c r="N204" s="1790"/>
      <c r="O204" s="1790"/>
      <c r="P204" s="1790"/>
      <c r="Q204" s="1790"/>
      <c r="S204" s="1790"/>
      <c r="T204" s="1790"/>
      <c r="U204" s="1790"/>
      <c r="V204" s="1790"/>
      <c r="W204" s="1790"/>
      <c r="X204" s="1790"/>
      <c r="Y204" s="1790"/>
      <c r="Z204" s="1790"/>
      <c r="AA204" s="1790"/>
      <c r="AB204" s="1790"/>
      <c r="AC204" s="1790"/>
      <c r="AD204" s="1790"/>
      <c r="AE204" s="1790"/>
    </row>
    <row customHeight="1" ht="11.25">
      <c r="A205" s="1145"/>
      <c r="B205" s="1790"/>
      <c r="D205" s="1790"/>
      <c r="K205" s="1790"/>
      <c r="N205" s="1790"/>
      <c r="O205" s="1790"/>
      <c r="P205" s="1790"/>
      <c r="Q205" s="1790"/>
      <c r="S205" s="1790"/>
      <c r="T205" s="1790"/>
      <c r="U205" s="1790"/>
      <c r="V205" s="1790"/>
      <c r="W205" s="1790"/>
      <c r="X205" s="1790"/>
      <c r="Y205" s="1790"/>
      <c r="Z205" s="1790"/>
      <c r="AA205" s="1790"/>
      <c r="AB205" s="1790"/>
      <c r="AC205" s="1790"/>
      <c r="AD205" s="1790"/>
      <c r="AE205" s="1790"/>
    </row>
    <row customHeight="1" ht="11.25">
      <c r="A206" s="1145"/>
      <c r="B206" s="1790"/>
      <c r="D206" s="1790"/>
      <c r="K206" s="1790"/>
      <c r="N206" s="1790"/>
      <c r="O206" s="1790"/>
      <c r="P206" s="1790"/>
      <c r="Q206" s="1790"/>
      <c r="S206" s="1790"/>
      <c r="T206" s="1790"/>
      <c r="U206" s="1790"/>
      <c r="V206" s="1790"/>
      <c r="W206" s="1790"/>
      <c r="X206" s="1790"/>
      <c r="Y206" s="1790"/>
      <c r="Z206" s="1790"/>
      <c r="AA206" s="1790"/>
      <c r="AB206" s="1790"/>
      <c r="AC206" s="1790"/>
      <c r="AD206" s="1790"/>
      <c r="AE206" s="1790"/>
    </row>
    <row customHeight="1" ht="11.25">
      <c r="A207" s="1145"/>
      <c r="B207" s="1790"/>
      <c r="D207" s="1790"/>
      <c r="K207" s="1790"/>
      <c r="N207" s="1790"/>
      <c r="O207" s="1790"/>
      <c r="P207" s="1790"/>
      <c r="Q207" s="1790"/>
      <c r="S207" s="1790"/>
      <c r="T207" s="1790"/>
      <c r="U207" s="1790"/>
      <c r="V207" s="1790"/>
      <c r="W207" s="1790"/>
      <c r="X207" s="1790"/>
      <c r="Y207" s="1790"/>
      <c r="Z207" s="1790"/>
      <c r="AA207" s="1790"/>
      <c r="AB207" s="1790"/>
      <c r="AC207" s="1790"/>
      <c r="AD207" s="1790"/>
      <c r="AE207" s="1790"/>
    </row>
    <row customHeight="1" ht="11.25">
      <c r="A208" s="1145"/>
      <c r="B208" s="1790"/>
      <c r="D208" s="1790"/>
      <c r="K208" s="1790"/>
      <c r="N208" s="1790"/>
      <c r="O208" s="1790"/>
      <c r="P208" s="1790"/>
      <c r="Q208" s="1790"/>
      <c r="S208" s="1790"/>
      <c r="T208" s="1790"/>
      <c r="U208" s="1790"/>
      <c r="V208" s="1790"/>
      <c r="W208" s="1790"/>
      <c r="X208" s="1790"/>
      <c r="Y208" s="1790"/>
      <c r="Z208" s="1790"/>
      <c r="AA208" s="1790"/>
      <c r="AB208" s="1790"/>
      <c r="AC208" s="1790"/>
      <c r="AD208" s="1790"/>
      <c r="AE208" s="1790"/>
    </row>
    <row customHeight="1" ht="11.25">
      <c r="A209" s="1145"/>
      <c r="B209" s="1790"/>
      <c r="D209" s="1790"/>
      <c r="K209" s="1790"/>
      <c r="N209" s="1790"/>
      <c r="O209" s="1790"/>
      <c r="P209" s="1790"/>
      <c r="Q209" s="1790"/>
      <c r="S209" s="1790"/>
      <c r="T209" s="1790"/>
      <c r="U209" s="1790"/>
      <c r="V209" s="1790"/>
      <c r="W209" s="1790"/>
      <c r="X209" s="1790"/>
      <c r="Y209" s="1790"/>
      <c r="Z209" s="1790"/>
      <c r="AA209" s="1790"/>
      <c r="AB209" s="1790"/>
      <c r="AC209" s="1790"/>
      <c r="AD209" s="1790"/>
      <c r="AE209" s="1790"/>
    </row>
  </sheetData>
  <sheetProtection formatColumns="0" formatRows="0" autoFilter="0" sort="0" insertRows="0" insertColumns="1" deleteRows="0" deleteColumns="0"/>
  <mergeCells count="9">
    <mergeCell ref="F39:J39"/>
    <mergeCell ref="F40:J40"/>
    <mergeCell ref="E6:I6"/>
    <mergeCell ref="E7:I7"/>
    <mergeCell ref="F10:G10"/>
    <mergeCell ref="J10:J14"/>
    <mergeCell ref="F11:G11"/>
    <mergeCell ref="F12:G12"/>
    <mergeCell ref="E13:G13"/>
  </mergeCells>
  <dataValidations count="5">
    <dataValidation type="decimal" allowBlank="1" showErrorMessage="1" errorTitle="Ошибка" error="Допускается ввод только действительных чисел!" sqref="H32:I34">
      <formula1>-9.99999999999999E+37</formula1>
      <formula2>9.99999999999999E+37</formula2>
    </dataValidation>
    <dataValidation type="decimal" allowBlank="1" showErrorMessage="1" errorTitle="Ошибка" error="Допускается ввод только действительных чисел!" sqref="H30:I30">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35:I35">
      <formula1>900</formula1>
    </dataValidation>
    <dataValidation type="decimal" allowBlank="1" showErrorMessage="1" errorTitle="Ошибка" error="Допускается ввод только неотрицательных чисел!" sqref="H31:I31 H2:I2 H15:I15 H17:I27 H36:I37">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28:I28">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3366E9D-3D4F-D1E1-219B-F2E9E2657293}" mc:Ignorable="x14ac xr xr2 xr3">
  <sheetPr>
    <tabColor theme="9" tint="-0.25"/>
  </sheetPr>
  <dimension ref="A1:W101"/>
  <sheetViews>
    <sheetView topLeftCell="A1" showGridLines="0" zoomScale="90" workbookViewId="0">
      <selection activeCell="A1" sqref="A1"/>
    </sheetView>
  </sheetViews>
  <sheetFormatPr defaultColWidth="10.57421875" customHeight="1" defaultRowHeight="11.25"/>
  <cols>
    <col min="1" max="1" style="9505" width="9.140625" hidden="1" customWidth="1"/>
    <col min="2" max="2" style="8794" width="3.57421875" hidden="1" customWidth="1"/>
    <col min="3" max="3" style="8576" width="3.7109375" customWidth="1"/>
    <col min="4" max="4" style="8576" width="7.7109375" customWidth="1"/>
    <col min="5" max="5" style="8576" width="69.8515625" customWidth="1"/>
    <col min="6" max="6" style="8576" width="11.140625" customWidth="1"/>
    <col min="7" max="8" style="8576" width="44.00390625" hidden="1" customWidth="1"/>
    <col min="9" max="10" style="8080" width="44.00390625" customWidth="1"/>
    <col min="11" max="11" style="8576" width="74.00390625" customWidth="1"/>
    <col min="12" max="12" style="8576" width="3.7109375" customWidth="1"/>
    <col min="13" max="23" style="8576" width="10.57421875"/>
  </cols>
  <sheetData>
    <row s="8081" customFormat="1" customHeight="1" ht="11.25" hidden="1">
      <c r="A1" s="690"/>
      <c r="B1" s="665"/>
      <c r="G1" s="571">
        <v>4</v>
      </c>
      <c r="I1" s="571">
        <v>4</v>
      </c>
      <c r="K1" s="571">
        <v>5</v>
      </c>
    </row>
    <row customHeight="1" ht="3"/>
    <row customHeight="1" ht="75">
      <c r="D3" s="2304" t="str">
        <f>KNE_NAME_FORM</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E3" s="2305"/>
      <c r="F3" s="2306"/>
    </row>
    <row s="8080" customFormat="1" customHeight="1" ht="20.25">
      <c r="A4" s="1106"/>
      <c r="B4" s="665"/>
      <c r="D4" s="2292" t="str">
        <f>IF(org=0,"Не определено",org)</f>
        <v>АО "Теплокоммунэнерго"</v>
      </c>
      <c r="E4" s="2293"/>
      <c r="F4" s="2294"/>
    </row>
    <row customHeight="1" ht="11.25">
      <c r="C5" s="663"/>
      <c r="D5" s="742"/>
      <c r="E5" s="742"/>
      <c r="F5" s="742"/>
      <c r="G5" s="742"/>
      <c r="H5" s="906"/>
      <c r="I5" s="742"/>
      <c r="J5" s="906"/>
      <c r="K5" s="742"/>
    </row>
    <row customHeight="1" ht="0.75">
      <c r="C6" s="663"/>
      <c r="D6" s="663"/>
      <c r="E6" s="676"/>
      <c r="F6" s="768"/>
      <c r="G6" s="1177"/>
      <c r="H6" s="1177"/>
      <c r="I6" s="1177" t="s">
        <v>114</v>
      </c>
      <c r="J6" s="1177"/>
    </row>
    <row customHeight="1" ht="11.25">
      <c r="D7" s="865"/>
      <c r="E7" s="2429" t="s">
        <v>102</v>
      </c>
      <c r="F7" s="2430"/>
      <c r="G7" s="2446" t="str">
        <f>IF(G6="","",INDEX(DIFFERENTIATION_UNMERGE_VD,MATCH(G6,DIFFERENTIATION_ID_DIFF,0)))</f>
        <v/>
      </c>
      <c r="H7" s="2447"/>
      <c r="I7" s="2446">
        <f>IF(I6="","",INDEX(DIFFERENTIATION_UNMERGE_VD,MATCH(I6,DIFFERENTIATION_ID_DIFF,0)))</f>
        <v>0</v>
      </c>
      <c r="J7" s="2447"/>
      <c r="K7" s="2242"/>
      <c r="L7" s="663"/>
    </row>
    <row customHeight="1" ht="11.25">
      <c r="A8" s="858"/>
      <c r="D8" s="865"/>
      <c r="E8" s="2429" t="s">
        <v>565</v>
      </c>
      <c r="F8" s="2430"/>
      <c r="G8" s="2446" t="str">
        <f>IF(G6="","",INDEX(DIFFERENTIATION_UNMERGE_AREA,MATCH(G6,DIFFERENTIATION_ID_DIFF,0)))</f>
        <v/>
      </c>
      <c r="H8" s="2447"/>
      <c r="I8" s="2446" t="str">
        <f>IF(I6="","",INDEX(DIFFERENTIATION_UNMERGE_AREA,MATCH(I6,DIFFERENTIATION_ID_DIFF,0)))</f>
        <v/>
      </c>
      <c r="J8" s="2447"/>
      <c r="K8" s="2250"/>
      <c r="L8" s="663"/>
    </row>
    <row customHeight="1" ht="11.25">
      <c r="A9" s="858"/>
      <c r="D9" s="865"/>
      <c r="E9" s="2429" t="s">
        <v>566</v>
      </c>
      <c r="F9" s="2430"/>
      <c r="G9" s="2446" t="str">
        <f>IF(G6="","",INDEX(DIFFERENTIATION_UNMERGE_SYSTEM,MATCH(G6,DIFFERENTIATION_ID_DIFF,0)))</f>
        <v/>
      </c>
      <c r="H9" s="2447"/>
      <c r="I9" s="2446" t="str">
        <f>IF(I6="","",INDEX(DIFFERENTIATION_UNMERGE_SYSTEM,MATCH(I6,DIFFERENTIATION_ID_DIFF,0)))</f>
        <v>без дифференциации</v>
      </c>
      <c r="J9" s="2447"/>
      <c r="K9" s="2250"/>
      <c r="L9" s="663"/>
    </row>
    <row s="8080" customFormat="1" customHeight="1" ht="11.25">
      <c r="A10" s="1176"/>
      <c r="B10" s="665"/>
      <c r="D10" s="2169" t="s">
        <v>300</v>
      </c>
      <c r="E10" s="2170"/>
      <c r="F10" s="2170"/>
      <c r="G10" s="2170"/>
      <c r="H10" s="2170"/>
      <c r="I10" s="2170"/>
      <c r="J10" s="2171"/>
      <c r="K10" s="2250"/>
      <c r="L10" s="663"/>
    </row>
    <row s="9347" customFormat="1" customHeight="1" ht="22.5">
      <c r="A11" s="2449"/>
      <c r="B11" s="2449"/>
      <c r="C11" s="811"/>
      <c r="D11" s="857" t="s">
        <v>85</v>
      </c>
      <c r="E11" s="859" t="s">
        <v>722</v>
      </c>
      <c r="F11" s="859" t="s">
        <v>567</v>
      </c>
      <c r="G11" s="619" t="s">
        <v>303</v>
      </c>
      <c r="H11" s="619" t="s">
        <v>390</v>
      </c>
      <c r="I11" s="961" t="s">
        <v>303</v>
      </c>
      <c r="J11" s="962" t="s">
        <v>390</v>
      </c>
      <c r="K11" s="2303"/>
      <c r="L11" s="812"/>
    </row>
    <row s="8794" customFormat="1" customHeight="1" ht="10.5">
      <c r="A12" s="1107"/>
      <c r="D12" s="1180" t="s">
        <v>106</v>
      </c>
      <c r="E12" s="1180" t="s">
        <v>107</v>
      </c>
      <c r="F12" s="1180" t="s">
        <v>87</v>
      </c>
      <c r="G12" s="1181" t="str">
        <f>G1&amp;".1"</f>
        <v>4.1</v>
      </c>
      <c r="H12" s="1181" t="str">
        <f>G1&amp;".2"</f>
        <v>4.2</v>
      </c>
      <c r="I12" s="1181" t="str">
        <f>I1&amp;".1"</f>
        <v>4.1</v>
      </c>
      <c r="J12" s="1181" t="str">
        <f>I1&amp;".2"</f>
        <v>4.2</v>
      </c>
      <c r="K12" s="1181"/>
    </row>
    <row customHeight="1" ht="22.5" hidden="1">
      <c r="A13" s="2448" t="s">
        <v>723</v>
      </c>
      <c r="D13" s="1108" t="s">
        <v>106</v>
      </c>
      <c r="E13" s="433" t="s">
        <v>724</v>
      </c>
      <c r="F13" s="814" t="s">
        <v>725</v>
      </c>
      <c r="G13" s="711"/>
      <c r="H13" s="815"/>
      <c r="I13" s="711"/>
      <c r="J13" s="815"/>
      <c r="K13" s="443" t="s">
        <v>726</v>
      </c>
      <c r="L13" s="874"/>
    </row>
    <row customHeight="1" ht="22.5" hidden="1">
      <c r="A14" s="2448"/>
      <c r="D14" s="693" t="s">
        <v>107</v>
      </c>
      <c r="E14" s="433" t="s">
        <v>727</v>
      </c>
      <c r="F14" s="814" t="s">
        <v>728</v>
      </c>
      <c r="G14" s="711"/>
      <c r="H14" s="816"/>
      <c r="I14" s="711"/>
      <c r="J14" s="816"/>
      <c r="K14" s="443" t="s">
        <v>729</v>
      </c>
      <c r="L14" s="874"/>
    </row>
    <row s="8080" customFormat="1" customHeight="1" ht="78.75" hidden="1">
      <c r="A15" s="2448"/>
      <c r="B15" s="665"/>
      <c r="D15" s="1108" t="s">
        <v>87</v>
      </c>
      <c r="E15" s="861" t="s">
        <v>730</v>
      </c>
      <c r="F15" s="1105" t="s">
        <v>306</v>
      </c>
      <c r="G15" s="1105" t="s">
        <v>306</v>
      </c>
      <c r="H15" s="261"/>
      <c r="I15" s="1105" t="s">
        <v>306</v>
      </c>
      <c r="J15" s="261"/>
      <c r="K15" s="443" t="s">
        <v>731</v>
      </c>
      <c r="L15" s="874"/>
    </row>
    <row s="8080" customFormat="1" customHeight="1" ht="22.5" hidden="1">
      <c r="A16" s="2448"/>
      <c r="B16" s="665"/>
      <c r="D16" s="1108" t="s">
        <v>324</v>
      </c>
      <c r="E16" s="1109" t="s">
        <v>732</v>
      </c>
      <c r="F16" s="1105" t="s">
        <v>733</v>
      </c>
      <c r="G16" s="971"/>
      <c r="H16" s="261"/>
      <c r="I16" s="971"/>
      <c r="J16" s="261"/>
      <c r="K16" s="443"/>
      <c r="L16" s="874"/>
    </row>
    <row s="8080" customFormat="1" customHeight="1" ht="22.5" hidden="1">
      <c r="A17" s="2448"/>
      <c r="B17" s="665"/>
      <c r="D17" s="1108" t="s">
        <v>332</v>
      </c>
      <c r="E17" s="1109" t="s">
        <v>734</v>
      </c>
      <c r="F17" s="1105" t="s">
        <v>735</v>
      </c>
      <c r="G17" s="971"/>
      <c r="H17" s="261"/>
      <c r="I17" s="971"/>
      <c r="J17" s="261"/>
      <c r="K17" s="443"/>
      <c r="L17" s="874"/>
    </row>
    <row s="8080" customFormat="1" customHeight="1" ht="33.75" hidden="1">
      <c r="A18" s="2448"/>
      <c r="B18" s="665"/>
      <c r="D18" s="1108" t="s">
        <v>334</v>
      </c>
      <c r="E18" s="1109" t="s">
        <v>736</v>
      </c>
      <c r="F18" s="1105" t="s">
        <v>572</v>
      </c>
      <c r="G18" s="834"/>
      <c r="H18" s="261"/>
      <c r="I18" s="834"/>
      <c r="J18" s="261"/>
      <c r="K18" s="443"/>
      <c r="L18" s="874"/>
    </row>
    <row customHeight="1" ht="101.25" hidden="1">
      <c r="A19" s="2448"/>
      <c r="D19" s="1108" t="s">
        <v>88</v>
      </c>
      <c r="E19" s="433" t="s">
        <v>737</v>
      </c>
      <c r="F19" s="814" t="s">
        <v>547</v>
      </c>
      <c r="G19" s="817"/>
      <c r="H19" s="816"/>
      <c r="I19" s="1110"/>
      <c r="J19" s="816"/>
      <c r="K19" s="443" t="s">
        <v>738</v>
      </c>
      <c r="L19" s="874"/>
    </row>
    <row s="8080" customFormat="1" customHeight="1" ht="18.75" hidden="1">
      <c r="A20" s="2448"/>
      <c r="C20" s="1111"/>
      <c r="D20" s="1108" t="s">
        <v>668</v>
      </c>
      <c r="E20" s="1109" t="s">
        <v>739</v>
      </c>
      <c r="F20" s="1105" t="s">
        <v>306</v>
      </c>
      <c r="G20" s="1105" t="s">
        <v>306</v>
      </c>
      <c r="H20" s="1104" t="s">
        <v>306</v>
      </c>
      <c r="I20" s="1105" t="s">
        <v>306</v>
      </c>
      <c r="J20" s="1104" t="s">
        <v>306</v>
      </c>
      <c r="K20" s="1103"/>
      <c r="L20" s="874"/>
      <c r="W20" s="829"/>
    </row>
    <row s="8080" customFormat="1" customHeight="1" ht="33.75" hidden="1">
      <c r="A21" s="2448"/>
      <c r="C21" s="1111"/>
      <c r="D21" s="1108" t="s">
        <v>671</v>
      </c>
      <c r="E21" s="730" t="s">
        <v>740</v>
      </c>
      <c r="F21" s="1105" t="s">
        <v>741</v>
      </c>
      <c r="G21" s="1097"/>
      <c r="H21" s="261"/>
      <c r="I21" s="1097"/>
      <c r="J21" s="261"/>
      <c r="K21" s="1103"/>
      <c r="L21" s="874"/>
      <c r="W21" s="829"/>
    </row>
    <row s="8080" customFormat="1" customHeight="1" ht="33.75" hidden="1">
      <c r="A22" s="2448"/>
      <c r="C22" s="1111"/>
      <c r="D22" s="1108" t="s">
        <v>674</v>
      </c>
      <c r="E22" s="730" t="s">
        <v>742</v>
      </c>
      <c r="F22" s="1105" t="s">
        <v>743</v>
      </c>
      <c r="G22" s="1097"/>
      <c r="H22" s="261"/>
      <c r="I22" s="1097"/>
      <c r="J22" s="261"/>
      <c r="K22" s="1103"/>
      <c r="L22" s="874"/>
      <c r="W22" s="829"/>
    </row>
    <row s="8080" customFormat="1" customHeight="1" ht="22.5" hidden="1">
      <c r="A23" s="2448"/>
      <c r="C23" s="1111"/>
      <c r="D23" s="1108" t="s">
        <v>711</v>
      </c>
      <c r="E23" s="1109" t="s">
        <v>744</v>
      </c>
      <c r="F23" s="1105" t="s">
        <v>306</v>
      </c>
      <c r="G23" s="1105" t="s">
        <v>306</v>
      </c>
      <c r="H23" s="1104" t="s">
        <v>306</v>
      </c>
      <c r="I23" s="1105" t="s">
        <v>306</v>
      </c>
      <c r="J23" s="1104" t="s">
        <v>306</v>
      </c>
      <c r="K23" s="1103"/>
      <c r="L23" s="874"/>
      <c r="W23" s="829"/>
    </row>
    <row s="8080" customFormat="1" customHeight="1" ht="22.5" hidden="1">
      <c r="A24" s="2448"/>
      <c r="C24" s="1111"/>
      <c r="D24" s="1108" t="s">
        <v>745</v>
      </c>
      <c r="E24" s="730" t="s">
        <v>746</v>
      </c>
      <c r="F24" s="1105" t="s">
        <v>747</v>
      </c>
      <c r="G24" s="1097"/>
      <c r="H24" s="840"/>
      <c r="I24" s="1097"/>
      <c r="J24" s="840"/>
      <c r="K24" s="1103"/>
      <c r="L24" s="874"/>
      <c r="W24" s="829"/>
    </row>
    <row s="8080" customFormat="1" customHeight="1" ht="22.5" hidden="1">
      <c r="A25" s="2448"/>
      <c r="C25" s="1111"/>
      <c r="D25" s="1108" t="s">
        <v>748</v>
      </c>
      <c r="E25" s="730" t="s">
        <v>749</v>
      </c>
      <c r="F25" s="1105" t="s">
        <v>306</v>
      </c>
      <c r="G25" s="1105" t="s">
        <v>306</v>
      </c>
      <c r="H25" s="1104" t="s">
        <v>306</v>
      </c>
      <c r="I25" s="1105" t="s">
        <v>306</v>
      </c>
      <c r="J25" s="1104" t="s">
        <v>306</v>
      </c>
      <c r="K25" s="1103"/>
      <c r="L25" s="874"/>
      <c r="W25" s="829"/>
    </row>
    <row s="8080" customFormat="1" customHeight="1" ht="18.75" hidden="1">
      <c r="A26" s="2448"/>
      <c r="C26" s="1111"/>
      <c r="D26" s="1108" t="s">
        <v>750</v>
      </c>
      <c r="E26" s="707" t="s">
        <v>751</v>
      </c>
      <c r="F26" s="1105" t="s">
        <v>752</v>
      </c>
      <c r="G26" s="834"/>
      <c r="H26" s="840"/>
      <c r="I26" s="834"/>
      <c r="J26" s="840"/>
      <c r="K26" s="1103"/>
      <c r="L26" s="874"/>
      <c r="W26" s="829"/>
    </row>
    <row s="8080" customFormat="1" customHeight="1" ht="18.75" hidden="1">
      <c r="A27" s="2448"/>
      <c r="C27" s="1111"/>
      <c r="D27" s="1108" t="s">
        <v>753</v>
      </c>
      <c r="E27" s="707" t="s">
        <v>754</v>
      </c>
      <c r="F27" s="1105" t="s">
        <v>755</v>
      </c>
      <c r="G27" s="834"/>
      <c r="H27" s="840"/>
      <c r="I27" s="834"/>
      <c r="J27" s="840"/>
      <c r="K27" s="1103"/>
      <c r="L27" s="874"/>
      <c r="W27" s="829"/>
    </row>
    <row s="8080" customFormat="1" customHeight="1" ht="18.75" hidden="1">
      <c r="A28" s="2448"/>
      <c r="C28" s="1111"/>
      <c r="D28" s="1108" t="s">
        <v>756</v>
      </c>
      <c r="E28" s="730" t="s">
        <v>757</v>
      </c>
      <c r="F28" s="1105" t="s">
        <v>306</v>
      </c>
      <c r="G28" s="1105" t="s">
        <v>306</v>
      </c>
      <c r="H28" s="1104" t="s">
        <v>306</v>
      </c>
      <c r="I28" s="1105" t="s">
        <v>306</v>
      </c>
      <c r="J28" s="1104" t="s">
        <v>306</v>
      </c>
      <c r="K28" s="1103"/>
      <c r="L28" s="874"/>
      <c r="W28" s="829"/>
    </row>
    <row s="8080" customFormat="1" customHeight="1" ht="18.75" hidden="1">
      <c r="A29" s="2448"/>
      <c r="C29" s="1111"/>
      <c r="D29" s="1108" t="s">
        <v>758</v>
      </c>
      <c r="E29" s="707" t="s">
        <v>751</v>
      </c>
      <c r="F29" s="1105" t="s">
        <v>759</v>
      </c>
      <c r="G29" s="834"/>
      <c r="H29" s="840"/>
      <c r="I29" s="834"/>
      <c r="J29" s="840"/>
      <c r="K29" s="1103"/>
      <c r="L29" s="874"/>
      <c r="W29" s="829"/>
    </row>
    <row s="8080" customFormat="1" customHeight="1" ht="18.75" hidden="1">
      <c r="A30" s="2448"/>
      <c r="C30" s="1111"/>
      <c r="D30" s="1108" t="s">
        <v>760</v>
      </c>
      <c r="E30" s="707" t="s">
        <v>761</v>
      </c>
      <c r="F30" s="1105" t="s">
        <v>762</v>
      </c>
      <c r="G30" s="834"/>
      <c r="H30" s="840"/>
      <c r="I30" s="834"/>
      <c r="J30" s="840"/>
      <c r="K30" s="1103"/>
      <c r="L30" s="874"/>
      <c r="W30" s="829"/>
    </row>
    <row customHeight="1" ht="126.75" hidden="1">
      <c r="A31" s="2448"/>
      <c r="D31" s="1108" t="s">
        <v>108</v>
      </c>
      <c r="E31" s="433" t="s">
        <v>763</v>
      </c>
      <c r="F31" s="814" t="s">
        <v>559</v>
      </c>
      <c r="G31" s="711"/>
      <c r="H31" s="816"/>
      <c r="I31" s="711"/>
      <c r="J31" s="816"/>
      <c r="K31" s="443" t="s">
        <v>764</v>
      </c>
      <c r="L31" s="874"/>
    </row>
    <row customHeight="1" ht="56.25" hidden="1">
      <c r="A32" s="2448"/>
      <c r="D32" s="1108" t="s">
        <v>89</v>
      </c>
      <c r="E32" s="433" t="s">
        <v>765</v>
      </c>
      <c r="F32" s="693" t="s">
        <v>735</v>
      </c>
      <c r="G32" s="711"/>
      <c r="H32" s="816"/>
      <c r="I32" s="711"/>
      <c r="J32" s="816"/>
      <c r="K32" s="443" t="s">
        <v>766</v>
      </c>
      <c r="L32" s="874"/>
    </row>
    <row customHeight="1" ht="11.25" hidden="1">
      <c r="A33" s="2448"/>
      <c r="E33" s="818"/>
      <c r="F33" s="336"/>
      <c r="G33" s="336"/>
      <c r="H33" s="336"/>
      <c r="I33" s="336"/>
      <c r="J33" s="336"/>
      <c r="K33" s="336"/>
    </row>
    <row customHeight="1" ht="12.75" hidden="1">
      <c r="A34" s="2448"/>
      <c r="D34" s="219">
        <v>1</v>
      </c>
      <c r="E34" s="489" t="s">
        <v>767</v>
      </c>
    </row>
    <row customHeight="1" ht="11.25" hidden="1">
      <c r="A35" s="2448"/>
      <c r="D35" s="523"/>
      <c r="E35" s="489" t="s">
        <v>768</v>
      </c>
    </row>
    <row s="9347" customFormat="1" customHeight="1" ht="11.25">
      <c r="A36" s="1188"/>
      <c r="B36" s="672"/>
      <c r="D36" s="1189"/>
      <c r="E36" s="1190"/>
    </row>
    <row s="8080" customFormat="1" customHeight="1" ht="22.5" hidden="1">
      <c r="A37" s="2448" t="s">
        <v>769</v>
      </c>
      <c r="B37" s="665"/>
      <c r="D37" s="1108">
        <v>1</v>
      </c>
      <c r="E37" s="861" t="s">
        <v>770</v>
      </c>
      <c r="F37" s="814" t="s">
        <v>725</v>
      </c>
      <c r="G37" s="711"/>
      <c r="H37" s="673"/>
      <c r="I37" s="711"/>
      <c r="J37" s="673"/>
      <c r="K37" s="443" t="s">
        <v>771</v>
      </c>
    </row>
    <row s="8080" customFormat="1" customHeight="1" ht="22.5" hidden="1">
      <c r="A38" s="2448"/>
      <c r="B38" s="665"/>
      <c r="D38" s="823" t="s">
        <v>107</v>
      </c>
      <c r="E38" s="1187" t="s">
        <v>772</v>
      </c>
      <c r="F38" s="1191" t="s">
        <v>547</v>
      </c>
      <c r="G38" s="1191" t="s">
        <v>547</v>
      </c>
      <c r="H38" s="1185"/>
      <c r="I38" s="1191" t="s">
        <v>547</v>
      </c>
      <c r="J38" s="1185"/>
      <c r="K38" s="1186"/>
    </row>
    <row s="8080" customFormat="1" customHeight="1" ht="33.75" hidden="1">
      <c r="A39" s="2448"/>
      <c r="B39" s="665"/>
      <c r="D39" s="819" t="s">
        <v>626</v>
      </c>
      <c r="E39" s="877" t="s">
        <v>773</v>
      </c>
      <c r="F39" s="814" t="s">
        <v>774</v>
      </c>
      <c r="G39" s="822"/>
      <c r="H39" s="1178"/>
      <c r="I39" s="822"/>
      <c r="J39" s="1178"/>
      <c r="K39" s="443" t="s">
        <v>775</v>
      </c>
    </row>
    <row s="8080" customFormat="1" customHeight="1" ht="33.75" hidden="1">
      <c r="A40" s="2448"/>
      <c r="B40" s="665"/>
      <c r="D40" s="819" t="s">
        <v>629</v>
      </c>
      <c r="E40" s="877" t="s">
        <v>776</v>
      </c>
      <c r="F40" s="1182" t="s">
        <v>777</v>
      </c>
      <c r="G40" s="895"/>
      <c r="H40" s="1178"/>
      <c r="I40" s="895"/>
      <c r="J40" s="1178"/>
      <c r="K40" s="443" t="s">
        <v>778</v>
      </c>
    </row>
    <row s="8080" customFormat="1" customHeight="1" ht="22.5" hidden="1">
      <c r="A41" s="2448"/>
      <c r="B41" s="665"/>
      <c r="D41" s="819" t="s">
        <v>87</v>
      </c>
      <c r="E41" s="876" t="s">
        <v>779</v>
      </c>
      <c r="F41" s="814" t="s">
        <v>547</v>
      </c>
      <c r="G41" s="814" t="s">
        <v>547</v>
      </c>
      <c r="H41" s="1179"/>
      <c r="I41" s="814" t="s">
        <v>547</v>
      </c>
      <c r="J41" s="1179"/>
      <c r="K41" s="456"/>
    </row>
    <row s="8080" customFormat="1" customHeight="1" ht="45" hidden="1">
      <c r="A42" s="2448"/>
      <c r="B42" s="665"/>
      <c r="D42" s="819" t="s">
        <v>324</v>
      </c>
      <c r="E42" s="877" t="s">
        <v>780</v>
      </c>
      <c r="F42" s="814" t="s">
        <v>559</v>
      </c>
      <c r="G42" s="711"/>
      <c r="H42" s="1179"/>
      <c r="I42" s="711"/>
      <c r="J42" s="1179"/>
      <c r="K42" s="456" t="s">
        <v>781</v>
      </c>
    </row>
    <row s="8080" customFormat="1" customHeight="1" ht="45" hidden="1">
      <c r="A43" s="2448"/>
      <c r="B43" s="665"/>
      <c r="D43" s="819" t="s">
        <v>332</v>
      </c>
      <c r="E43" s="821" t="s">
        <v>782</v>
      </c>
      <c r="F43" s="1183" t="s">
        <v>559</v>
      </c>
      <c r="G43" s="896"/>
      <c r="H43" s="1178"/>
      <c r="I43" s="896"/>
      <c r="J43" s="1178"/>
      <c r="K43" s="456" t="s">
        <v>783</v>
      </c>
    </row>
    <row s="8080" customFormat="1" customHeight="1" ht="11.25" hidden="1">
      <c r="A44" s="2448"/>
      <c r="B44" s="665"/>
      <c r="D44" s="819" t="s">
        <v>88</v>
      </c>
      <c r="E44" s="820" t="s">
        <v>784</v>
      </c>
      <c r="F44" s="814" t="s">
        <v>774</v>
      </c>
      <c r="G44" s="822"/>
      <c r="H44" s="1178"/>
      <c r="I44" s="822"/>
      <c r="J44" s="1178"/>
      <c r="K44" s="443"/>
    </row>
    <row s="8080" customFormat="1" customHeight="1" ht="11.25" hidden="1">
      <c r="A45" s="2448"/>
      <c r="B45" s="665"/>
      <c r="D45" s="819" t="s">
        <v>668</v>
      </c>
      <c r="E45" s="821" t="s">
        <v>785</v>
      </c>
      <c r="F45" s="814" t="s">
        <v>774</v>
      </c>
      <c r="G45" s="822"/>
      <c r="H45" s="1178"/>
      <c r="I45" s="822"/>
      <c r="J45" s="1178"/>
      <c r="K45" s="443"/>
    </row>
    <row s="8080" customFormat="1" customHeight="1" ht="11.25" hidden="1">
      <c r="A46" s="2448"/>
      <c r="B46" s="665"/>
      <c r="D46" s="819" t="s">
        <v>711</v>
      </c>
      <c r="E46" s="821" t="s">
        <v>786</v>
      </c>
      <c r="F46" s="814" t="s">
        <v>774</v>
      </c>
      <c r="G46" s="822"/>
      <c r="H46" s="1178"/>
      <c r="I46" s="822"/>
      <c r="J46" s="1178"/>
      <c r="K46" s="443"/>
    </row>
    <row s="8080" customFormat="1" customHeight="1" ht="11.25" hidden="1">
      <c r="A47" s="2448"/>
      <c r="B47" s="665"/>
      <c r="D47" s="819" t="s">
        <v>714</v>
      </c>
      <c r="E47" s="821" t="s">
        <v>787</v>
      </c>
      <c r="F47" s="814" t="s">
        <v>774</v>
      </c>
      <c r="G47" s="822"/>
      <c r="H47" s="1178"/>
      <c r="I47" s="822"/>
      <c r="J47" s="1178"/>
      <c r="K47" s="443"/>
    </row>
    <row s="8080" customFormat="1" customHeight="1" ht="11.25" hidden="1">
      <c r="A48" s="2448"/>
      <c r="B48" s="665"/>
      <c r="D48" s="819" t="s">
        <v>788</v>
      </c>
      <c r="E48" s="825" t="s">
        <v>789</v>
      </c>
      <c r="F48" s="814" t="s">
        <v>774</v>
      </c>
      <c r="G48" s="822"/>
      <c r="H48" s="1178"/>
      <c r="I48" s="822"/>
      <c r="J48" s="1178"/>
      <c r="K48" s="443"/>
    </row>
    <row s="8080" customFormat="1" customHeight="1" ht="11.25" hidden="1">
      <c r="A49" s="2448"/>
      <c r="B49" s="665"/>
      <c r="D49" s="819" t="s">
        <v>790</v>
      </c>
      <c r="E49" s="825" t="s">
        <v>791</v>
      </c>
      <c r="F49" s="814" t="s">
        <v>774</v>
      </c>
      <c r="G49" s="822"/>
      <c r="H49" s="1178"/>
      <c r="I49" s="822"/>
      <c r="J49" s="1178"/>
      <c r="K49" s="443"/>
    </row>
    <row s="8080" customFormat="1" customHeight="1" ht="11.25" hidden="1">
      <c r="A50" s="2448"/>
      <c r="B50" s="665"/>
      <c r="D50" s="819" t="s">
        <v>792</v>
      </c>
      <c r="E50" s="821" t="s">
        <v>793</v>
      </c>
      <c r="F50" s="814" t="s">
        <v>774</v>
      </c>
      <c r="G50" s="822"/>
      <c r="H50" s="1178"/>
      <c r="I50" s="822"/>
      <c r="J50" s="1178"/>
      <c r="K50" s="443"/>
    </row>
    <row s="8080" customFormat="1" customHeight="1" ht="11.25" hidden="1">
      <c r="A51" s="2448"/>
      <c r="B51" s="665"/>
      <c r="D51" s="819" t="s">
        <v>794</v>
      </c>
      <c r="E51" s="821" t="s">
        <v>795</v>
      </c>
      <c r="F51" s="814" t="s">
        <v>774</v>
      </c>
      <c r="G51" s="822"/>
      <c r="H51" s="1178"/>
      <c r="I51" s="822"/>
      <c r="J51" s="1178"/>
      <c r="K51" s="443"/>
    </row>
    <row s="8080" customFormat="1" customHeight="1" ht="45" hidden="1">
      <c r="A52" s="2448"/>
      <c r="B52" s="665"/>
      <c r="D52" s="819" t="s">
        <v>108</v>
      </c>
      <c r="E52" s="820" t="s">
        <v>796</v>
      </c>
      <c r="F52" s="814" t="s">
        <v>774</v>
      </c>
      <c r="G52" s="822"/>
      <c r="H52" s="1178"/>
      <c r="I52" s="822"/>
      <c r="J52" s="1178"/>
      <c r="K52" s="443"/>
    </row>
    <row s="8080" customFormat="1" customHeight="1" ht="11.25" hidden="1">
      <c r="A53" s="2448"/>
      <c r="B53" s="665"/>
      <c r="D53" s="819" t="s">
        <v>313</v>
      </c>
      <c r="E53" s="821" t="s">
        <v>785</v>
      </c>
      <c r="F53" s="814" t="s">
        <v>774</v>
      </c>
      <c r="G53" s="822"/>
      <c r="H53" s="1178"/>
      <c r="I53" s="822"/>
      <c r="J53" s="1178"/>
      <c r="K53" s="443"/>
    </row>
    <row s="8080" customFormat="1" customHeight="1" ht="11.25" hidden="1">
      <c r="A54" s="2448"/>
      <c r="B54" s="665"/>
      <c r="D54" s="819" t="s">
        <v>797</v>
      </c>
      <c r="E54" s="821" t="s">
        <v>786</v>
      </c>
      <c r="F54" s="814" t="s">
        <v>774</v>
      </c>
      <c r="G54" s="822"/>
      <c r="H54" s="1178"/>
      <c r="I54" s="822"/>
      <c r="J54" s="1178"/>
      <c r="K54" s="443"/>
    </row>
    <row s="8080" customFormat="1" customHeight="1" ht="11.25" hidden="1">
      <c r="A55" s="2448"/>
      <c r="B55" s="665"/>
      <c r="D55" s="819" t="s">
        <v>798</v>
      </c>
      <c r="E55" s="821" t="s">
        <v>787</v>
      </c>
      <c r="F55" s="814" t="s">
        <v>774</v>
      </c>
      <c r="G55" s="822"/>
      <c r="H55" s="1178"/>
      <c r="I55" s="822"/>
      <c r="J55" s="1178"/>
      <c r="K55" s="443"/>
    </row>
    <row s="8080" customFormat="1" customHeight="1" ht="11.25" hidden="1">
      <c r="A56" s="2448"/>
      <c r="B56" s="665"/>
      <c r="D56" s="819" t="s">
        <v>799</v>
      </c>
      <c r="E56" s="825" t="s">
        <v>789</v>
      </c>
      <c r="F56" s="814" t="s">
        <v>774</v>
      </c>
      <c r="G56" s="822"/>
      <c r="H56" s="1178"/>
      <c r="I56" s="822"/>
      <c r="J56" s="1178"/>
      <c r="K56" s="443"/>
    </row>
    <row s="8080" customFormat="1" customHeight="1" ht="11.25" hidden="1">
      <c r="A57" s="2448"/>
      <c r="B57" s="665"/>
      <c r="D57" s="819" t="s">
        <v>800</v>
      </c>
      <c r="E57" s="825" t="s">
        <v>791</v>
      </c>
      <c r="F57" s="814" t="s">
        <v>774</v>
      </c>
      <c r="G57" s="822"/>
      <c r="H57" s="1178"/>
      <c r="I57" s="822"/>
      <c r="J57" s="1178"/>
      <c r="K57" s="443"/>
    </row>
    <row s="8080" customFormat="1" customHeight="1" ht="11.25" hidden="1">
      <c r="A58" s="2448"/>
      <c r="B58" s="665"/>
      <c r="D58" s="819" t="s">
        <v>801</v>
      </c>
      <c r="E58" s="821" t="s">
        <v>793</v>
      </c>
      <c r="F58" s="814" t="s">
        <v>774</v>
      </c>
      <c r="G58" s="822"/>
      <c r="H58" s="1178"/>
      <c r="I58" s="822"/>
      <c r="J58" s="1178"/>
      <c r="K58" s="443"/>
    </row>
    <row s="8080" customFormat="1" customHeight="1" ht="11.25" hidden="1">
      <c r="A59" s="2448"/>
      <c r="B59" s="665"/>
      <c r="D59" s="819" t="s">
        <v>802</v>
      </c>
      <c r="E59" s="821" t="s">
        <v>795</v>
      </c>
      <c r="F59" s="814" t="s">
        <v>774</v>
      </c>
      <c r="G59" s="822"/>
      <c r="H59" s="1178"/>
      <c r="I59" s="822"/>
      <c r="J59" s="1178"/>
      <c r="K59" s="443"/>
    </row>
    <row s="8080" customFormat="1" customHeight="1" ht="33.75" hidden="1">
      <c r="A60" s="2448"/>
      <c r="B60" s="665"/>
      <c r="D60" s="819" t="s">
        <v>89</v>
      </c>
      <c r="E60" s="820" t="s">
        <v>803</v>
      </c>
      <c r="F60" s="875" t="s">
        <v>559</v>
      </c>
      <c r="G60" s="896"/>
      <c r="H60" s="1178"/>
      <c r="I60" s="896"/>
      <c r="J60" s="1178"/>
      <c r="K60" s="456" t="s">
        <v>804</v>
      </c>
    </row>
    <row s="8080" customFormat="1" customHeight="1" ht="33.75" hidden="1">
      <c r="A61" s="2448"/>
      <c r="B61" s="665"/>
      <c r="D61" s="819" t="s">
        <v>90</v>
      </c>
      <c r="E61" s="820" t="s">
        <v>805</v>
      </c>
      <c r="F61" s="880" t="s">
        <v>735</v>
      </c>
      <c r="G61" s="822"/>
      <c r="H61" s="1178"/>
      <c r="I61" s="822"/>
      <c r="J61" s="1178"/>
      <c r="K61" s="443"/>
    </row>
    <row s="8080" customFormat="1" customHeight="1" ht="22.5" hidden="1">
      <c r="A62" s="2448"/>
      <c r="B62" s="665" t="s">
        <v>589</v>
      </c>
      <c r="D62" s="819" t="s">
        <v>109</v>
      </c>
      <c r="E62" s="820" t="s">
        <v>806</v>
      </c>
      <c r="F62" s="880" t="s">
        <v>306</v>
      </c>
      <c r="G62" s="536"/>
      <c r="H62" s="1178"/>
      <c r="I62" s="536"/>
      <c r="J62" s="1178"/>
      <c r="K62" s="443" t="s">
        <v>807</v>
      </c>
    </row>
    <row s="8080" customFormat="1" customHeight="1" ht="45" hidden="1">
      <c r="A63" s="2448"/>
      <c r="B63" s="665" t="s">
        <v>589</v>
      </c>
      <c r="D63" s="819" t="s">
        <v>808</v>
      </c>
      <c r="E63" s="821" t="s">
        <v>809</v>
      </c>
      <c r="F63" s="875" t="s">
        <v>306</v>
      </c>
      <c r="G63" s="536"/>
      <c r="H63" s="1178"/>
      <c r="I63" s="536"/>
      <c r="J63" s="1178"/>
      <c r="K63" s="443" t="s">
        <v>807</v>
      </c>
    </row>
    <row s="9347" customFormat="1" customHeight="1" ht="11.25">
      <c r="A64" s="1188"/>
      <c r="B64" s="672"/>
      <c r="D64" s="1189"/>
      <c r="E64" s="1190"/>
    </row>
    <row s="8080" customFormat="1" customHeight="1" ht="22.5">
      <c r="A65" s="2448" t="s">
        <v>810</v>
      </c>
      <c r="B65" s="665"/>
      <c r="D65" s="819">
        <v>1</v>
      </c>
      <c r="E65" s="898" t="s">
        <v>811</v>
      </c>
      <c r="F65" s="894" t="s">
        <v>725</v>
      </c>
      <c r="G65" s="895"/>
      <c r="H65" s="1184"/>
      <c r="I65" s="895"/>
      <c r="J65" s="1184"/>
      <c r="K65" s="455" t="s">
        <v>812</v>
      </c>
    </row>
    <row s="8080" customFormat="1" customHeight="1" ht="56.25">
      <c r="A66" s="2448"/>
      <c r="B66" s="665"/>
      <c r="D66" s="897" t="s">
        <v>107</v>
      </c>
      <c r="E66" s="861" t="s">
        <v>813</v>
      </c>
      <c r="F66" s="814" t="s">
        <v>547</v>
      </c>
      <c r="G66" s="814" t="s">
        <v>547</v>
      </c>
      <c r="H66" s="673"/>
      <c r="I66" s="814" t="s">
        <v>547</v>
      </c>
      <c r="J66" s="673"/>
      <c r="K66" s="443"/>
    </row>
    <row s="8080" customFormat="1" customHeight="1" ht="33.75">
      <c r="A67" s="2448"/>
      <c r="B67" s="665"/>
      <c r="D67" s="897" t="s">
        <v>623</v>
      </c>
      <c r="E67" s="1109" t="s">
        <v>814</v>
      </c>
      <c r="F67" s="814" t="s">
        <v>777</v>
      </c>
      <c r="G67" s="881"/>
      <c r="H67" s="673"/>
      <c r="I67" s="881"/>
      <c r="J67" s="673"/>
      <c r="K67" s="443"/>
    </row>
    <row s="8080" customFormat="1" customHeight="1" ht="22.5">
      <c r="A68" s="2448"/>
      <c r="B68" s="665"/>
      <c r="D68" s="897" t="s">
        <v>307</v>
      </c>
      <c r="E68" s="1109" t="s">
        <v>815</v>
      </c>
      <c r="F68" s="814" t="s">
        <v>777</v>
      </c>
      <c r="G68" s="881"/>
      <c r="H68" s="673"/>
      <c r="I68" s="881"/>
      <c r="J68" s="673"/>
      <c r="K68" s="443"/>
    </row>
    <row s="8080" customFormat="1" customHeight="1" ht="22.5">
      <c r="A69" s="2448"/>
      <c r="B69" s="665"/>
      <c r="D69" s="897" t="s">
        <v>310</v>
      </c>
      <c r="E69" s="1109" t="s">
        <v>816</v>
      </c>
      <c r="F69" s="875" t="s">
        <v>559</v>
      </c>
      <c r="G69" s="896"/>
      <c r="H69" s="673"/>
      <c r="I69" s="896"/>
      <c r="J69" s="673"/>
      <c r="K69" s="443"/>
    </row>
    <row s="8080" customFormat="1" customHeight="1" ht="22.5">
      <c r="A70" s="2448"/>
      <c r="B70" s="665"/>
      <c r="D70" s="897" t="s">
        <v>643</v>
      </c>
      <c r="E70" s="1109" t="s">
        <v>817</v>
      </c>
      <c r="F70" s="875" t="s">
        <v>559</v>
      </c>
      <c r="G70" s="896"/>
      <c r="H70" s="673"/>
      <c r="I70" s="896"/>
      <c r="J70" s="673"/>
      <c r="K70" s="443"/>
    </row>
    <row s="8080" customFormat="1" customHeight="1" ht="22.5">
      <c r="A71" s="2448"/>
      <c r="B71" s="665"/>
      <c r="D71" s="819" t="s">
        <v>87</v>
      </c>
      <c r="E71" s="820" t="s">
        <v>818</v>
      </c>
      <c r="F71" s="814" t="s">
        <v>777</v>
      </c>
      <c r="G71" s="711"/>
      <c r="H71" s="1185"/>
      <c r="I71" s="711"/>
      <c r="J71" s="1185"/>
      <c r="K71" s="456"/>
    </row>
    <row s="8080" customFormat="1" customHeight="1" ht="56.25">
      <c r="A72" s="2448"/>
      <c r="B72" s="665"/>
      <c r="D72" s="819" t="s">
        <v>88</v>
      </c>
      <c r="E72" s="820" t="s">
        <v>819</v>
      </c>
      <c r="F72" s="875" t="s">
        <v>559</v>
      </c>
      <c r="G72" s="896"/>
      <c r="H72" s="1178"/>
      <c r="I72" s="896"/>
      <c r="J72" s="1178"/>
      <c r="K72" s="456"/>
    </row>
    <row s="8080" customFormat="1" customHeight="1" ht="33.75">
      <c r="A73" s="2448"/>
      <c r="B73" s="665"/>
      <c r="D73" s="819" t="s">
        <v>108</v>
      </c>
      <c r="E73" s="820" t="s">
        <v>820</v>
      </c>
      <c r="F73" s="880" t="s">
        <v>735</v>
      </c>
      <c r="G73" s="822"/>
      <c r="H73" s="1178"/>
      <c r="I73" s="822"/>
      <c r="J73" s="1178"/>
      <c r="K73" s="443"/>
    </row>
    <row s="8080" customFormat="1" customHeight="1" ht="22.5">
      <c r="A74" s="2448"/>
      <c r="B74" s="665" t="s">
        <v>589</v>
      </c>
      <c r="D74" s="819" t="s">
        <v>89</v>
      </c>
      <c r="E74" s="820" t="s">
        <v>821</v>
      </c>
      <c r="F74" s="880" t="s">
        <v>306</v>
      </c>
      <c r="G74" s="536"/>
      <c r="H74" s="1178"/>
      <c r="I74" s="536"/>
      <c r="J74" s="1178"/>
      <c r="K74" s="443" t="s">
        <v>807</v>
      </c>
    </row>
    <row s="8080" customFormat="1" customHeight="1" ht="45">
      <c r="A75" s="2448"/>
      <c r="B75" s="665" t="s">
        <v>589</v>
      </c>
      <c r="D75" s="819" t="s">
        <v>822</v>
      </c>
      <c r="E75" s="821" t="s">
        <v>823</v>
      </c>
      <c r="F75" s="875" t="s">
        <v>306</v>
      </c>
      <c r="G75" s="536"/>
      <c r="H75" s="1178"/>
      <c r="I75" s="536"/>
      <c r="J75" s="1178"/>
      <c r="K75" s="443" t="s">
        <v>807</v>
      </c>
    </row>
    <row s="9347" customFormat="1" customHeight="1" ht="11.25">
      <c r="A76" s="1188"/>
      <c r="B76" s="672"/>
      <c r="D76" s="1189"/>
      <c r="E76" s="1190"/>
    </row>
    <row s="8080" customFormat="1" customHeight="1" ht="11.25" hidden="1">
      <c r="A77" s="2448" t="s">
        <v>824</v>
      </c>
      <c r="B77" s="665"/>
      <c r="D77" s="819">
        <v>1</v>
      </c>
      <c r="E77" s="820" t="s">
        <v>825</v>
      </c>
      <c r="F77" s="875" t="s">
        <v>725</v>
      </c>
      <c r="G77" s="878"/>
      <c r="H77" s="1178"/>
      <c r="I77" s="878"/>
      <c r="J77" s="1178"/>
      <c r="K77" s="443" t="s">
        <v>826</v>
      </c>
    </row>
    <row s="8080" customFormat="1" customHeight="1" ht="11.25" hidden="1">
      <c r="A78" s="2448"/>
      <c r="B78" s="665"/>
      <c r="D78" s="819" t="s">
        <v>107</v>
      </c>
      <c r="E78" s="820" t="s">
        <v>827</v>
      </c>
      <c r="F78" s="875" t="s">
        <v>725</v>
      </c>
      <c r="G78" s="878"/>
      <c r="H78" s="1178"/>
      <c r="I78" s="878"/>
      <c r="J78" s="1178"/>
      <c r="K78" s="443" t="s">
        <v>828</v>
      </c>
    </row>
    <row s="8080" customFormat="1" customHeight="1" ht="22.5" hidden="1">
      <c r="A79" s="2448"/>
      <c r="B79" s="665"/>
      <c r="D79" s="819" t="s">
        <v>87</v>
      </c>
      <c r="E79" s="876" t="s">
        <v>829</v>
      </c>
      <c r="F79" s="814" t="s">
        <v>774</v>
      </c>
      <c r="G79" s="878"/>
      <c r="H79" s="1178"/>
      <c r="I79" s="878"/>
      <c r="J79" s="1178"/>
      <c r="K79" s="443" t="s">
        <v>830</v>
      </c>
    </row>
    <row s="8080" customFormat="1" customHeight="1" ht="11.25" hidden="1">
      <c r="A80" s="2448"/>
      <c r="B80" s="665"/>
      <c r="D80" s="819" t="s">
        <v>324</v>
      </c>
      <c r="E80" s="877" t="s">
        <v>831</v>
      </c>
      <c r="F80" s="814" t="s">
        <v>774</v>
      </c>
      <c r="G80" s="878"/>
      <c r="H80" s="1178"/>
      <c r="I80" s="878"/>
      <c r="J80" s="1178"/>
      <c r="K80" s="443"/>
    </row>
    <row s="8080" customFormat="1" customHeight="1" ht="11.25" hidden="1">
      <c r="A81" s="2448"/>
      <c r="B81" s="665"/>
      <c r="D81" s="819" t="s">
        <v>332</v>
      </c>
      <c r="E81" s="877" t="s">
        <v>832</v>
      </c>
      <c r="F81" s="814" t="s">
        <v>774</v>
      </c>
      <c r="G81" s="878"/>
      <c r="H81" s="1178"/>
      <c r="I81" s="878"/>
      <c r="J81" s="1178"/>
      <c r="K81" s="443"/>
    </row>
    <row s="8080" customFormat="1" customHeight="1" ht="11.25" hidden="1">
      <c r="A82" s="2448"/>
      <c r="B82" s="665"/>
      <c r="D82" s="819" t="s">
        <v>334</v>
      </c>
      <c r="E82" s="877" t="s">
        <v>833</v>
      </c>
      <c r="F82" s="814" t="s">
        <v>774</v>
      </c>
      <c r="G82" s="878"/>
      <c r="H82" s="1178"/>
      <c r="I82" s="878"/>
      <c r="J82" s="1178"/>
      <c r="K82" s="443"/>
    </row>
    <row s="8080" customFormat="1" customHeight="1" ht="11.25" hidden="1">
      <c r="A83" s="2448"/>
      <c r="B83" s="665"/>
      <c r="D83" s="819" t="s">
        <v>336</v>
      </c>
      <c r="E83" s="877" t="s">
        <v>834</v>
      </c>
      <c r="F83" s="814" t="s">
        <v>774</v>
      </c>
      <c r="G83" s="878"/>
      <c r="H83" s="1178"/>
      <c r="I83" s="878"/>
      <c r="J83" s="1178"/>
      <c r="K83" s="443"/>
    </row>
    <row s="8080" customFormat="1" customHeight="1" ht="11.25" hidden="1">
      <c r="A84" s="2448"/>
      <c r="B84" s="665"/>
      <c r="D84" s="819" t="s">
        <v>835</v>
      </c>
      <c r="E84" s="877" t="s">
        <v>836</v>
      </c>
      <c r="F84" s="814" t="s">
        <v>774</v>
      </c>
      <c r="G84" s="878"/>
      <c r="H84" s="1178"/>
      <c r="I84" s="878"/>
      <c r="J84" s="1178"/>
      <c r="K84" s="443"/>
    </row>
    <row s="8080" customFormat="1" customHeight="1" ht="11.25" hidden="1">
      <c r="A85" s="2448"/>
      <c r="B85" s="665"/>
      <c r="D85" s="819" t="s">
        <v>837</v>
      </c>
      <c r="E85" s="877" t="s">
        <v>838</v>
      </c>
      <c r="F85" s="814" t="s">
        <v>774</v>
      </c>
      <c r="G85" s="878"/>
      <c r="H85" s="1178"/>
      <c r="I85" s="878"/>
      <c r="J85" s="1178"/>
      <c r="K85" s="443"/>
    </row>
    <row s="8080" customFormat="1" customHeight="1" ht="11.25" hidden="1">
      <c r="A86" s="2448"/>
      <c r="B86" s="665"/>
      <c r="D86" s="819" t="s">
        <v>839</v>
      </c>
      <c r="E86" s="877" t="s">
        <v>840</v>
      </c>
      <c r="F86" s="814" t="s">
        <v>774</v>
      </c>
      <c r="G86" s="878"/>
      <c r="H86" s="1178"/>
      <c r="I86" s="878"/>
      <c r="J86" s="1178"/>
      <c r="K86" s="443"/>
    </row>
    <row s="8080" customFormat="1" customHeight="1" ht="45" hidden="1">
      <c r="A87" s="2448"/>
      <c r="B87" s="665"/>
      <c r="D87" s="819" t="s">
        <v>88</v>
      </c>
      <c r="E87" s="820" t="s">
        <v>841</v>
      </c>
      <c r="F87" s="814" t="s">
        <v>774</v>
      </c>
      <c r="G87" s="878"/>
      <c r="H87" s="1178"/>
      <c r="I87" s="878"/>
      <c r="J87" s="1178"/>
      <c r="K87" s="443" t="s">
        <v>842</v>
      </c>
    </row>
    <row s="8080" customFormat="1" customHeight="1" ht="11.25" hidden="1">
      <c r="A88" s="2448"/>
      <c r="B88" s="665"/>
      <c r="D88" s="819" t="s">
        <v>668</v>
      </c>
      <c r="E88" s="877" t="s">
        <v>831</v>
      </c>
      <c r="F88" s="814" t="s">
        <v>774</v>
      </c>
      <c r="G88" s="878"/>
      <c r="H88" s="1178"/>
      <c r="I88" s="878"/>
      <c r="J88" s="1178"/>
      <c r="K88" s="443"/>
    </row>
    <row s="8080" customFormat="1" customHeight="1" ht="11.25" hidden="1">
      <c r="A89" s="2448"/>
      <c r="B89" s="665"/>
      <c r="D89" s="819" t="s">
        <v>711</v>
      </c>
      <c r="E89" s="877" t="s">
        <v>832</v>
      </c>
      <c r="F89" s="814" t="s">
        <v>774</v>
      </c>
      <c r="G89" s="878"/>
      <c r="H89" s="1178"/>
      <c r="I89" s="878"/>
      <c r="J89" s="1178"/>
      <c r="K89" s="443"/>
    </row>
    <row s="8080" customFormat="1" customHeight="1" ht="11.25" hidden="1">
      <c r="A90" s="2448"/>
      <c r="B90" s="665"/>
      <c r="D90" s="819" t="s">
        <v>714</v>
      </c>
      <c r="E90" s="877" t="s">
        <v>833</v>
      </c>
      <c r="F90" s="814" t="s">
        <v>774</v>
      </c>
      <c r="G90" s="878"/>
      <c r="H90" s="1178"/>
      <c r="I90" s="878"/>
      <c r="J90" s="1178"/>
      <c r="K90" s="443"/>
    </row>
    <row s="8080" customFormat="1" customHeight="1" ht="11.25" hidden="1">
      <c r="A91" s="2448"/>
      <c r="B91" s="665"/>
      <c r="D91" s="819" t="s">
        <v>792</v>
      </c>
      <c r="E91" s="877" t="s">
        <v>834</v>
      </c>
      <c r="F91" s="814" t="s">
        <v>774</v>
      </c>
      <c r="G91" s="878"/>
      <c r="H91" s="1178"/>
      <c r="I91" s="878"/>
      <c r="J91" s="1178"/>
      <c r="K91" s="443"/>
    </row>
    <row s="8080" customFormat="1" customHeight="1" ht="11.25" hidden="1">
      <c r="A92" s="2448"/>
      <c r="B92" s="665"/>
      <c r="D92" s="819" t="s">
        <v>794</v>
      </c>
      <c r="E92" s="877" t="s">
        <v>836</v>
      </c>
      <c r="F92" s="814" t="s">
        <v>774</v>
      </c>
      <c r="G92" s="878"/>
      <c r="H92" s="1178"/>
      <c r="I92" s="878"/>
      <c r="J92" s="1178"/>
      <c r="K92" s="443"/>
    </row>
    <row s="8080" customFormat="1" customHeight="1" ht="11.25" hidden="1">
      <c r="A93" s="2448"/>
      <c r="B93" s="665"/>
      <c r="D93" s="819" t="s">
        <v>843</v>
      </c>
      <c r="E93" s="877" t="s">
        <v>838</v>
      </c>
      <c r="F93" s="814" t="s">
        <v>774</v>
      </c>
      <c r="G93" s="878"/>
      <c r="H93" s="1178"/>
      <c r="I93" s="878"/>
      <c r="J93" s="1178"/>
      <c r="K93" s="443"/>
    </row>
    <row s="8080" customFormat="1" customHeight="1" ht="11.25" hidden="1">
      <c r="A94" s="2448"/>
      <c r="B94" s="665"/>
      <c r="D94" s="819" t="s">
        <v>844</v>
      </c>
      <c r="E94" s="877" t="s">
        <v>840</v>
      </c>
      <c r="F94" s="814" t="s">
        <v>774</v>
      </c>
      <c r="G94" s="878"/>
      <c r="H94" s="1178"/>
      <c r="I94" s="878"/>
      <c r="J94" s="1178"/>
      <c r="K94" s="443"/>
    </row>
    <row s="8080" customFormat="1" customHeight="1" ht="24.75" hidden="1">
      <c r="A95" s="2448"/>
      <c r="B95" s="665"/>
      <c r="D95" s="819" t="s">
        <v>108</v>
      </c>
      <c r="E95" s="820" t="s">
        <v>845</v>
      </c>
      <c r="F95" s="879" t="s">
        <v>559</v>
      </c>
      <c r="G95" s="881"/>
      <c r="H95" s="1178"/>
      <c r="I95" s="881"/>
      <c r="J95" s="1178"/>
      <c r="K95" s="443" t="s">
        <v>846</v>
      </c>
    </row>
    <row s="8080" customFormat="1" customHeight="1" ht="33.75" hidden="1">
      <c r="A96" s="2448"/>
      <c r="B96" s="665"/>
      <c r="D96" s="819" t="s">
        <v>89</v>
      </c>
      <c r="E96" s="820" t="s">
        <v>847</v>
      </c>
      <c r="F96" s="880" t="s">
        <v>735</v>
      </c>
      <c r="G96" s="882"/>
      <c r="H96" s="1178"/>
      <c r="I96" s="882"/>
      <c r="J96" s="1178"/>
      <c r="K96" s="443"/>
    </row>
    <row s="8080" customFormat="1" customHeight="1" ht="22.5" hidden="1">
      <c r="A97" s="2448"/>
      <c r="B97" s="665" t="s">
        <v>589</v>
      </c>
      <c r="D97" s="819" t="s">
        <v>90</v>
      </c>
      <c r="E97" s="820" t="s">
        <v>848</v>
      </c>
      <c r="F97" s="880" t="s">
        <v>306</v>
      </c>
      <c r="G97" s="539"/>
      <c r="H97" s="1178"/>
      <c r="I97" s="539"/>
      <c r="J97" s="1178"/>
      <c r="K97" s="443" t="s">
        <v>807</v>
      </c>
    </row>
    <row s="8080" customFormat="1" customHeight="1" ht="45" hidden="1">
      <c r="A98" s="2448"/>
      <c r="B98" s="665" t="s">
        <v>589</v>
      </c>
      <c r="D98" s="819" t="s">
        <v>849</v>
      </c>
      <c r="E98" s="821" t="s">
        <v>850</v>
      </c>
      <c r="F98" s="875" t="s">
        <v>306</v>
      </c>
      <c r="G98" s="539"/>
      <c r="H98" s="1178"/>
      <c r="I98" s="539"/>
      <c r="J98" s="1178"/>
      <c r="K98" s="443" t="s">
        <v>807</v>
      </c>
    </row>
    <row s="8080" customFormat="1" customHeight="1" ht="95.25" hidden="1">
      <c r="A99" s="2448"/>
      <c r="B99" s="665" t="s">
        <v>589</v>
      </c>
      <c r="D99" s="819" t="s">
        <v>109</v>
      </c>
      <c r="E99" s="820" t="s">
        <v>851</v>
      </c>
      <c r="F99" s="875" t="s">
        <v>306</v>
      </c>
      <c r="G99" s="539"/>
      <c r="H99" s="1178"/>
      <c r="I99" s="539"/>
      <c r="J99" s="1178"/>
      <c r="K99" s="443" t="s">
        <v>807</v>
      </c>
    </row>
    <row s="8080" customFormat="1" customHeight="1" ht="22.5" hidden="1">
      <c r="A100" s="2448"/>
      <c r="B100" s="665" t="s">
        <v>589</v>
      </c>
      <c r="D100" s="819" t="s">
        <v>145</v>
      </c>
      <c r="E100" s="820" t="s">
        <v>852</v>
      </c>
      <c r="F100" s="875" t="s">
        <v>306</v>
      </c>
      <c r="G100" s="539"/>
      <c r="H100" s="1178"/>
      <c r="I100" s="539"/>
      <c r="J100" s="1178"/>
      <c r="K100" s="443" t="s">
        <v>807</v>
      </c>
    </row>
    <row s="9347" customFormat="1" customHeight="1" ht="11.25">
      <c r="A101" s="1188"/>
      <c r="B101" s="672"/>
      <c r="D101" s="1189"/>
      <c r="E101" s="1190"/>
    </row>
  </sheetData>
  <sheetProtection formatColumns="0" formatRows="0" autoFilter="0" sort="0" insertRows="0" insertColumns="1" deleteRows="0" deleteColumns="0"/>
  <mergeCells count="18">
    <mergeCell ref="A37:A63"/>
    <mergeCell ref="A65:A75"/>
    <mergeCell ref="A77:A100"/>
    <mergeCell ref="A13:A35"/>
    <mergeCell ref="A11:B11"/>
    <mergeCell ref="D3:F3"/>
    <mergeCell ref="K7:K11"/>
    <mergeCell ref="G7:H7"/>
    <mergeCell ref="E7:F7"/>
    <mergeCell ref="E8:F8"/>
    <mergeCell ref="E9:F9"/>
    <mergeCell ref="G8:H8"/>
    <mergeCell ref="G9:H9"/>
    <mergeCell ref="D4:F4"/>
    <mergeCell ref="I7:J7"/>
    <mergeCell ref="I8:J8"/>
    <mergeCell ref="I9:J9"/>
    <mergeCell ref="D10:J10"/>
  </mergeCells>
  <dataValidations count="6">
    <dataValidation type="textLength" operator="lessThanOrEqual" allowBlank="1" showInputMessage="1" showErrorMessage="1" errorTitle="Ошибка" error="Допускается ввод не более 900 символов!" sqref="H21:H22 H29:H30 H24 H26:H27 H15:H18 J26:J27 J15:J18 J21:J22 J29:J30 J24">
      <formula1>900</formula1>
    </dataValidation>
    <dataValidation type="whole" allowBlank="1" showErrorMessage="1" errorTitle="Ошибка" error="Допускается ввод только неотрицательных целых чисел!" sqref="G16:G17 I16:I17">
      <formula1>0</formula1>
      <formula2>9.99999999999999E+23</formula2>
    </dataValidation>
    <dataValidation type="decimal" allowBlank="1" showErrorMessage="1" errorTitle="Ошибка" error="Допускается ввод только неотрицательных чисел!" sqref="G32 G67:G68 G39:G40 G37 G44:G59 G61 G77:G94 G73 G71 G96 G65 G18 G13:G14 G29:G30 G26:G27 I32 I67:I68 I39:I40 I37 I44:I59 I61 I77:I94 I73 I71 I96 I65 I18 I13:I14 I29:I30 I26:I27">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G74:G75 G62:G63 G97:G100 H19 H13:H14 H31:H32 I74:I75 I62:I63 I97:I100 J19 J13:J14 J31:J32">
      <formula1>900</formula1>
    </dataValidation>
    <dataValidation type="decimal" allowBlank="1" showErrorMessage="1" errorTitle="Ошибка" error="Введите значение от 0 до 100%" sqref="G31 G95 G60 G72 G42:G43 G69:G70 I31 I95 I60 I72 I42:I43 I69:I70">
      <formula1>0</formula1>
      <formula2>100</formula2>
    </dataValidation>
    <dataValidation type="list" allowBlank="1" showInputMessage="1" errorTitle="Ошибка" error="Укажите значение вручную или выберите из списка!" prompt="Укажите значение вручную или выберите из списка" sqref="G19 I19">
      <formula1>"Не утверждены"</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A6EB0B3-F5B4-789C-6FFA-CAFEA7B660D4}" mc:Ignorable="x14ac xr xr2 xr3">
  <sheetPr>
    <tabColor rgb="FFE26B0A"/>
  </sheetPr>
  <dimension ref="A1:U39"/>
  <sheetViews>
    <sheetView topLeftCell="A1" showGridLines="0" zoomScale="90" workbookViewId="0">
      <selection activeCell="A1" sqref="A1"/>
    </sheetView>
  </sheetViews>
  <sheetFormatPr defaultColWidth="10.57421875" customHeight="1" defaultRowHeight="15"/>
  <cols>
    <col min="1" max="1" style="8573" width="9.140625" hidden="1" customWidth="1"/>
    <col min="2" max="2" style="8576" width="9.140625" hidden="1" customWidth="1"/>
    <col min="3" max="3" style="9534" width="4.7109375" customWidth="1"/>
    <col min="4" max="4" style="8576" width="6.28125" customWidth="1"/>
    <col min="5" max="5" style="8576" width="36.7109375" customWidth="1"/>
    <col min="6" max="6" style="8576" width="9.57421875" customWidth="1"/>
    <col min="7" max="7" style="8080" width="25.7109375" hidden="1" customWidth="1"/>
    <col min="8" max="8" style="8080" width="33.7109375" hidden="1" customWidth="1"/>
    <col min="9" max="9" style="8576" width="25.7109375" customWidth="1"/>
    <col min="10" max="10" style="8576" width="33.7109375" customWidth="1"/>
    <col min="11" max="11" style="8081" width="93.421875" customWidth="1"/>
    <col min="12" max="20" style="8576" width="10.57421875"/>
    <col min="21" max="21" style="9535" width="10.57421875"/>
  </cols>
  <sheetData>
    <row s="8081" customFormat="1" customHeight="1" ht="15" hidden="1">
      <c r="C1" s="826"/>
      <c r="G1" s="571">
        <v>4</v>
      </c>
      <c r="I1" s="571">
        <v>4</v>
      </c>
      <c r="U1" s="574"/>
    </row>
    <row s="8081" customFormat="1" customHeight="1" ht="15" hidden="1">
      <c r="C2" s="826"/>
      <c r="U2" s="574"/>
    </row>
    <row customHeight="1" ht="22.5" hidden="1">
      <c r="A3" s="659"/>
      <c r="B3" s="2450"/>
      <c r="C3" s="2451" t="s">
        <v>542</v>
      </c>
      <c r="D3" s="843" t="str">
        <f>B3&amp;".1"</f>
        <v>.1</v>
      </c>
      <c r="E3" s="844" t="s">
        <v>853</v>
      </c>
      <c r="F3" s="845" t="s">
        <v>306</v>
      </c>
      <c r="G3" s="840"/>
      <c r="H3" s="555"/>
      <c r="I3" s="840"/>
      <c r="J3" s="555"/>
      <c r="K3" s="443" t="s">
        <v>854</v>
      </c>
    </row>
    <row customHeight="1" ht="15" hidden="1">
      <c r="A4" s="659"/>
      <c r="B4" s="2450"/>
      <c r="C4" s="2451"/>
      <c r="D4" s="843" t="str">
        <f>B3&amp;".2"</f>
        <v>.2</v>
      </c>
      <c r="E4" s="844" t="s">
        <v>855</v>
      </c>
      <c r="F4" s="845" t="s">
        <v>306</v>
      </c>
      <c r="G4" s="1897" t="s">
        <v>24</v>
      </c>
      <c r="H4" s="555"/>
      <c r="I4" s="1897" t="s">
        <v>24</v>
      </c>
      <c r="J4" s="555"/>
      <c r="K4" s="443" t="s">
        <v>856</v>
      </c>
    </row>
    <row s="8081" customFormat="1" customHeight="1" ht="15" hidden="1">
      <c r="C5" s="826"/>
      <c r="U5" s="574"/>
    </row>
    <row customHeight="1" ht="22.5" hidden="1">
      <c r="A6" s="659"/>
      <c r="B6" s="2450"/>
      <c r="C6" s="2451" t="s">
        <v>542</v>
      </c>
      <c r="D6" s="843" t="str">
        <f>B6&amp;".1"</f>
        <v>.1</v>
      </c>
      <c r="E6" s="844" t="s">
        <v>857</v>
      </c>
      <c r="F6" s="845" t="s">
        <v>306</v>
      </c>
      <c r="G6" s="840"/>
      <c r="H6" s="555"/>
      <c r="I6" s="840"/>
      <c r="J6" s="555"/>
      <c r="K6" s="443" t="s">
        <v>858</v>
      </c>
    </row>
    <row customHeight="1" ht="15" hidden="1">
      <c r="A7" s="659"/>
      <c r="B7" s="2450"/>
      <c r="C7" s="2451"/>
      <c r="D7" s="843" t="str">
        <f>B6&amp;".2"</f>
        <v>.2</v>
      </c>
      <c r="E7" s="844" t="s">
        <v>855</v>
      </c>
      <c r="F7" s="845" t="s">
        <v>306</v>
      </c>
      <c r="G7" s="1897" t="s">
        <v>24</v>
      </c>
      <c r="H7" s="555"/>
      <c r="I7" s="1897" t="s">
        <v>24</v>
      </c>
      <c r="J7" s="555"/>
      <c r="K7" s="443" t="s">
        <v>856</v>
      </c>
    </row>
    <row s="8081" customFormat="1" customHeight="1" ht="15" hidden="1">
      <c r="C8" s="826"/>
      <c r="U8" s="574"/>
    </row>
    <row customHeight="1" ht="22.5" hidden="1">
      <c r="A9" s="659"/>
      <c r="B9" s="2450"/>
      <c r="C9" s="2451" t="s">
        <v>542</v>
      </c>
      <c r="D9" s="843" t="str">
        <f>B9&amp;".1"</f>
        <v>.1</v>
      </c>
      <c r="E9" s="844" t="s">
        <v>859</v>
      </c>
      <c r="F9" s="845" t="s">
        <v>306</v>
      </c>
      <c r="G9" s="851" t="s">
        <v>24</v>
      </c>
      <c r="H9" s="555" t="s">
        <v>24</v>
      </c>
      <c r="I9" s="851" t="s">
        <v>24</v>
      </c>
      <c r="J9" s="555" t="s">
        <v>24</v>
      </c>
      <c r="K9" s="443"/>
    </row>
    <row customHeight="1" ht="15" hidden="1">
      <c r="A10" s="659"/>
      <c r="B10" s="2450"/>
      <c r="C10" s="2451"/>
      <c r="D10" s="843" t="str">
        <f>B9&amp;".2"</f>
        <v>.2</v>
      </c>
      <c r="E10" s="844" t="s">
        <v>860</v>
      </c>
      <c r="F10" s="845" t="s">
        <v>306</v>
      </c>
      <c r="G10" s="1891" t="s">
        <v>24</v>
      </c>
      <c r="H10" s="555" t="s">
        <v>24</v>
      </c>
      <c r="I10" s="1891" t="s">
        <v>24</v>
      </c>
      <c r="J10" s="555" t="s">
        <v>24</v>
      </c>
      <c r="K10" s="443" t="s">
        <v>861</v>
      </c>
    </row>
    <row customHeight="1" ht="15" hidden="1">
      <c r="A11" s="659"/>
      <c r="B11" s="2450"/>
      <c r="C11" s="2451"/>
      <c r="D11" s="843" t="str">
        <f>B9&amp;".3"</f>
        <v>.3</v>
      </c>
      <c r="E11" s="844" t="s">
        <v>862</v>
      </c>
      <c r="F11" s="845" t="s">
        <v>306</v>
      </c>
      <c r="G11" s="1891" t="s">
        <v>24</v>
      </c>
      <c r="H11" s="555" t="s">
        <v>24</v>
      </c>
      <c r="I11" s="1891" t="s">
        <v>24</v>
      </c>
      <c r="J11" s="555" t="s">
        <v>24</v>
      </c>
      <c r="K11" s="443" t="s">
        <v>863</v>
      </c>
    </row>
    <row s="8081" customFormat="1" customHeight="1" ht="15" hidden="1">
      <c r="C12" s="826"/>
      <c r="U12" s="574"/>
    </row>
    <row customHeight="1" ht="33.75" hidden="1">
      <c r="A13" s="659"/>
      <c r="B13" s="2450"/>
      <c r="C13" s="2451" t="s">
        <v>542</v>
      </c>
      <c r="D13" s="843" t="str">
        <f>B13&amp;".1"</f>
        <v>.1</v>
      </c>
      <c r="E13" s="844" t="s">
        <v>864</v>
      </c>
      <c r="F13" s="845" t="s">
        <v>306</v>
      </c>
      <c r="G13" s="851" t="s">
        <v>24</v>
      </c>
      <c r="H13" s="555" t="s">
        <v>24</v>
      </c>
      <c r="I13" s="851" t="s">
        <v>24</v>
      </c>
      <c r="J13" s="555" t="s">
        <v>24</v>
      </c>
      <c r="K13" s="443" t="s">
        <v>865</v>
      </c>
    </row>
    <row customHeight="1" ht="15" hidden="1">
      <c r="B14" s="2450"/>
      <c r="C14" s="2451"/>
      <c r="D14" s="843" t="str">
        <f>B13&amp;".2"</f>
        <v>.2</v>
      </c>
      <c r="E14" s="844" t="s">
        <v>866</v>
      </c>
      <c r="F14" s="845" t="s">
        <v>306</v>
      </c>
      <c r="G14" s="1891" t="s">
        <v>24</v>
      </c>
      <c r="H14" s="555" t="s">
        <v>24</v>
      </c>
      <c r="I14" s="1891" t="s">
        <v>24</v>
      </c>
      <c r="J14" s="555" t="s">
        <v>24</v>
      </c>
      <c r="K14" s="443" t="s">
        <v>867</v>
      </c>
    </row>
    <row s="8081" customFormat="1" customHeight="1" ht="15" hidden="1">
      <c r="C15" s="826"/>
      <c r="U15" s="574"/>
    </row>
    <row s="8081" customFormat="1" customHeight="1" ht="15" hidden="1">
      <c r="C16" s="826"/>
      <c r="U16" s="574"/>
    </row>
    <row s="8081" customFormat="1" customHeight="1" ht="15" hidden="1">
      <c r="C17" s="826"/>
      <c r="U17" s="574"/>
    </row>
    <row s="8081" customFormat="1" customHeight="1" ht="15" hidden="1">
      <c r="C18" s="826"/>
      <c r="U18" s="574"/>
    </row>
    <row s="8081" customFormat="1" customHeight="1" ht="15" hidden="1">
      <c r="C19" s="826"/>
      <c r="U19" s="574"/>
    </row>
    <row s="8081" customFormat="1" customHeight="1" ht="15" hidden="1">
      <c r="C20" s="826"/>
      <c r="U20" s="574"/>
    </row>
    <row customHeight="1" ht="15">
      <c r="C21" s="331"/>
      <c r="D21" s="663"/>
      <c r="E21" s="663"/>
      <c r="F21" s="663"/>
      <c r="G21" s="663"/>
      <c r="H21" s="663"/>
      <c r="I21" s="663"/>
      <c r="J21" s="663"/>
    </row>
    <row customHeight="1" ht="22.5">
      <c r="C22" s="331"/>
      <c r="D22" s="2298" t="str">
        <f>KNE_NAME_FORM</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E22" s="2298"/>
      <c r="F22" s="2298"/>
      <c r="G22" s="2298"/>
      <c r="H22" s="2298"/>
      <c r="I22" s="2298"/>
      <c r="J22" s="830"/>
      <c r="K22" s="691"/>
    </row>
    <row customHeight="1" ht="15">
      <c r="C23" s="331"/>
      <c r="D23" s="2267" t="str">
        <f>IF(org=0,"Не определено",org)</f>
        <v>АО "Теплокоммунэнерго"</v>
      </c>
      <c r="E23" s="2267"/>
      <c r="F23" s="2267"/>
      <c r="G23" s="2267"/>
      <c r="H23" s="2267"/>
      <c r="I23" s="2267"/>
      <c r="J23" s="830"/>
      <c r="K23" s="691"/>
    </row>
    <row customHeight="1" ht="15">
      <c r="C24" s="331"/>
      <c r="D24" s="663"/>
      <c r="E24" s="663"/>
      <c r="F24" s="663"/>
      <c r="G24" s="691">
        <v>22</v>
      </c>
      <c r="H24" s="906"/>
      <c r="I24" s="691">
        <v>22</v>
      </c>
      <c r="J24" s="906"/>
    </row>
    <row s="8080" customFormat="1" customHeight="1" ht="0.75">
      <c r="A25" s="913"/>
      <c r="C25" s="331"/>
      <c r="D25" s="663"/>
      <c r="E25" s="663"/>
      <c r="F25" s="663"/>
      <c r="G25" s="691"/>
      <c r="H25" s="906"/>
      <c r="I25" s="691" t="s">
        <v>114</v>
      </c>
      <c r="J25" s="906"/>
      <c r="K25" s="571"/>
      <c r="U25" s="829"/>
    </row>
    <row customHeight="1" ht="15">
      <c r="C26" s="331"/>
      <c r="D26" s="865"/>
      <c r="E26" s="2429" t="s">
        <v>102</v>
      </c>
      <c r="F26" s="2430"/>
      <c r="G26" s="2452" t="str">
        <f>IF(G25="","",INDEX(DIFFERENTIATION_UNMERGE_VD,MATCH(G25,DIFFERENTIATION_ID_DIFF,0)))</f>
        <v/>
      </c>
      <c r="H26" s="2453"/>
      <c r="I26" s="2452">
        <f>IF(I25="","",INDEX(DIFFERENTIATION_UNMERGE_VD,MATCH(I25,DIFFERENTIATION_ID_DIFF,0)))</f>
        <v>0</v>
      </c>
      <c r="J26" s="2453"/>
      <c r="K26" s="2242" t="s">
        <v>301</v>
      </c>
    </row>
    <row s="8080" customFormat="1" customHeight="1" ht="15">
      <c r="A27" s="913"/>
      <c r="C27" s="331"/>
      <c r="D27" s="865"/>
      <c r="E27" s="2429" t="s">
        <v>565</v>
      </c>
      <c r="F27" s="2430"/>
      <c r="G27" s="2452" t="str">
        <f>IF(G25="","",INDEX(DIFFERENTIATION_UNMERGE_AREA,MATCH(G25,DIFFERENTIATION_ID_DIFF,0)))</f>
        <v/>
      </c>
      <c r="H27" s="2453"/>
      <c r="I27" s="2452" t="str">
        <f>IF(I25="","",INDEX(DIFFERENTIATION_UNMERGE_AREA,MATCH(I25,DIFFERENTIATION_ID_DIFF,0)))</f>
        <v/>
      </c>
      <c r="J27" s="2453"/>
      <c r="K27" s="2246"/>
      <c r="U27" s="829"/>
    </row>
    <row s="8080" customFormat="1" customHeight="1" ht="15">
      <c r="A28" s="913"/>
      <c r="C28" s="331"/>
      <c r="D28" s="865"/>
      <c r="E28" s="2429" t="s">
        <v>566</v>
      </c>
      <c r="F28" s="2430"/>
      <c r="G28" s="2452" t="str">
        <f>IF(G25="","",INDEX(DIFFERENTIATION_UNMERGE_SYSTEM,MATCH(G25,DIFFERENTIATION_ID_DIFF,0)))</f>
        <v/>
      </c>
      <c r="H28" s="2453"/>
      <c r="I28" s="2452" t="str">
        <f>IF(I25="","",INDEX(DIFFERENTIATION_UNMERGE_SYSTEM,MATCH(I25,DIFFERENTIATION_ID_DIFF,0)))</f>
        <v>без дифференциации</v>
      </c>
      <c r="J28" s="2453"/>
      <c r="K28" s="2246"/>
      <c r="U28" s="829"/>
    </row>
    <row s="8080" customFormat="1" customHeight="1" ht="15">
      <c r="A29" s="913"/>
      <c r="C29" s="331"/>
      <c r="D29" s="2431" t="s">
        <v>300</v>
      </c>
      <c r="E29" s="2432"/>
      <c r="F29" s="2432"/>
      <c r="G29" s="1041"/>
      <c r="H29" s="1041"/>
      <c r="I29" s="1041"/>
      <c r="J29" s="1042"/>
      <c r="K29" s="2246"/>
      <c r="U29" s="829"/>
    </row>
    <row customHeight="1" ht="33.75">
      <c r="C30" s="331"/>
      <c r="D30" s="915" t="s">
        <v>85</v>
      </c>
      <c r="E30" s="914" t="s">
        <v>302</v>
      </c>
      <c r="F30" s="914" t="s">
        <v>567</v>
      </c>
      <c r="G30" s="962" t="s">
        <v>303</v>
      </c>
      <c r="H30" s="961" t="s">
        <v>390</v>
      </c>
      <c r="I30" s="838" t="s">
        <v>303</v>
      </c>
      <c r="J30" s="619" t="s">
        <v>390</v>
      </c>
      <c r="K30" s="2252"/>
    </row>
    <row customHeight="1" ht="15" hidden="1">
      <c r="C31" s="331"/>
      <c r="D31" s="747"/>
      <c r="E31" s="747"/>
      <c r="F31" s="747"/>
      <c r="G31" s="813"/>
      <c r="H31" s="813"/>
      <c r="I31" s="813"/>
      <c r="J31" s="813"/>
      <c r="K31" s="443"/>
    </row>
    <row customHeight="1" ht="22.5">
      <c r="A32" s="659"/>
      <c r="B32" s="659" t="s">
        <v>868</v>
      </c>
      <c r="C32" s="680"/>
      <c r="D32" s="846">
        <v>1</v>
      </c>
      <c r="E32" s="847" t="s">
        <v>869</v>
      </c>
      <c r="F32" s="845" t="s">
        <v>306</v>
      </c>
      <c r="G32" s="967" t="s">
        <v>306</v>
      </c>
      <c r="H32" s="967" t="s">
        <v>306</v>
      </c>
      <c r="I32" s="845" t="s">
        <v>306</v>
      </c>
      <c r="J32" s="845" t="s">
        <v>306</v>
      </c>
      <c r="K32" s="443"/>
    </row>
    <row customHeight="1" ht="11.25">
      <c r="A33" s="659"/>
      <c r="C33" s="659"/>
      <c r="D33" s="501"/>
      <c r="E33" s="734" t="s">
        <v>587</v>
      </c>
      <c r="F33" s="726"/>
      <c r="G33" s="726"/>
      <c r="H33" s="726"/>
      <c r="I33" s="726"/>
      <c r="J33" s="726"/>
      <c r="K33" s="727"/>
      <c r="U33" s="659"/>
    </row>
    <row customHeight="1" ht="22.5">
      <c r="A34" s="659"/>
      <c r="B34" s="735" t="s">
        <v>870</v>
      </c>
      <c r="C34" s="680"/>
      <c r="D34" s="846">
        <v>2</v>
      </c>
      <c r="E34" s="847" t="s">
        <v>871</v>
      </c>
      <c r="F34" s="974" t="s">
        <v>306</v>
      </c>
      <c r="G34" s="974" t="s">
        <v>306</v>
      </c>
      <c r="H34" s="974" t="s">
        <v>306</v>
      </c>
      <c r="I34" s="845"/>
      <c r="J34" s="845"/>
      <c r="K34" s="443"/>
    </row>
    <row customHeight="1" ht="11.25">
      <c r="A35" s="659"/>
      <c r="C35" s="659"/>
      <c r="D35" s="501"/>
      <c r="E35" s="734" t="s">
        <v>872</v>
      </c>
      <c r="F35" s="726"/>
      <c r="G35" s="848"/>
      <c r="H35" s="726"/>
      <c r="I35" s="848"/>
      <c r="J35" s="726"/>
      <c r="K35" s="727"/>
      <c r="U35" s="659"/>
    </row>
    <row customHeight="1" ht="67.5">
      <c r="A36" s="659"/>
      <c r="B36" s="659" t="s">
        <v>873</v>
      </c>
      <c r="C36" s="680"/>
      <c r="D36" s="846">
        <v>3</v>
      </c>
      <c r="E36" s="847" t="s">
        <v>874</v>
      </c>
      <c r="F36" s="849" t="s">
        <v>306</v>
      </c>
      <c r="G36" s="968" t="s">
        <v>875</v>
      </c>
      <c r="H36" s="967" t="s">
        <v>306</v>
      </c>
      <c r="I36" s="678" t="s">
        <v>875</v>
      </c>
      <c r="J36" s="845" t="s">
        <v>306</v>
      </c>
      <c r="K36" s="443" t="s">
        <v>876</v>
      </c>
    </row>
    <row customHeight="1" ht="11.25">
      <c r="A37" s="659"/>
      <c r="C37" s="659"/>
      <c r="D37" s="501"/>
      <c r="E37" s="734" t="s">
        <v>877</v>
      </c>
      <c r="F37" s="726"/>
      <c r="G37" s="848"/>
      <c r="H37" s="848"/>
      <c r="I37" s="848"/>
      <c r="J37" s="848"/>
      <c r="K37" s="727"/>
      <c r="U37" s="659"/>
    </row>
    <row customHeight="1" ht="67.5">
      <c r="A38" s="659"/>
      <c r="B38" s="659" t="s">
        <v>878</v>
      </c>
      <c r="C38" s="680"/>
      <c r="D38" s="846">
        <v>4</v>
      </c>
      <c r="E38" s="847" t="s">
        <v>879</v>
      </c>
      <c r="F38" s="849" t="s">
        <v>306</v>
      </c>
      <c r="G38" s="968" t="s">
        <v>875</v>
      </c>
      <c r="H38" s="969" t="s">
        <v>306</v>
      </c>
      <c r="I38" s="678" t="s">
        <v>875</v>
      </c>
      <c r="J38" s="675" t="s">
        <v>306</v>
      </c>
      <c r="K38" s="833" t="s">
        <v>880</v>
      </c>
    </row>
    <row customHeight="1" ht="11.25">
      <c r="A39" s="659"/>
      <c r="C39" s="659"/>
      <c r="D39" s="501"/>
      <c r="E39" s="734" t="s">
        <v>881</v>
      </c>
      <c r="F39" s="726"/>
      <c r="G39" s="726"/>
      <c r="H39" s="850"/>
      <c r="I39" s="726"/>
      <c r="J39" s="850"/>
      <c r="K39" s="727"/>
      <c r="U39" s="659"/>
    </row>
  </sheetData>
  <sheetProtection formatColumns="0" formatRows="0" autoFilter="0" sort="0" insertRows="0" insertColumns="1" deleteRows="0" deleteColumns="0"/>
  <mergeCells count="21">
    <mergeCell ref="G28:H28"/>
    <mergeCell ref="K26:K30"/>
    <mergeCell ref="E27:F27"/>
    <mergeCell ref="E28:F28"/>
    <mergeCell ref="I27:J27"/>
    <mergeCell ref="I28:J28"/>
    <mergeCell ref="G26:H26"/>
    <mergeCell ref="G27:H27"/>
    <mergeCell ref="D29:F29"/>
    <mergeCell ref="B13:B14"/>
    <mergeCell ref="C13:C14"/>
    <mergeCell ref="D22:I22"/>
    <mergeCell ref="D23:I23"/>
    <mergeCell ref="I26:J26"/>
    <mergeCell ref="E26:F26"/>
    <mergeCell ref="B3:B4"/>
    <mergeCell ref="C3:C4"/>
    <mergeCell ref="B6:B7"/>
    <mergeCell ref="C6:C7"/>
    <mergeCell ref="B9:B11"/>
    <mergeCell ref="C9:C11"/>
  </mergeCells>
  <dataValidations count="5">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30"/>
    <dataValidation type="textLength" operator="lessThanOrEqual" allowBlank="1" showInputMessage="1" showErrorMessage="1" errorTitle="Ошибка" error="Допускается ввод не более 900 символов!" sqref="I3 I6 I9 I13 G6 G13 G9 G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4 I4 I10:I11 G7 G14 I7 G10:G11 G4"/>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J13:J14 J3:J4 J6:J7 H3:H4 H6:H7 H9:H11 H13:H14 J9:J11">
      <formula1>900</formula1>
    </dataValidation>
    <dataValidation allowBlank="1" showInputMessage="1" showErrorMessage="1" prompt="Для выбора выполните двойной щелчок левой клавиши мыши по ячейке." sqref="I36 G38 I38 G3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4F3353F-6825-DC17-7C9B-5423B214A3FF}" mc:Ignorable="x14ac xr xr2 xr3">
  <sheetPr>
    <tabColor theme="9" tint="-0.25"/>
  </sheetPr>
  <dimension ref="A1:AD15"/>
  <sheetViews>
    <sheetView topLeftCell="A1" showGridLines="0" zoomScale="85" workbookViewId="0">
      <selection activeCell="A1" sqref="A1"/>
    </sheetView>
  </sheetViews>
  <sheetFormatPr defaultColWidth="9.140625" customHeight="1" defaultRowHeight="10.5"/>
  <cols>
    <col min="1" max="3" style="9561" width="6.7109375" hidden="1" customWidth="1"/>
    <col min="4" max="4" style="8081" width="6.7109375" hidden="1" customWidth="1"/>
    <col min="5" max="5" style="9347" width="3.7109375" customWidth="1"/>
    <col min="6" max="6" style="8080" width="6.28125" customWidth="1"/>
    <col min="7" max="7" style="8080" width="37.7109375" customWidth="1"/>
    <col min="8" max="8" style="8807" width="16.57421875" customWidth="1"/>
    <col min="9" max="10" style="8080" width="19.7109375" customWidth="1"/>
    <col min="11" max="11" style="8080" width="25.00390625" customWidth="1"/>
    <col min="12" max="13" style="8080" width="25.7109375" customWidth="1"/>
    <col min="14" max="16" style="8080" width="17.7109375" customWidth="1"/>
    <col min="17" max="24" style="8080" width="19.7109375" customWidth="1"/>
    <col min="25" max="25" style="8080" width="8.00390625" customWidth="1"/>
    <col min="26" max="26" style="8080" width="3.28125" customWidth="1"/>
    <col min="27" max="27" style="8080" width="6.28125" customWidth="1"/>
    <col min="28" max="28" style="8080" width="34.140625" customWidth="1"/>
    <col min="29" max="30" style="8080" width="9.140625"/>
  </cols>
  <sheetData>
    <row s="8081" customFormat="1" customHeight="1" ht="10.5" hidden="1">
      <c r="A1" s="1049"/>
      <c r="B1" s="1049"/>
      <c r="C1" s="1049"/>
      <c r="E1" s="691"/>
      <c r="H1" s="1316"/>
    </row>
    <row customHeight="1" ht="10.5" hidden="1"/>
    <row s="9537" customFormat="1" customHeight="1" ht="10.5" hidden="1">
      <c r="A3" s="1049"/>
      <c r="B3" s="1049"/>
      <c r="C3" s="1049"/>
      <c r="D3" s="571"/>
      <c r="E3" s="516"/>
      <c r="H3" s="1312"/>
    </row>
    <row customHeight="1" ht="3"/>
    <row customHeight="1" ht="25.5">
      <c r="F5" s="2353" t="str">
        <f>IP_NAME_FORM</f>
        <v>Форма 7. Информация об инвестиционных программах организации горячего водоснабжения и отчетах об их исполнении</v>
      </c>
      <c r="G5" s="2353"/>
      <c r="H5" s="2353"/>
      <c r="I5" s="2353"/>
      <c r="J5" s="2353"/>
      <c r="K5" s="2353"/>
      <c r="M5" s="736"/>
      <c r="AB5" s="1060"/>
    </row>
    <row s="8849" customFormat="1" customHeight="1" ht="15.75">
      <c r="A6" s="1322"/>
      <c r="B6" s="1322"/>
      <c r="C6" s="1322"/>
      <c r="D6" s="1316"/>
      <c r="E6" s="1794"/>
      <c r="F6" s="2354" t="str">
        <f>IF(org=0,"Не определено",org)</f>
        <v>АО "Теплокоммунэнерго"</v>
      </c>
      <c r="G6" s="2354"/>
      <c r="H6" s="2354"/>
      <c r="I6" s="2354"/>
      <c r="J6" s="2354"/>
      <c r="K6" s="2354"/>
      <c r="M6" s="736"/>
      <c r="AB6" s="1304"/>
    </row>
    <row r="8" customHeight="1" ht="10.5">
      <c r="A8" s="1206"/>
      <c r="B8" s="1206"/>
      <c r="C8" s="1206"/>
      <c r="F8" s="2169" t="s">
        <v>300</v>
      </c>
      <c r="G8" s="2170"/>
      <c r="H8" s="2170"/>
      <c r="I8" s="2170"/>
      <c r="J8" s="2170"/>
      <c r="K8" s="2170"/>
      <c r="L8" s="2170"/>
      <c r="M8" s="2170"/>
      <c r="N8" s="2170"/>
      <c r="O8" s="2170"/>
      <c r="P8" s="2170"/>
      <c r="Q8" s="2170"/>
      <c r="R8" s="2170"/>
      <c r="S8" s="2170"/>
      <c r="T8" s="2170"/>
      <c r="U8" s="2170"/>
      <c r="V8" s="2170"/>
      <c r="W8" s="2170"/>
      <c r="X8" s="2170"/>
      <c r="Y8" s="2170"/>
      <c r="Z8" s="2170"/>
      <c r="AA8" s="2170"/>
      <c r="AB8" s="2171"/>
    </row>
    <row customHeight="1" ht="41.25">
      <c r="A9" s="1059"/>
      <c r="B9" s="1059"/>
      <c r="C9" s="1059"/>
      <c r="F9" s="2185" t="s">
        <v>85</v>
      </c>
      <c r="G9" s="2185" t="s">
        <v>882</v>
      </c>
      <c r="H9" s="2242" t="s">
        <v>883</v>
      </c>
      <c r="I9" s="2185" t="s">
        <v>884</v>
      </c>
      <c r="J9" s="2185" t="s">
        <v>885</v>
      </c>
      <c r="K9" s="2185" t="s">
        <v>886</v>
      </c>
      <c r="L9" s="2185" t="s">
        <v>887</v>
      </c>
      <c r="M9" s="2185" t="s">
        <v>888</v>
      </c>
      <c r="N9" s="2275" t="s">
        <v>889</v>
      </c>
      <c r="O9" s="2275"/>
      <c r="P9" s="2275"/>
      <c r="Q9" s="2458" t="s">
        <v>890</v>
      </c>
      <c r="R9" s="2459"/>
      <c r="S9" s="2459"/>
      <c r="T9" s="2460"/>
      <c r="U9" s="2458" t="s">
        <v>891</v>
      </c>
      <c r="V9" s="2459"/>
      <c r="W9" s="2459"/>
      <c r="X9" s="2460"/>
      <c r="Y9" s="2169" t="s">
        <v>892</v>
      </c>
      <c r="Z9" s="2170"/>
      <c r="AA9" s="2170"/>
      <c r="AB9" s="2171"/>
    </row>
    <row customHeight="1" ht="41.25">
      <c r="A10" s="1059"/>
      <c r="B10" s="1059"/>
      <c r="C10" s="1059"/>
      <c r="F10" s="2242"/>
      <c r="G10" s="2242"/>
      <c r="H10" s="2303"/>
      <c r="I10" s="2242"/>
      <c r="J10" s="2242"/>
      <c r="K10" s="2242"/>
      <c r="L10" s="2242"/>
      <c r="M10" s="2242"/>
      <c r="N10" s="1057" t="s">
        <v>893</v>
      </c>
      <c r="O10" s="1057" t="s">
        <v>894</v>
      </c>
      <c r="P10" s="1058" t="s">
        <v>895</v>
      </c>
      <c r="Q10" s="1069" t="s">
        <v>86</v>
      </c>
      <c r="R10" s="1069" t="s">
        <v>896</v>
      </c>
      <c r="S10" s="1069" t="s">
        <v>897</v>
      </c>
      <c r="T10" s="1070" t="s">
        <v>898</v>
      </c>
      <c r="U10" s="1069" t="s">
        <v>86</v>
      </c>
      <c r="V10" s="1069" t="s">
        <v>899</v>
      </c>
      <c r="W10" s="1069" t="s">
        <v>897</v>
      </c>
      <c r="X10" s="1070" t="s">
        <v>898</v>
      </c>
      <c r="Y10" s="455" t="s">
        <v>900</v>
      </c>
      <c r="Z10" s="2169" t="s">
        <v>85</v>
      </c>
      <c r="AA10" s="2171"/>
      <c r="AB10" s="1204" t="s">
        <v>901</v>
      </c>
    </row>
    <row s="8794" customFormat="1" customHeight="1" ht="5.25" hidden="1">
      <c r="A11" s="1207"/>
      <c r="B11" s="1207"/>
      <c r="C11" s="1207"/>
      <c r="E11" s="1205"/>
      <c r="F11" s="2456" t="s">
        <v>376</v>
      </c>
      <c r="G11" s="2461"/>
      <c r="H11" s="2454"/>
      <c r="I11" s="2454"/>
      <c r="J11" s="2454"/>
      <c r="K11" s="2457"/>
      <c r="L11" s="2457"/>
      <c r="M11" s="2457"/>
      <c r="N11" s="2454"/>
      <c r="O11" s="2454"/>
      <c r="P11" s="2185"/>
      <c r="Q11" s="2255"/>
      <c r="R11" s="2255"/>
      <c r="S11" s="2255"/>
      <c r="T11" s="2454"/>
      <c r="U11" s="2255"/>
      <c r="V11" s="2255"/>
      <c r="W11" s="2255"/>
      <c r="X11" s="2454"/>
      <c r="Y11" s="2196"/>
      <c r="Z11" s="2196"/>
      <c r="AA11" s="2196"/>
      <c r="AB11" s="2196"/>
      <c r="AD11" s="665" t="s">
        <v>902</v>
      </c>
    </row>
    <row s="8794" customFormat="1" customHeight="1" ht="5.25" hidden="1">
      <c r="A12" s="1050"/>
      <c r="B12" s="1050"/>
      <c r="C12" s="1050"/>
      <c r="E12" s="672"/>
      <c r="F12" s="2456"/>
      <c r="G12" s="2461"/>
      <c r="H12" s="2454"/>
      <c r="I12" s="2454"/>
      <c r="J12" s="2454"/>
      <c r="K12" s="2457"/>
      <c r="L12" s="2457"/>
      <c r="M12" s="2457"/>
      <c r="N12" s="2454"/>
      <c r="O12" s="2454"/>
      <c r="P12" s="2185"/>
      <c r="Q12" s="2255"/>
      <c r="R12" s="2255"/>
      <c r="S12" s="2255"/>
      <c r="T12" s="2454"/>
      <c r="U12" s="2255"/>
      <c r="V12" s="2255"/>
      <c r="W12" s="2255"/>
      <c r="X12" s="2454"/>
      <c r="Y12" s="2455"/>
      <c r="Z12" s="2455"/>
      <c r="AA12" s="2455"/>
      <c r="AB12" s="2455"/>
    </row>
    <row customHeight="1" ht="10.5">
      <c r="F13" s="1056"/>
      <c r="G13" s="804" t="s">
        <v>903</v>
      </c>
      <c r="H13" s="1324"/>
      <c r="I13" s="726"/>
      <c r="J13" s="726"/>
      <c r="K13" s="726"/>
      <c r="L13" s="726"/>
      <c r="M13" s="726"/>
      <c r="N13" s="726"/>
      <c r="O13" s="726"/>
      <c r="P13" s="726"/>
      <c r="Q13" s="726"/>
      <c r="R13" s="726"/>
      <c r="S13" s="726"/>
      <c r="T13" s="726"/>
      <c r="U13" s="726"/>
      <c r="V13" s="726"/>
      <c r="W13" s="726"/>
      <c r="X13" s="726"/>
      <c r="Y13" s="726"/>
      <c r="Z13" s="850"/>
      <c r="AA13" s="850"/>
      <c r="AB13" s="1071"/>
    </row>
    <row r="15" s="8794" customFormat="1" customHeight="1" ht="10.5">
      <c r="A15" s="1323"/>
      <c r="B15" s="1323"/>
      <c r="C15" s="1323"/>
      <c r="E15" s="672"/>
      <c r="H15" s="665">
        <f>_xlfn.IFERROR(MATCH("нет",IP_MAIN_DIFFERENTIATION_EVENTS_FLAG,0),0)</f>
        <v>0</v>
      </c>
    </row>
  </sheetData>
  <sheetProtection formatColumns="0" formatRows="0" autoFilter="0" sort="0" insertRows="0" insertColumns="1" deleteRows="0" deleteColumns="0"/>
  <mergeCells count="39">
    <mergeCell ref="F6:K6"/>
    <mergeCell ref="F8:AB8"/>
    <mergeCell ref="U9:X9"/>
    <mergeCell ref="U11:U12"/>
    <mergeCell ref="V11:V12"/>
    <mergeCell ref="W11:W12"/>
    <mergeCell ref="X11:X12"/>
    <mergeCell ref="Q9:T9"/>
    <mergeCell ref="I11:I12"/>
    <mergeCell ref="G11:G12"/>
    <mergeCell ref="T11:T12"/>
    <mergeCell ref="S11:S12"/>
    <mergeCell ref="H9:H10"/>
    <mergeCell ref="H11:H12"/>
    <mergeCell ref="Q11:Q12"/>
    <mergeCell ref="R11:R12"/>
    <mergeCell ref="J9:J10"/>
    <mergeCell ref="K11:K12"/>
    <mergeCell ref="Z11:Z12"/>
    <mergeCell ref="Y9:AB9"/>
    <mergeCell ref="AB11:AB12"/>
    <mergeCell ref="Z10:AA10"/>
    <mergeCell ref="AA11:AA12"/>
    <mergeCell ref="F5:K5"/>
    <mergeCell ref="N11:N12"/>
    <mergeCell ref="O11:O12"/>
    <mergeCell ref="P11:P12"/>
    <mergeCell ref="Y11:Y12"/>
    <mergeCell ref="N9:P9"/>
    <mergeCell ref="M9:M10"/>
    <mergeCell ref="F9:F10"/>
    <mergeCell ref="G9:G10"/>
    <mergeCell ref="I9:I10"/>
    <mergeCell ref="K9:K10"/>
    <mergeCell ref="L9:L10"/>
    <mergeCell ref="F11:F12"/>
    <mergeCell ref="M11:M12"/>
    <mergeCell ref="L11:L12"/>
    <mergeCell ref="J11:J12"/>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B3B12C3-336C-B361-8F24-60D9D9FAB69D}" mc:Ignorable="x14ac xr xr2 xr3">
  <sheetPr>
    <tabColor theme="9" tint="-0.25"/>
  </sheetPr>
  <dimension ref="A1:BF19"/>
  <sheetViews>
    <sheetView topLeftCell="A1" showGridLines="0" zoomScale="90" workbookViewId="0">
      <selection activeCell="A1" sqref="A1"/>
    </sheetView>
  </sheetViews>
  <sheetFormatPr defaultColWidth="9.140625" customHeight="1" defaultRowHeight="10.5"/>
  <cols>
    <col min="1" max="3" style="9561" width="4.140625" hidden="1" customWidth="1"/>
    <col min="4" max="4" style="8081" width="4.140625" hidden="1" customWidth="1"/>
    <col min="5" max="5" style="9347" width="3.7109375" customWidth="1"/>
    <col min="6" max="6" style="8080" width="14.421875" customWidth="1"/>
    <col min="7" max="7" style="8080" width="3.7109375" customWidth="1"/>
    <col min="8" max="8" style="8807" width="7.7109375" customWidth="1"/>
    <col min="9" max="10" style="8080" width="16.7109375" customWidth="1"/>
    <col min="11" max="11" style="8080" width="25.7109375" customWidth="1"/>
    <col min="12" max="12" style="9591" width="8.00390625" customWidth="1"/>
    <col min="13" max="13" style="9591" width="15.57421875" customWidth="1"/>
    <col min="14" max="14" style="8080" width="3.28125" customWidth="1"/>
    <col min="15" max="15" style="8080" width="4.7109375" customWidth="1"/>
    <col min="16" max="16" style="8080" width="9.00390625" customWidth="1"/>
    <col min="17" max="17" style="8080" width="21.7109375" customWidth="1"/>
    <col min="18" max="18" style="8080" width="14.7109375" customWidth="1"/>
    <col min="19" max="20" style="8080" width="17.7109375" customWidth="1"/>
    <col min="21" max="21" style="8080" width="9.7109375" customWidth="1"/>
    <col min="22" max="22" style="8080" width="12.7109375" customWidth="1"/>
    <col min="23" max="23" style="8080" width="9.7109375" customWidth="1"/>
    <col min="24" max="24" style="8080" width="21.7109375" customWidth="1"/>
    <col min="25" max="25" style="8080" width="12.7109375" customWidth="1"/>
    <col min="26" max="26" style="8080" width="3.28125" customWidth="1"/>
    <col min="27" max="27" style="8080" width="7.140625" customWidth="1"/>
    <col min="28" max="28" style="8080" width="38.421875" customWidth="1"/>
    <col min="29" max="29" style="8080" width="15.7109375" customWidth="1"/>
    <col min="30" max="30" style="9591" width="37.57421875" hidden="1" customWidth="1"/>
    <col min="31" max="31" style="8080" width="15.7109375" hidden="1" customWidth="1"/>
    <col min="32" max="33" style="8080" width="16.7109375" customWidth="1"/>
    <col min="34" max="34" style="9613" width="16.7109375" customWidth="1"/>
    <col min="35" max="35" style="9614" width="16.7109375" hidden="1" customWidth="1"/>
    <col min="36" max="37" style="8080" width="16.7109375" hidden="1" customWidth="1"/>
    <col min="38" max="58" style="8080" width="9.140625"/>
  </cols>
  <sheetData>
    <row s="8081" customFormat="1" customHeight="1" ht="10.5" hidden="1">
      <c r="A1" s="1049"/>
      <c r="B1" s="1049"/>
      <c r="C1" s="1049"/>
      <c r="E1" s="691"/>
      <c r="H1" s="1316"/>
      <c r="L1" s="1284"/>
      <c r="M1" s="1284"/>
      <c r="AD1" s="1284"/>
      <c r="AH1" s="1303"/>
      <c r="AI1" s="1296"/>
    </row>
    <row customHeight="1" ht="10.5" hidden="1"/>
    <row s="9537" customFormat="1" customHeight="1" ht="10.5" hidden="1">
      <c r="A3" s="1049"/>
      <c r="B3" s="1049"/>
      <c r="C3" s="1049"/>
      <c r="D3" s="571"/>
      <c r="E3" s="516"/>
      <c r="H3" s="1312"/>
      <c r="L3" s="1282"/>
      <c r="M3" s="1282"/>
      <c r="AD3" s="1282"/>
      <c r="AH3" s="1301"/>
      <c r="AI3" s="1294"/>
    </row>
    <row customHeight="1" ht="3"/>
    <row customHeight="1" ht="25.5">
      <c r="F5" s="2353" t="str">
        <f>IP_NAME_FORM</f>
        <v>Форма 7. Информация об инвестиционных программах организации горячего водоснабжения и отчетах об их исполнении</v>
      </c>
      <c r="G5" s="2353"/>
      <c r="H5" s="2353"/>
      <c r="I5" s="2353"/>
      <c r="J5" s="2353"/>
      <c r="K5" s="2353"/>
      <c r="L5" s="1291"/>
      <c r="M5" s="1291"/>
      <c r="AG5" s="1060"/>
      <c r="AH5" s="1304"/>
    </row>
    <row customHeight="1" ht="10.5">
      <c r="F6" s="2267" t="str">
        <f>IF(org=0,"Не определено",org)</f>
        <v>АО "Теплокоммунэнерго"</v>
      </c>
      <c r="G6" s="2267"/>
      <c r="H6" s="2267"/>
      <c r="I6" s="2267"/>
      <c r="J6" s="2267"/>
      <c r="K6" s="2267"/>
      <c r="L6" s="1292"/>
      <c r="M6" s="1292"/>
    </row>
    <row customHeight="1" ht="11.25">
      <c r="E7" s="1062"/>
      <c r="F7" s="1073"/>
      <c r="G7" s="1073"/>
      <c r="H7" s="1342"/>
      <c r="I7" s="1073"/>
      <c r="J7" s="1073"/>
      <c r="K7" s="1075"/>
      <c r="L7" s="1289"/>
      <c r="M7" s="1289"/>
      <c r="N7" s="1073"/>
      <c r="O7" s="1073"/>
      <c r="P7" s="1073"/>
      <c r="Q7" s="1075"/>
      <c r="R7" s="1073"/>
      <c r="S7" s="1073"/>
      <c r="T7" s="1073"/>
      <c r="U7" s="1073"/>
      <c r="V7" s="1073"/>
      <c r="W7" s="1073"/>
      <c r="X7" s="1073"/>
      <c r="Y7" s="1073"/>
      <c r="Z7" s="1073"/>
      <c r="AA7" s="1073"/>
      <c r="AB7" s="1073"/>
      <c r="AC7" s="1074"/>
      <c r="AD7" s="1288"/>
      <c r="AE7" s="1074"/>
      <c r="AF7" s="1073"/>
      <c r="AG7" s="1073"/>
      <c r="AH7" s="1306"/>
      <c r="AI7" s="1299"/>
      <c r="AJ7" s="1073"/>
      <c r="AK7" s="1073"/>
      <c r="AL7" s="1064"/>
      <c r="AM7" s="1064"/>
      <c r="AN7" s="1064"/>
      <c r="AO7" s="1061"/>
      <c r="AP7" s="1061"/>
      <c r="AQ7" s="1061"/>
      <c r="AR7" s="1061"/>
      <c r="AS7" s="1061"/>
      <c r="AT7" s="1061"/>
      <c r="AU7" s="1061"/>
      <c r="AV7" s="1061"/>
      <c r="AW7" s="1061"/>
      <c r="AX7" s="1061"/>
      <c r="AY7" s="1061"/>
      <c r="AZ7" s="1061"/>
      <c r="BA7" s="1061"/>
      <c r="BB7" s="1061"/>
      <c r="BC7" s="1061"/>
      <c r="BD7" s="1061"/>
      <c r="BE7" s="1061"/>
      <c r="BF7" s="1061"/>
    </row>
    <row customHeight="1" ht="10.5">
      <c r="E8" s="1062"/>
      <c r="F8" s="2471" t="s">
        <v>300</v>
      </c>
      <c r="G8" s="2472"/>
      <c r="H8" s="2472"/>
      <c r="I8" s="2472"/>
      <c r="J8" s="2472"/>
      <c r="K8" s="2472"/>
      <c r="L8" s="2472"/>
      <c r="M8" s="2472"/>
      <c r="N8" s="2472"/>
      <c r="O8" s="2472"/>
      <c r="P8" s="2472"/>
      <c r="Q8" s="2472"/>
      <c r="R8" s="2472"/>
      <c r="S8" s="2472"/>
      <c r="T8" s="2472"/>
      <c r="U8" s="2472"/>
      <c r="V8" s="2472"/>
      <c r="W8" s="2472"/>
      <c r="X8" s="2472"/>
      <c r="Y8" s="2472"/>
      <c r="Z8" s="2472"/>
      <c r="AA8" s="2472"/>
      <c r="AB8" s="2472"/>
      <c r="AC8" s="2472"/>
      <c r="AD8" s="2472"/>
      <c r="AE8" s="2472"/>
      <c r="AF8" s="2472"/>
      <c r="AG8" s="2472"/>
      <c r="AH8" s="2472"/>
      <c r="AI8" s="2472"/>
      <c r="AJ8" s="2472"/>
      <c r="AK8" s="2473"/>
      <c r="AL8" s="1063"/>
      <c r="AM8" s="1061"/>
      <c r="AN8" s="1061"/>
      <c r="AO8" s="1061"/>
      <c r="AP8" s="1061"/>
      <c r="AQ8" s="1061"/>
      <c r="AR8" s="1061"/>
      <c r="AS8" s="1061"/>
      <c r="AT8" s="1061"/>
      <c r="AU8" s="1061"/>
      <c r="AV8" s="1061"/>
      <c r="AW8" s="1061"/>
      <c r="AX8" s="1061"/>
      <c r="AY8" s="1061"/>
      <c r="AZ8" s="1061"/>
      <c r="BA8" s="1061"/>
      <c r="BB8" s="1061"/>
      <c r="BC8" s="1061"/>
      <c r="BD8" s="1061"/>
      <c r="BE8" s="1061"/>
      <c r="BF8" s="1061"/>
    </row>
    <row customHeight="1" ht="23.25">
      <c r="A9" s="1059"/>
      <c r="B9" s="1059"/>
      <c r="C9" s="1059"/>
      <c r="E9" s="1062"/>
      <c r="F9" s="2464" t="s">
        <v>904</v>
      </c>
      <c r="G9" s="2465" t="s">
        <v>905</v>
      </c>
      <c r="H9" s="2466"/>
      <c r="I9" s="2185" t="s">
        <v>906</v>
      </c>
      <c r="J9" s="2185"/>
      <c r="K9" s="2185" t="s">
        <v>907</v>
      </c>
      <c r="L9" s="2185"/>
      <c r="M9" s="2185"/>
      <c r="N9" s="2185"/>
      <c r="O9" s="2185"/>
      <c r="P9" s="2185"/>
      <c r="Q9" s="2185"/>
      <c r="R9" s="2185"/>
      <c r="S9" s="2185"/>
      <c r="T9" s="2185"/>
      <c r="U9" s="2185"/>
      <c r="V9" s="2185"/>
      <c r="W9" s="2185"/>
      <c r="X9" s="2185"/>
      <c r="Y9" s="2185"/>
      <c r="Z9" s="2243" t="s">
        <v>908</v>
      </c>
      <c r="AA9" s="2244"/>
      <c r="AB9" s="2185" t="s">
        <v>909</v>
      </c>
      <c r="AC9" s="2185"/>
      <c r="AD9" s="2185"/>
      <c r="AE9" s="2185"/>
      <c r="AF9" s="2242" t="s">
        <v>910</v>
      </c>
      <c r="AG9" s="2185" t="s">
        <v>911</v>
      </c>
      <c r="AH9" s="2185"/>
      <c r="AI9" s="2242" t="s">
        <v>912</v>
      </c>
      <c r="AJ9" s="2185" t="s">
        <v>913</v>
      </c>
      <c r="AK9" s="2185"/>
      <c r="AL9" s="1298"/>
      <c r="AM9" s="1061"/>
      <c r="AN9" s="1061"/>
      <c r="AO9" s="1061"/>
      <c r="AP9" s="1061"/>
      <c r="AQ9" s="1061"/>
      <c r="AR9" s="1061"/>
      <c r="AS9" s="1061"/>
      <c r="AT9" s="1061"/>
      <c r="AU9" s="1061"/>
      <c r="AV9" s="1061"/>
      <c r="AW9" s="1061"/>
      <c r="AX9" s="1061"/>
      <c r="AY9" s="1061"/>
      <c r="AZ9" s="1061"/>
      <c r="BA9" s="1061"/>
      <c r="BB9" s="1061"/>
      <c r="BC9" s="1061"/>
      <c r="BD9" s="1061"/>
      <c r="BE9" s="1061"/>
      <c r="BF9" s="1061"/>
    </row>
    <row customHeight="1" ht="23.25">
      <c r="A10" s="1059"/>
      <c r="B10" s="1059"/>
      <c r="C10" s="1059"/>
      <c r="E10" s="1066"/>
      <c r="F10" s="2464"/>
      <c r="G10" s="2467"/>
      <c r="H10" s="2468"/>
      <c r="I10" s="2185"/>
      <c r="J10" s="2185"/>
      <c r="K10" s="2185" t="s">
        <v>914</v>
      </c>
      <c r="L10" s="2169" t="s">
        <v>915</v>
      </c>
      <c r="M10" s="2171"/>
      <c r="N10" s="2185" t="s">
        <v>916</v>
      </c>
      <c r="O10" s="2185"/>
      <c r="P10" s="2185"/>
      <c r="Q10" s="2185"/>
      <c r="R10" s="2185"/>
      <c r="S10" s="2185"/>
      <c r="T10" s="2185"/>
      <c r="U10" s="2185"/>
      <c r="V10" s="2185"/>
      <c r="W10" s="2185"/>
      <c r="X10" s="2185"/>
      <c r="Y10" s="2185"/>
      <c r="Z10" s="2245"/>
      <c r="AA10" s="2246"/>
      <c r="AB10" s="2185"/>
      <c r="AC10" s="2185"/>
      <c r="AD10" s="2185"/>
      <c r="AE10" s="2185"/>
      <c r="AF10" s="2250"/>
      <c r="AG10" s="2185"/>
      <c r="AH10" s="2185"/>
      <c r="AI10" s="2250"/>
      <c r="AJ10" s="2185"/>
      <c r="AK10" s="2185"/>
      <c r="AL10" s="1298"/>
      <c r="AM10" s="1067"/>
      <c r="AN10" s="1067"/>
      <c r="AO10" s="1067"/>
      <c r="AP10" s="1067"/>
      <c r="AQ10" s="1067"/>
      <c r="AR10" s="1067"/>
      <c r="AS10" s="1067"/>
      <c r="AT10" s="1067"/>
      <c r="AU10" s="1067"/>
      <c r="AV10" s="1067"/>
      <c r="AW10" s="1067"/>
      <c r="AX10" s="1067"/>
      <c r="AY10" s="1067"/>
      <c r="AZ10" s="1067"/>
      <c r="BA10" s="1067"/>
      <c r="BB10" s="1067"/>
      <c r="BC10" s="1067"/>
      <c r="BD10" s="1067"/>
      <c r="BE10" s="1067"/>
      <c r="BF10" s="1067"/>
    </row>
    <row s="9591" customFormat="1" customHeight="1" ht="23.25">
      <c r="A11" s="1285"/>
      <c r="B11" s="1285"/>
      <c r="C11" s="1285"/>
      <c r="D11" s="1284"/>
      <c r="E11" s="1286"/>
      <c r="F11" s="2464"/>
      <c r="G11" s="2467"/>
      <c r="H11" s="2468"/>
      <c r="I11" s="2185"/>
      <c r="J11" s="2185"/>
      <c r="K11" s="2185"/>
      <c r="L11" s="2242" t="s">
        <v>917</v>
      </c>
      <c r="M11" s="2242" t="s">
        <v>918</v>
      </c>
      <c r="N11" s="2185" t="s">
        <v>919</v>
      </c>
      <c r="O11" s="2185"/>
      <c r="P11" s="2462" t="s">
        <v>900</v>
      </c>
      <c r="Q11" s="2462" t="s">
        <v>920</v>
      </c>
      <c r="R11" s="2462" t="s">
        <v>921</v>
      </c>
      <c r="S11" s="2462" t="s">
        <v>922</v>
      </c>
      <c r="T11" s="2462"/>
      <c r="U11" s="2462"/>
      <c r="V11" s="2462"/>
      <c r="W11" s="2462"/>
      <c r="X11" s="2462"/>
      <c r="Y11" s="2462"/>
      <c r="Z11" s="2245"/>
      <c r="AA11" s="2246"/>
      <c r="AB11" s="2185" t="s">
        <v>923</v>
      </c>
      <c r="AC11" s="2185"/>
      <c r="AD11" s="2169" t="s">
        <v>924</v>
      </c>
      <c r="AE11" s="2171"/>
      <c r="AF11" s="2250"/>
      <c r="AG11" s="2185"/>
      <c r="AH11" s="2185"/>
      <c r="AI11" s="2250"/>
      <c r="AJ11" s="2185"/>
      <c r="AK11" s="2185"/>
      <c r="AL11" s="1298"/>
      <c r="AM11" s="1283"/>
      <c r="AN11" s="1283"/>
      <c r="AO11" s="1283"/>
      <c r="AP11" s="1283"/>
      <c r="AQ11" s="1283"/>
      <c r="AR11" s="1283"/>
      <c r="AS11" s="1283"/>
      <c r="AT11" s="1283"/>
      <c r="AU11" s="1283"/>
      <c r="AV11" s="1283"/>
      <c r="AW11" s="1283"/>
      <c r="AX11" s="1283"/>
      <c r="AY11" s="1283"/>
      <c r="AZ11" s="1283"/>
      <c r="BA11" s="1283"/>
      <c r="BB11" s="1283"/>
      <c r="BC11" s="1283"/>
      <c r="BD11" s="1283"/>
      <c r="BE11" s="1283"/>
      <c r="BF11" s="1283"/>
    </row>
    <row customHeight="1" ht="33.75">
      <c r="A12" s="1059"/>
      <c r="B12" s="1059"/>
      <c r="C12" s="1059"/>
      <c r="E12" s="1062"/>
      <c r="F12" s="2464"/>
      <c r="G12" s="2469"/>
      <c r="H12" s="2470"/>
      <c r="I12" s="1309" t="s">
        <v>86</v>
      </c>
      <c r="J12" s="1309" t="s">
        <v>925</v>
      </c>
      <c r="K12" s="2185"/>
      <c r="L12" s="2303"/>
      <c r="M12" s="2303"/>
      <c r="N12" s="2185"/>
      <c r="O12" s="2185"/>
      <c r="P12" s="2462"/>
      <c r="Q12" s="2462"/>
      <c r="R12" s="2462"/>
      <c r="S12" s="1290" t="s">
        <v>83</v>
      </c>
      <c r="T12" s="1290" t="s">
        <v>84</v>
      </c>
      <c r="U12" s="1290" t="s">
        <v>82</v>
      </c>
      <c r="V12" s="1290" t="s">
        <v>926</v>
      </c>
      <c r="W12" s="1290" t="s">
        <v>82</v>
      </c>
      <c r="X12" s="1290" t="s">
        <v>927</v>
      </c>
      <c r="Y12" s="1290" t="s">
        <v>928</v>
      </c>
      <c r="Z12" s="2251"/>
      <c r="AA12" s="2252"/>
      <c r="AB12" s="1297" t="s">
        <v>929</v>
      </c>
      <c r="AC12" s="1297" t="s">
        <v>930</v>
      </c>
      <c r="AD12" s="1297" t="s">
        <v>929</v>
      </c>
      <c r="AE12" s="1297" t="s">
        <v>930</v>
      </c>
      <c r="AF12" s="2303"/>
      <c r="AG12" s="1310" t="s">
        <v>931</v>
      </c>
      <c r="AH12" s="1310" t="s">
        <v>932</v>
      </c>
      <c r="AI12" s="2303"/>
      <c r="AJ12" s="1310" t="s">
        <v>931</v>
      </c>
      <c r="AK12" s="1310" t="s">
        <v>932</v>
      </c>
      <c r="AL12" s="1298"/>
      <c r="AM12" s="1061"/>
      <c r="AN12" s="1061"/>
      <c r="AO12" s="1061"/>
      <c r="AP12" s="1061"/>
      <c r="AQ12" s="1061"/>
      <c r="AR12" s="1061"/>
      <c r="AS12" s="1061"/>
      <c r="AT12" s="1061"/>
      <c r="AU12" s="1061"/>
      <c r="AV12" s="1061"/>
      <c r="AW12" s="1061"/>
      <c r="AX12" s="1061"/>
      <c r="AY12" s="1061"/>
      <c r="AZ12" s="1061"/>
      <c r="BA12" s="1061"/>
      <c r="BB12" s="1061"/>
      <c r="BC12" s="1061"/>
      <c r="BD12" s="1061"/>
      <c r="BE12" s="1061"/>
      <c r="BF12" s="1061"/>
    </row>
    <row customHeight="1" ht="0.75">
      <c r="E13" s="1062"/>
      <c r="F13" s="1280">
        <v>0</v>
      </c>
      <c r="G13" s="1280"/>
      <c r="H13" s="1280"/>
      <c r="I13" s="1280"/>
      <c r="J13" s="1280"/>
      <c r="K13" s="1287"/>
      <c r="L13" s="1287"/>
      <c r="M13" s="1287"/>
      <c r="N13" s="1287"/>
      <c r="O13" s="1287"/>
      <c r="P13" s="1287"/>
      <c r="Q13" s="1287"/>
      <c r="R13" s="1287"/>
      <c r="S13" s="1287"/>
      <c r="T13" s="1287"/>
      <c r="U13" s="1287"/>
      <c r="V13" s="1287"/>
      <c r="W13" s="1287"/>
      <c r="X13" s="1287"/>
      <c r="Y13" s="1287"/>
      <c r="Z13" s="1287"/>
      <c r="AA13" s="1287"/>
      <c r="AB13" s="1287"/>
      <c r="AC13" s="1287"/>
      <c r="AD13" s="1287"/>
      <c r="AE13" s="1287"/>
      <c r="AF13" s="1287"/>
      <c r="AG13" s="1287"/>
      <c r="AH13" s="1305"/>
      <c r="AI13" s="1298"/>
      <c r="AJ13" s="1287"/>
      <c r="AK13" s="1287"/>
      <c r="AL13" s="1063"/>
      <c r="AM13" s="1061"/>
      <c r="AN13" s="1061"/>
      <c r="AO13" s="1061"/>
      <c r="AP13" s="1061"/>
      <c r="AQ13" s="1061"/>
      <c r="AR13" s="1061"/>
      <c r="AS13" s="1061"/>
      <c r="AT13" s="1061"/>
      <c r="AU13" s="1061"/>
      <c r="AV13" s="1061"/>
      <c r="AW13" s="1061"/>
      <c r="AX13" s="1061"/>
      <c r="AY13" s="1061"/>
      <c r="AZ13" s="1061"/>
      <c r="BA13" s="1061"/>
      <c r="BB13" s="1061"/>
      <c r="BC13" s="1061"/>
      <c r="BD13" s="1061"/>
      <c r="BE13" s="1061"/>
      <c r="BF13" s="1061"/>
    </row>
    <row customHeight="1" ht="10.5">
      <c r="E14" s="1061"/>
      <c r="F14" s="1072"/>
      <c r="G14" s="1072"/>
      <c r="H14" s="1329"/>
      <c r="I14" s="1072"/>
      <c r="J14" s="1072"/>
      <c r="K14" s="1072"/>
      <c r="L14" s="1287"/>
      <c r="M14" s="1287"/>
      <c r="N14" s="1072"/>
      <c r="O14" s="1072"/>
      <c r="P14" s="1072"/>
      <c r="Q14" s="1072"/>
      <c r="R14" s="1072"/>
      <c r="S14" s="1072"/>
      <c r="T14" s="1072"/>
      <c r="U14" s="1072"/>
      <c r="V14" s="1072"/>
      <c r="W14" s="1072"/>
      <c r="X14" s="1072"/>
      <c r="Y14" s="1072"/>
      <c r="Z14" s="1072"/>
      <c r="AA14" s="1072"/>
      <c r="AB14" s="1072"/>
      <c r="AC14" s="1072"/>
      <c r="AD14" s="1287"/>
      <c r="AE14" s="1072"/>
      <c r="AF14" s="1072"/>
      <c r="AG14" s="1072"/>
      <c r="AH14" s="1305"/>
      <c r="AI14" s="1298"/>
      <c r="AJ14" s="1072"/>
      <c r="AK14" s="1072"/>
      <c r="AL14" s="1061"/>
      <c r="AM14" s="1061"/>
      <c r="AN14" s="1061"/>
      <c r="AO14" s="1061"/>
      <c r="AP14" s="1061"/>
      <c r="AQ14" s="1061"/>
      <c r="AR14" s="1061"/>
      <c r="AS14" s="1061"/>
      <c r="AT14" s="1061"/>
      <c r="AU14" s="1061"/>
      <c r="AV14" s="1061"/>
      <c r="AW14" s="1061"/>
      <c r="AX14" s="1061"/>
      <c r="AY14" s="1061"/>
      <c r="AZ14" s="1061"/>
      <c r="BA14" s="1061"/>
      <c r="BB14" s="1061"/>
      <c r="BC14" s="1061"/>
      <c r="BD14" s="1061"/>
      <c r="BE14" s="1061"/>
      <c r="BF14" s="1061"/>
    </row>
    <row customHeight="1" ht="12.75">
      <c r="E15" s="1061"/>
      <c r="F15" s="1068" t="s">
        <v>933</v>
      </c>
      <c r="G15" s="1068"/>
      <c r="H15" s="1328"/>
      <c r="I15" s="1068"/>
      <c r="J15" s="1068"/>
      <c r="K15" s="1065"/>
      <c r="L15" s="1283"/>
      <c r="M15" s="1283"/>
      <c r="N15" s="1067"/>
      <c r="O15" s="1067"/>
      <c r="P15" s="1067"/>
      <c r="Q15" s="1067"/>
      <c r="R15" s="1067"/>
      <c r="S15" s="1067"/>
      <c r="T15" s="1067"/>
      <c r="U15" s="1067"/>
      <c r="V15" s="1067"/>
      <c r="W15" s="1067"/>
      <c r="X15" s="1067"/>
      <c r="Y15" s="1067"/>
      <c r="Z15" s="1065"/>
      <c r="AA15" s="1065"/>
      <c r="AB15" s="1065"/>
      <c r="AC15" s="1065"/>
      <c r="AD15" s="1283"/>
      <c r="AE15" s="1065"/>
      <c r="AF15" s="1065"/>
      <c r="AG15" s="1065"/>
      <c r="AH15" s="1302"/>
      <c r="AI15" s="1295"/>
      <c r="AJ15" s="1065"/>
      <c r="AK15" s="1065"/>
      <c r="AL15" s="1061"/>
      <c r="AM15" s="1061"/>
      <c r="AN15" s="1061"/>
      <c r="AO15" s="1061"/>
      <c r="AP15" s="1061"/>
      <c r="AQ15" s="1061"/>
      <c r="AR15" s="1061"/>
      <c r="AS15" s="1061"/>
      <c r="AT15" s="1061"/>
      <c r="AU15" s="1061"/>
      <c r="AV15" s="1061"/>
      <c r="AW15" s="1061"/>
      <c r="AX15" s="1061"/>
      <c r="AY15" s="1061"/>
      <c r="AZ15" s="1061"/>
      <c r="BA15" s="1061"/>
      <c r="BB15" s="1061"/>
      <c r="BC15" s="1061"/>
      <c r="BD15" s="1061"/>
      <c r="BE15" s="1061"/>
      <c r="BF15" s="1061"/>
    </row>
    <row r="17" customHeight="1" ht="10.5">
      <c r="E17" s="1061"/>
      <c r="F17" s="2463"/>
      <c r="G17" s="2463"/>
      <c r="H17" s="2463"/>
      <c r="I17" s="2463"/>
      <c r="J17" s="2463"/>
      <c r="K17" s="1065"/>
      <c r="L17" s="1283"/>
      <c r="M17" s="1283"/>
      <c r="N17" s="1067"/>
      <c r="O17" s="1067"/>
      <c r="P17" s="1067"/>
      <c r="Q17" s="1067"/>
      <c r="R17" s="1067"/>
      <c r="S17" s="1067"/>
      <c r="T17" s="1067"/>
      <c r="U17" s="1067"/>
      <c r="V17" s="1067"/>
      <c r="W17" s="1067"/>
      <c r="X17" s="1067"/>
      <c r="Y17" s="1067"/>
      <c r="Z17" s="1065"/>
      <c r="AA17" s="1065"/>
      <c r="AB17" s="1065"/>
      <c r="AC17" s="1065"/>
      <c r="AD17" s="1283"/>
      <c r="AE17" s="1065"/>
      <c r="AF17" s="1065"/>
      <c r="AG17" s="1065"/>
      <c r="AH17" s="1302"/>
      <c r="AI17" s="1295"/>
      <c r="AJ17" s="1065"/>
      <c r="AK17" s="1065"/>
      <c r="AL17" s="1061"/>
      <c r="AM17" s="1061"/>
      <c r="AN17" s="1061"/>
      <c r="AO17" s="1061"/>
      <c r="AP17" s="1061"/>
      <c r="AQ17" s="1061"/>
      <c r="AR17" s="1061"/>
      <c r="AS17" s="1061"/>
      <c r="AT17" s="1061"/>
      <c r="AU17" s="1061"/>
      <c r="AV17" s="1061"/>
      <c r="AW17" s="1061"/>
      <c r="AX17" s="1061"/>
      <c r="AY17" s="1061"/>
      <c r="AZ17" s="1061"/>
      <c r="BA17" s="1061"/>
      <c r="BB17" s="1061"/>
      <c r="BC17" s="1061"/>
      <c r="BD17" s="1061"/>
      <c r="BE17" s="1061"/>
      <c r="BF17" s="1061"/>
    </row>
    <row customHeight="1" ht="10.5">
      <c r="E18" s="1061"/>
      <c r="F18" s="2463"/>
      <c r="G18" s="2463"/>
      <c r="H18" s="2463"/>
      <c r="I18" s="2463"/>
      <c r="J18" s="2463"/>
      <c r="K18" s="1065"/>
      <c r="L18" s="1283"/>
      <c r="M18" s="1283"/>
      <c r="N18" s="1067"/>
      <c r="O18" s="1067"/>
      <c r="P18" s="1067"/>
      <c r="Q18" s="1067"/>
      <c r="R18" s="1067"/>
      <c r="S18" s="1067"/>
      <c r="T18" s="1067"/>
      <c r="U18" s="1067"/>
      <c r="V18" s="1067"/>
      <c r="W18" s="1067"/>
      <c r="X18" s="1067"/>
      <c r="Y18" s="1067"/>
      <c r="Z18" s="1065"/>
      <c r="AA18" s="1065"/>
      <c r="AB18" s="1065"/>
      <c r="AC18" s="1065"/>
      <c r="AD18" s="1283"/>
      <c r="AE18" s="1065"/>
      <c r="AF18" s="1065"/>
      <c r="AG18" s="1065"/>
      <c r="AH18" s="1302"/>
      <c r="AI18" s="1295"/>
      <c r="AJ18" s="1065"/>
      <c r="AK18" s="1065"/>
      <c r="AL18" s="1061"/>
      <c r="AM18" s="1061"/>
      <c r="AN18" s="1061"/>
      <c r="AO18" s="1061"/>
      <c r="AP18" s="1061"/>
      <c r="AQ18" s="1061"/>
      <c r="AR18" s="1061"/>
      <c r="AS18" s="1061"/>
      <c r="AT18" s="1061"/>
      <c r="AU18" s="1061"/>
      <c r="AV18" s="1061"/>
      <c r="AW18" s="1061"/>
      <c r="AX18" s="1061"/>
      <c r="AY18" s="1061"/>
      <c r="AZ18" s="1061"/>
      <c r="BA18" s="1061"/>
      <c r="BB18" s="1061"/>
      <c r="BC18" s="1061"/>
      <c r="BD18" s="1061"/>
      <c r="BE18" s="1061"/>
      <c r="BF18" s="1061"/>
    </row>
    <row customHeight="1" ht="10.5">
      <c r="E19" s="1061"/>
      <c r="F19" s="2463"/>
      <c r="G19" s="2463"/>
      <c r="H19" s="2463"/>
      <c r="I19" s="2463"/>
      <c r="J19" s="2463"/>
      <c r="K19" s="1065"/>
      <c r="L19" s="1283"/>
      <c r="M19" s="1283"/>
      <c r="N19" s="1067"/>
      <c r="O19" s="1067"/>
      <c r="P19" s="1067"/>
      <c r="Q19" s="1067"/>
      <c r="R19" s="1067"/>
      <c r="S19" s="1067"/>
      <c r="T19" s="1067"/>
      <c r="U19" s="1067"/>
      <c r="V19" s="1067"/>
      <c r="W19" s="1067"/>
      <c r="X19" s="1067"/>
      <c r="Y19" s="1067"/>
      <c r="Z19" s="1065"/>
      <c r="AA19" s="1065"/>
      <c r="AB19" s="1065"/>
      <c r="AC19" s="1065"/>
      <c r="AD19" s="1283"/>
      <c r="AE19" s="1065"/>
      <c r="AF19" s="1065"/>
      <c r="AG19" s="1065"/>
      <c r="AH19" s="1302"/>
      <c r="AI19" s="1295"/>
      <c r="AJ19" s="1065"/>
      <c r="AK19" s="1065"/>
      <c r="AL19" s="1061"/>
      <c r="AM19" s="1061"/>
      <c r="AN19" s="1061"/>
      <c r="AO19" s="1061"/>
      <c r="AP19" s="1061"/>
      <c r="AQ19" s="1061"/>
      <c r="AR19" s="1061"/>
      <c r="AS19" s="1061"/>
      <c r="AT19" s="1061"/>
      <c r="AU19" s="1061"/>
      <c r="AV19" s="1061"/>
      <c r="AW19" s="1061"/>
      <c r="AX19" s="1061"/>
      <c r="AY19" s="1061"/>
      <c r="AZ19" s="1061"/>
      <c r="BA19" s="1061"/>
      <c r="BB19" s="1061"/>
      <c r="BC19" s="1061"/>
      <c r="BD19" s="1061"/>
      <c r="BE19" s="1061"/>
      <c r="BF19" s="1061"/>
    </row>
  </sheetData>
  <sheetProtection formatColumns="0" formatRows="0" autoFilter="0" sort="0" insertRows="0" insertColumns="1" deleteRows="0" deleteColumns="0"/>
  <mergeCells count="28">
    <mergeCell ref="I9:J11"/>
    <mergeCell ref="K10:K12"/>
    <mergeCell ref="F18:J18"/>
    <mergeCell ref="F17:J17"/>
    <mergeCell ref="F5:K5"/>
    <mergeCell ref="F19:J19"/>
    <mergeCell ref="F9:F12"/>
    <mergeCell ref="G9:H12"/>
    <mergeCell ref="F6:K6"/>
    <mergeCell ref="F8:AK8"/>
    <mergeCell ref="R11:R12"/>
    <mergeCell ref="L10:M10"/>
    <mergeCell ref="Z9:AA12"/>
    <mergeCell ref="M11:M12"/>
    <mergeCell ref="L11:L12"/>
    <mergeCell ref="AB11:AC11"/>
    <mergeCell ref="AD11:AE11"/>
    <mergeCell ref="AI9:AI12"/>
    <mergeCell ref="AG9:AH11"/>
    <mergeCell ref="AJ9:AK11"/>
    <mergeCell ref="AF9:AF12"/>
    <mergeCell ref="AB9:AE10"/>
    <mergeCell ref="S11:Y11"/>
    <mergeCell ref="N10:Y10"/>
    <mergeCell ref="K9:Y9"/>
    <mergeCell ref="N11:O12"/>
    <mergeCell ref="P11:P12"/>
    <mergeCell ref="Q11:Q12"/>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A8F6CD9-B18D-B1A6-BFF1-3D221809E9A7}" mc:Ignorable="x14ac xr xr2 xr3">
  <sheetPr>
    <tabColor theme="9" tint="-0.25"/>
  </sheetPr>
  <dimension ref="A1:V58"/>
  <sheetViews>
    <sheetView topLeftCell="A1" showGridLines="0" zoomScale="85" workbookViewId="0">
      <selection activeCell="A1" sqref="A1"/>
    </sheetView>
  </sheetViews>
  <sheetFormatPr defaultColWidth="9.140625" customHeight="1" defaultRowHeight="10.5"/>
  <cols>
    <col min="1" max="3" style="9644" width="4.140625" hidden="1" customWidth="1"/>
    <col min="4" max="4" style="8721" width="4.140625" hidden="1" customWidth="1"/>
    <col min="5" max="5" style="9347" width="3.7109375" customWidth="1"/>
    <col min="6" max="6" style="8807" width="6.28125" customWidth="1"/>
    <col min="7" max="7" style="8807" width="60.140625" customWidth="1"/>
    <col min="8" max="9" style="8807" width="21.7109375" hidden="1" customWidth="1"/>
    <col min="10" max="10" style="8807" width="0.140625" customWidth="1"/>
    <col min="11" max="11" style="8807" width="1.7109375" customWidth="1"/>
    <col min="12" max="22" style="8807" width="9.140625"/>
  </cols>
  <sheetData>
    <row s="8721" customFormat="1" customHeight="1" ht="10.5" hidden="1">
      <c r="A1" s="1322"/>
      <c r="B1" s="1322"/>
      <c r="C1" s="1322"/>
      <c r="E1" s="691"/>
    </row>
    <row customHeight="1" ht="10.5" hidden="1"/>
    <row s="9615" customFormat="1" customHeight="1" ht="10.5" hidden="1">
      <c r="A3" s="1322"/>
      <c r="B3" s="1322"/>
      <c r="C3" s="1322"/>
      <c r="D3" s="1316"/>
      <c r="E3" s="516"/>
    </row>
    <row customHeight="1" ht="3"/>
    <row customHeight="1" ht="25.5">
      <c r="F5" s="2353" t="str">
        <f>IP_NAME_FORM&amp;"
Финансовый план"</f>
        <v>Форма 7. Информация об инвестиционных программах организации горячего водоснабжения и отчетах об их исполнении
Финансовый план</v>
      </c>
      <c r="G5" s="2353"/>
      <c r="H5" s="2353"/>
      <c r="I5" s="2353"/>
      <c r="J5" s="2353"/>
    </row>
    <row customHeight="1" ht="10.5">
      <c r="F6" s="2267" t="str">
        <f>IF(org=0,"Не определено",org)</f>
        <v>АО "Теплокоммунэнерго"</v>
      </c>
      <c r="G6" s="2267"/>
      <c r="H6" s="2267"/>
      <c r="I6" s="2267"/>
      <c r="J6" s="2267"/>
    </row>
    <row customHeight="1" ht="11.25">
      <c r="E7" s="1326"/>
      <c r="F7" s="1385"/>
      <c r="G7" s="1385"/>
      <c r="H7" s="1385"/>
      <c r="I7" s="1385"/>
      <c r="J7" s="1385"/>
      <c r="K7" s="1313"/>
      <c r="L7" s="1313"/>
      <c r="M7" s="1313"/>
      <c r="N7" s="1313"/>
      <c r="O7" s="1313"/>
      <c r="P7" s="1313"/>
      <c r="Q7" s="1313"/>
      <c r="R7" s="1313"/>
      <c r="S7" s="1313"/>
      <c r="T7" s="1313"/>
      <c r="U7" s="1313"/>
      <c r="V7" s="1313"/>
    </row>
    <row s="8794" customFormat="1" customHeight="1" ht="5.25">
      <c r="A8" s="1323"/>
      <c r="B8" s="1323"/>
      <c r="C8" s="1323"/>
      <c r="E8" s="1386"/>
      <c r="F8" s="1387"/>
      <c r="G8" s="1387"/>
      <c r="H8" s="1387"/>
      <c r="I8" s="1387"/>
      <c r="J8" s="1387"/>
      <c r="K8" s="1386"/>
      <c r="L8" s="1386"/>
      <c r="M8" s="1386"/>
      <c r="N8" s="1386"/>
      <c r="O8" s="1386"/>
      <c r="P8" s="1386"/>
      <c r="Q8" s="1386"/>
      <c r="R8" s="1386"/>
      <c r="S8" s="1386"/>
      <c r="T8" s="1386"/>
      <c r="U8" s="1386"/>
      <c r="V8" s="1386"/>
    </row>
    <row customHeight="1" ht="10.5">
      <c r="E9" s="1326"/>
      <c r="F9" s="2474" t="s">
        <v>300</v>
      </c>
      <c r="G9" s="2475"/>
      <c r="H9" s="2475"/>
      <c r="I9" s="2475"/>
      <c r="J9" s="2475"/>
      <c r="K9" s="1398"/>
      <c r="L9" s="1313"/>
      <c r="M9" s="1313"/>
      <c r="N9" s="1313"/>
      <c r="O9" s="1313"/>
      <c r="P9" s="1313"/>
      <c r="Q9" s="1313"/>
      <c r="R9" s="1313"/>
      <c r="S9" s="1313"/>
      <c r="T9" s="1313"/>
      <c r="U9" s="1313"/>
      <c r="V9" s="1313"/>
    </row>
    <row customHeight="1" ht="24">
      <c r="E10" s="1313"/>
      <c r="F10" s="2478" t="s">
        <v>85</v>
      </c>
      <c r="G10" s="2483" t="s">
        <v>934</v>
      </c>
      <c r="H10" s="2481" t="s">
        <v>935</v>
      </c>
      <c r="I10" s="2481"/>
      <c r="J10" s="2481"/>
      <c r="K10" s="1391"/>
      <c r="L10" s="1313"/>
      <c r="M10" s="1313"/>
      <c r="N10" s="1313"/>
      <c r="O10" s="1313"/>
      <c r="P10" s="1313"/>
      <c r="Q10" s="1313"/>
      <c r="R10" s="1313"/>
      <c r="S10" s="1313"/>
      <c r="T10" s="1313"/>
      <c r="U10" s="1313"/>
      <c r="V10" s="1313"/>
    </row>
    <row customHeight="1" ht="24">
      <c r="E11" s="1313"/>
      <c r="F11" s="2479"/>
      <c r="G11" s="2483"/>
      <c r="H11" s="2482">
        <f>INDEX(IP_MAIN_LIST_NAME_IP,MATCH(H8,IP_MAIN_LIST_IP_ID,0))&amp;" ("&amp;INDEX(IP_MAIN_START_DATE,MATCH(H8,IP_MAIN_LIST_IP_ID,0))&amp;"-"&amp;INDEX(IP_MAIN_END_DATE,MATCH(H8,IP_MAIN_LIST_IP_ID,0))&amp;")"</f>
      </c>
      <c r="I11" s="2482"/>
      <c r="J11" s="2482"/>
      <c r="K11" s="1391"/>
      <c r="L11" s="1313"/>
      <c r="M11" s="1313"/>
      <c r="N11" s="1313"/>
      <c r="O11" s="1313"/>
      <c r="P11" s="1313"/>
      <c r="Q11" s="1313"/>
      <c r="R11" s="1313"/>
      <c r="S11" s="1313"/>
      <c r="T11" s="1313"/>
      <c r="U11" s="1313"/>
      <c r="V11" s="1313"/>
    </row>
    <row customHeight="1" ht="10.5">
      <c r="F12" s="2480"/>
      <c r="G12" s="2483"/>
      <c r="H12" s="1384" t="s">
        <v>936</v>
      </c>
      <c r="I12" s="1390"/>
      <c r="J12" s="1384"/>
      <c r="K12" s="1392"/>
    </row>
    <row customHeight="1" ht="10.5" hidden="1">
      <c r="F13" s="1384">
        <v>1</v>
      </c>
      <c r="G13" s="1384">
        <v>2</v>
      </c>
      <c r="H13" s="1384">
        <v>3</v>
      </c>
      <c r="I13" s="1384">
        <v>4</v>
      </c>
      <c r="J13" s="1384">
        <v>5</v>
      </c>
      <c r="K13" s="1392"/>
    </row>
    <row customHeight="1" ht="11.25">
      <c r="F14" s="1383" t="s">
        <v>937</v>
      </c>
      <c r="G14" s="2476" t="s">
        <v>938</v>
      </c>
      <c r="H14" s="2476"/>
      <c r="I14" s="2476"/>
      <c r="J14" s="2476"/>
      <c r="K14" s="1392"/>
    </row>
    <row customHeight="1" ht="11.25">
      <c r="F15" s="1388">
        <v>1</v>
      </c>
      <c r="G15" s="844" t="s">
        <v>939</v>
      </c>
      <c r="H15" s="1394">
        <f>SUM(I15:J15)</f>
        <v>0</v>
      </c>
      <c r="I15" s="1394">
        <f>SUM(I16:I27)</f>
        <v>0</v>
      </c>
      <c r="J15" s="1383"/>
      <c r="K15" s="1392"/>
    </row>
    <row customHeight="1" ht="22.5">
      <c r="F16" s="1388" t="s">
        <v>940</v>
      </c>
      <c r="G16" s="1395" t="s">
        <v>941</v>
      </c>
      <c r="H16" s="1394">
        <f>SUM(I16:J16)</f>
        <v>0</v>
      </c>
      <c r="I16" s="1393"/>
      <c r="J16" s="1383"/>
      <c r="K16" s="1392"/>
    </row>
    <row customHeight="1" ht="22.5">
      <c r="F17" s="1388" t="s">
        <v>942</v>
      </c>
      <c r="G17" s="1395" t="s">
        <v>943</v>
      </c>
      <c r="H17" s="1394">
        <f>SUM(I17:J17)</f>
        <v>0</v>
      </c>
      <c r="I17" s="1393"/>
      <c r="J17" s="1383"/>
      <c r="K17" s="1392"/>
    </row>
    <row customHeight="1" ht="33.75">
      <c r="F18" s="1388" t="s">
        <v>944</v>
      </c>
      <c r="G18" s="1395" t="s">
        <v>945</v>
      </c>
      <c r="H18" s="1394">
        <f>SUM(I18:J18)</f>
        <v>0</v>
      </c>
      <c r="I18" s="1393"/>
      <c r="J18" s="1383"/>
      <c r="K18" s="1392"/>
    </row>
    <row customHeight="1" ht="33.75">
      <c r="F19" s="1388" t="s">
        <v>946</v>
      </c>
      <c r="G19" s="1395" t="s">
        <v>947</v>
      </c>
      <c r="H19" s="1394">
        <f>SUM(I19:J19)</f>
        <v>0</v>
      </c>
      <c r="I19" s="1393"/>
      <c r="J19" s="1383"/>
      <c r="K19" s="1392"/>
    </row>
    <row customHeight="1" ht="45">
      <c r="F20" s="1388" t="s">
        <v>948</v>
      </c>
      <c r="G20" s="1395" t="s">
        <v>949</v>
      </c>
      <c r="H20" s="1394">
        <f>SUM(I20:J20)</f>
        <v>0</v>
      </c>
      <c r="I20" s="1393"/>
      <c r="J20" s="1383"/>
      <c r="K20" s="1392"/>
    </row>
    <row customHeight="1" ht="33.75">
      <c r="F21" s="1388" t="s">
        <v>950</v>
      </c>
      <c r="G21" s="1395" t="s">
        <v>951</v>
      </c>
      <c r="H21" s="1394">
        <f>SUM(I21:J21)</f>
        <v>0</v>
      </c>
      <c r="I21" s="1393"/>
      <c r="J21" s="1383"/>
      <c r="K21" s="1392"/>
    </row>
    <row customHeight="1" ht="33.75">
      <c r="F22" s="1388" t="s">
        <v>952</v>
      </c>
      <c r="G22" s="1395" t="s">
        <v>953</v>
      </c>
      <c r="H22" s="1394">
        <f>SUM(I22:J22)</f>
        <v>0</v>
      </c>
      <c r="I22" s="1393"/>
      <c r="J22" s="1383"/>
      <c r="K22" s="1392"/>
    </row>
    <row customHeight="1" ht="22.5">
      <c r="F23" s="1388" t="s">
        <v>954</v>
      </c>
      <c r="G23" s="1395" t="s">
        <v>955</v>
      </c>
      <c r="H23" s="1394">
        <f>SUM(I23:J23)</f>
        <v>0</v>
      </c>
      <c r="I23" s="1393"/>
      <c r="J23" s="1383"/>
      <c r="K23" s="1392"/>
    </row>
    <row customHeight="1" ht="22.5">
      <c r="F24" s="1388" t="s">
        <v>956</v>
      </c>
      <c r="G24" s="1395" t="s">
        <v>957</v>
      </c>
      <c r="H24" s="1394">
        <f>SUM(I24:J24)</f>
        <v>0</v>
      </c>
      <c r="I24" s="1393"/>
      <c r="J24" s="1383"/>
      <c r="K24" s="1392"/>
    </row>
    <row customHeight="1" ht="33.75">
      <c r="F25" s="1388" t="s">
        <v>958</v>
      </c>
      <c r="G25" s="1395" t="s">
        <v>959</v>
      </c>
      <c r="H25" s="1394">
        <f>SUM(I25:J25)</f>
        <v>0</v>
      </c>
      <c r="I25" s="1393"/>
      <c r="J25" s="1383"/>
      <c r="K25" s="1392"/>
    </row>
    <row customHeight="1" ht="33.75">
      <c r="F26" s="1388" t="s">
        <v>960</v>
      </c>
      <c r="G26" s="1395" t="s">
        <v>961</v>
      </c>
      <c r="H26" s="1394">
        <f>SUM(I26:J26)</f>
        <v>0</v>
      </c>
      <c r="I26" s="1393"/>
      <c r="J26" s="1383"/>
      <c r="K26" s="1392"/>
    </row>
    <row customHeight="1" ht="11.25">
      <c r="F27" s="1388" t="s">
        <v>962</v>
      </c>
      <c r="G27" s="1395" t="s">
        <v>963</v>
      </c>
      <c r="H27" s="1394">
        <f>SUM(I27:J27)</f>
        <v>0</v>
      </c>
      <c r="I27" s="1393"/>
      <c r="J27" s="1383"/>
      <c r="K27" s="1392"/>
    </row>
    <row customHeight="1" ht="11.25">
      <c r="F28" s="1388">
        <v>2</v>
      </c>
      <c r="G28" s="844" t="s">
        <v>964</v>
      </c>
      <c r="H28" s="1394">
        <f>SUM(I28:J28)</f>
        <v>0</v>
      </c>
      <c r="I28" s="1394">
        <f>SUM(I29:I31)</f>
        <v>0</v>
      </c>
      <c r="J28" s="1383"/>
      <c r="K28" s="1392"/>
    </row>
    <row customHeight="1" ht="11.25">
      <c r="F29" s="1388" t="s">
        <v>623</v>
      </c>
      <c r="G29" s="1395" t="s">
        <v>965</v>
      </c>
      <c r="H29" s="1394">
        <f>SUM(I29:J29)</f>
        <v>0</v>
      </c>
      <c r="I29" s="1393"/>
      <c r="J29" s="1383"/>
      <c r="K29" s="1392"/>
    </row>
    <row customHeight="1" ht="11.25">
      <c r="F30" s="1388" t="s">
        <v>307</v>
      </c>
      <c r="G30" s="1395" t="s">
        <v>966</v>
      </c>
      <c r="H30" s="1394">
        <f>SUM(I30:J30)</f>
        <v>0</v>
      </c>
      <c r="I30" s="1393"/>
      <c r="J30" s="1383"/>
      <c r="K30" s="1392"/>
    </row>
    <row customHeight="1" ht="11.25">
      <c r="F31" s="1388" t="s">
        <v>310</v>
      </c>
      <c r="G31" s="1395" t="s">
        <v>967</v>
      </c>
      <c r="H31" s="1394">
        <f>SUM(I31:J31)</f>
        <v>0</v>
      </c>
      <c r="I31" s="1393"/>
      <c r="J31" s="1383"/>
      <c r="K31" s="1392"/>
    </row>
    <row customHeight="1" ht="11.25">
      <c r="F32" s="1388">
        <v>3</v>
      </c>
      <c r="G32" s="844" t="s">
        <v>968</v>
      </c>
      <c r="H32" s="1394">
        <f>SUM(I32:J32)</f>
        <v>0</v>
      </c>
      <c r="I32" s="1394">
        <f>SUM(I33:I34)</f>
        <v>0</v>
      </c>
      <c r="J32" s="1383"/>
      <c r="K32" s="1392"/>
    </row>
    <row customHeight="1" ht="33.75">
      <c r="F33" s="1388" t="s">
        <v>324</v>
      </c>
      <c r="G33" s="1395" t="s">
        <v>969</v>
      </c>
      <c r="H33" s="1394">
        <f>SUM(I33:J33)</f>
        <v>0</v>
      </c>
      <c r="I33" s="1393"/>
      <c r="J33" s="1383"/>
      <c r="K33" s="1392"/>
    </row>
    <row customHeight="1" ht="11.25">
      <c r="F34" s="1388" t="s">
        <v>332</v>
      </c>
      <c r="G34" s="1395" t="s">
        <v>970</v>
      </c>
      <c r="H34" s="1394">
        <f>SUM(I34:J34)</f>
        <v>0</v>
      </c>
      <c r="I34" s="1393"/>
      <c r="J34" s="1383"/>
      <c r="K34" s="1392"/>
    </row>
    <row customHeight="1" ht="11.25">
      <c r="F35" s="1388">
        <v>4</v>
      </c>
      <c r="G35" s="844" t="s">
        <v>971</v>
      </c>
      <c r="H35" s="1394">
        <f>SUM(I35:J35)</f>
        <v>0</v>
      </c>
      <c r="I35" s="1393"/>
      <c r="J35" s="1383"/>
      <c r="K35" s="1392"/>
    </row>
    <row customHeight="1" ht="11.25">
      <c r="F36" s="1388"/>
      <c r="G36" s="847" t="s">
        <v>972</v>
      </c>
      <c r="H36" s="1394">
        <f>SUM(I36:J36)</f>
        <v>0</v>
      </c>
      <c r="I36" s="1394">
        <f>SUM(I15,I28,I32,I35)</f>
        <v>0</v>
      </c>
      <c r="J36" s="1383"/>
      <c r="K36" s="1392"/>
    </row>
    <row customHeight="1" ht="27.75">
      <c r="F37" s="1389" t="s">
        <v>973</v>
      </c>
      <c r="G37" s="2477" t="s">
        <v>974</v>
      </c>
      <c r="H37" s="2477"/>
      <c r="I37" s="2477"/>
      <c r="J37" s="2477"/>
      <c r="K37" s="1392"/>
    </row>
    <row customHeight="1" ht="22.5">
      <c r="F38" s="1388" t="s">
        <v>106</v>
      </c>
      <c r="G38" s="844" t="s">
        <v>975</v>
      </c>
      <c r="H38" s="1394">
        <f>SUM(I38:J38)</f>
        <v>0</v>
      </c>
      <c r="I38" s="1394">
        <f>SUM(I39,I44,I47)</f>
        <v>0</v>
      </c>
      <c r="J38" s="1383"/>
      <c r="K38" s="1392"/>
    </row>
    <row customHeight="1" ht="11.25">
      <c r="F39" s="1388" t="s">
        <v>940</v>
      </c>
      <c r="G39" s="1395" t="s">
        <v>939</v>
      </c>
      <c r="H39" s="1394">
        <f>SUM(I39:J39)</f>
        <v>0</v>
      </c>
      <c r="I39" s="1394">
        <f>SUM(I40:I43)</f>
        <v>0</v>
      </c>
      <c r="J39" s="1383"/>
      <c r="K39" s="1392"/>
    </row>
    <row customHeight="1" ht="22.5">
      <c r="F40" s="1388" t="s">
        <v>976</v>
      </c>
      <c r="G40" s="1396" t="s">
        <v>977</v>
      </c>
      <c r="H40" s="1394">
        <f>SUM(I40:J40)</f>
        <v>0</v>
      </c>
      <c r="I40" s="1393"/>
      <c r="J40" s="1383"/>
      <c r="K40" s="1392"/>
    </row>
    <row customHeight="1" ht="11.25">
      <c r="F41" s="1388" t="s">
        <v>978</v>
      </c>
      <c r="G41" s="1396" t="s">
        <v>979</v>
      </c>
      <c r="H41" s="1394">
        <f>SUM(I41:J41)</f>
        <v>0</v>
      </c>
      <c r="I41" s="1393"/>
      <c r="J41" s="1383"/>
      <c r="K41" s="1392"/>
    </row>
    <row customHeight="1" ht="11.25">
      <c r="F42" s="1388" t="s">
        <v>980</v>
      </c>
      <c r="G42" s="1396" t="s">
        <v>981</v>
      </c>
      <c r="H42" s="1394">
        <f>SUM(I42:J42)</f>
        <v>0</v>
      </c>
      <c r="I42" s="1393"/>
      <c r="J42" s="1383"/>
      <c r="K42" s="1392"/>
    </row>
    <row customHeight="1" ht="33.75">
      <c r="F43" s="1388" t="s">
        <v>982</v>
      </c>
      <c r="G43" s="1396" t="s">
        <v>983</v>
      </c>
      <c r="H43" s="1394">
        <f>SUM(I43:J43)</f>
        <v>0</v>
      </c>
      <c r="I43" s="1393"/>
      <c r="J43" s="1383"/>
      <c r="K43" s="1392"/>
    </row>
    <row customHeight="1" ht="11.25">
      <c r="F44" s="1388" t="s">
        <v>942</v>
      </c>
      <c r="G44" s="1395" t="s">
        <v>968</v>
      </c>
      <c r="H44" s="1394">
        <f>SUM(I44:J44)</f>
        <v>0</v>
      </c>
      <c r="I44" s="1394">
        <f>SUM(I45:I46)</f>
        <v>0</v>
      </c>
      <c r="J44" s="1383"/>
      <c r="K44" s="1392"/>
    </row>
    <row customHeight="1" ht="45">
      <c r="F45" s="1388" t="s">
        <v>984</v>
      </c>
      <c r="G45" s="1396" t="s">
        <v>969</v>
      </c>
      <c r="H45" s="1394">
        <f>SUM(I45:J45)</f>
        <v>0</v>
      </c>
      <c r="I45" s="1393"/>
      <c r="J45" s="1383"/>
      <c r="K45" s="1392"/>
    </row>
    <row customHeight="1" ht="11.25">
      <c r="F46" s="1388" t="s">
        <v>985</v>
      </c>
      <c r="G46" s="1396" t="s">
        <v>970</v>
      </c>
      <c r="H46" s="1394">
        <f>SUM(I46:J46)</f>
        <v>0</v>
      </c>
      <c r="I46" s="1393"/>
      <c r="J46" s="1383"/>
      <c r="K46" s="1392"/>
    </row>
    <row customHeight="1" ht="11.25">
      <c r="F47" s="1388" t="s">
        <v>944</v>
      </c>
      <c r="G47" s="1395" t="s">
        <v>986</v>
      </c>
      <c r="H47" s="1394">
        <f>SUM(I47:J47)</f>
        <v>0</v>
      </c>
      <c r="I47" s="1393"/>
      <c r="J47" s="1383"/>
      <c r="K47" s="1392"/>
    </row>
    <row customHeight="1" ht="22.5">
      <c r="F48" s="1388" t="s">
        <v>107</v>
      </c>
      <c r="G48" s="844" t="s">
        <v>987</v>
      </c>
      <c r="H48" s="1394">
        <f>SUM(I48:J48)</f>
        <v>0</v>
      </c>
      <c r="I48" s="1394">
        <f>SUM(I49,I54,I57)</f>
        <v>0</v>
      </c>
      <c r="J48" s="1383"/>
      <c r="K48" s="1392"/>
    </row>
    <row customHeight="1" ht="11.25">
      <c r="F49" s="1388" t="s">
        <v>623</v>
      </c>
      <c r="G49" s="1395" t="s">
        <v>939</v>
      </c>
      <c r="H49" s="1394">
        <f>SUM(I49:J49)</f>
        <v>0</v>
      </c>
      <c r="I49" s="1394">
        <f>SUM(I50:I53)</f>
        <v>0</v>
      </c>
      <c r="J49" s="1383"/>
      <c r="K49" s="1392"/>
    </row>
    <row customHeight="1" ht="22.5">
      <c r="F50" s="1388" t="s">
        <v>626</v>
      </c>
      <c r="G50" s="1396" t="s">
        <v>977</v>
      </c>
      <c r="H50" s="1394">
        <f>SUM(I50:J50)</f>
        <v>0</v>
      </c>
      <c r="I50" s="1393"/>
      <c r="J50" s="1383"/>
      <c r="K50" s="1392"/>
    </row>
    <row customHeight="1" ht="11.25">
      <c r="F51" s="1388" t="s">
        <v>629</v>
      </c>
      <c r="G51" s="1396" t="s">
        <v>979</v>
      </c>
      <c r="H51" s="1394">
        <f>SUM(I51:J51)</f>
        <v>0</v>
      </c>
      <c r="I51" s="1393"/>
      <c r="J51" s="1383"/>
      <c r="K51" s="1392"/>
    </row>
    <row customHeight="1" ht="11.25">
      <c r="F52" s="1388" t="s">
        <v>988</v>
      </c>
      <c r="G52" s="1396" t="s">
        <v>981</v>
      </c>
      <c r="H52" s="1394">
        <f>SUM(I52:J52)</f>
        <v>0</v>
      </c>
      <c r="I52" s="1393"/>
      <c r="J52" s="1383"/>
      <c r="K52" s="1392"/>
    </row>
    <row customHeight="1" ht="33.75">
      <c r="F53" s="1388" t="s">
        <v>989</v>
      </c>
      <c r="G53" s="1396" t="s">
        <v>983</v>
      </c>
      <c r="H53" s="1394">
        <f>SUM(I53:J53)</f>
        <v>0</v>
      </c>
      <c r="I53" s="1393"/>
      <c r="J53" s="1383"/>
      <c r="K53" s="1392"/>
    </row>
    <row customHeight="1" ht="11.25">
      <c r="F54" s="1388" t="s">
        <v>307</v>
      </c>
      <c r="G54" s="1395" t="s">
        <v>968</v>
      </c>
      <c r="H54" s="1394">
        <f>SUM(I54:J54)</f>
        <v>0</v>
      </c>
      <c r="I54" s="1394">
        <f>SUM(I55:I56)</f>
        <v>0</v>
      </c>
      <c r="J54" s="1383"/>
      <c r="K54" s="1392"/>
    </row>
    <row customHeight="1" ht="45">
      <c r="F55" s="1388" t="s">
        <v>633</v>
      </c>
      <c r="G55" s="1396" t="s">
        <v>969</v>
      </c>
      <c r="H55" s="1394">
        <f>SUM(I55:J55)</f>
        <v>0</v>
      </c>
      <c r="I55" s="1393"/>
      <c r="J55" s="1383"/>
      <c r="K55" s="1392"/>
    </row>
    <row customHeight="1" ht="11.25">
      <c r="F56" s="1388" t="s">
        <v>635</v>
      </c>
      <c r="G56" s="1396" t="s">
        <v>970</v>
      </c>
      <c r="H56" s="1394">
        <f>SUM(I56:J56)</f>
        <v>0</v>
      </c>
      <c r="I56" s="1393"/>
      <c r="J56" s="1383"/>
      <c r="K56" s="1392"/>
    </row>
    <row customHeight="1" ht="11.25">
      <c r="F57" s="1388" t="s">
        <v>310</v>
      </c>
      <c r="G57" s="1395" t="s">
        <v>986</v>
      </c>
      <c r="H57" s="1394">
        <f>SUM(I57:J57)</f>
        <v>0</v>
      </c>
      <c r="I57" s="1393"/>
      <c r="J57" s="1383"/>
      <c r="K57" s="1392"/>
    </row>
    <row customHeight="1" ht="11.25">
      <c r="F58" s="1388"/>
      <c r="G58" s="1397" t="s">
        <v>972</v>
      </c>
      <c r="H58" s="1394">
        <f>SUM(I58:J58)</f>
        <v>0</v>
      </c>
      <c r="I58" s="1394">
        <f>SUM(I38,I48)</f>
        <v>0</v>
      </c>
      <c r="J58" s="1383"/>
      <c r="K58" s="1392"/>
    </row>
  </sheetData>
  <sheetProtection formatColumns="0" formatRows="0" autoFilter="0" sort="0" insertRows="0" insertColumns="1" deleteRows="0" deleteColumns="0"/>
  <mergeCells count="9">
    <mergeCell ref="F5:J5"/>
    <mergeCell ref="F6:J6"/>
    <mergeCell ref="F9:J9"/>
    <mergeCell ref="G14:J14"/>
    <mergeCell ref="G37:J37"/>
    <mergeCell ref="F10:F12"/>
    <mergeCell ref="H10:J10"/>
    <mergeCell ref="H11:J11"/>
    <mergeCell ref="G10:G12"/>
  </mergeCells>
  <dataValidations count="1">
    <dataValidation type="decimal" allowBlank="1" showErrorMessage="1" errorTitle="Ошибка" error="Допускается ввод только неотрицательных чисел!" sqref="I29:I31 I33:I35 I40:I43 I45:I47 I50:I53 I55:I57 I16:I27">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AC793C1-B851-F47F-A103-F7A5752CDCB4}" mc:Ignorable="x14ac xr xr2 xr3">
  <sheetPr>
    <tabColor theme="9" tint="-0.25"/>
  </sheetPr>
  <dimension ref="A1:GB24"/>
  <sheetViews>
    <sheetView topLeftCell="A1" showGridLines="0" zoomScale="90" workbookViewId="0">
      <selection activeCell="A1" sqref="A1"/>
    </sheetView>
  </sheetViews>
  <sheetFormatPr defaultColWidth="9.140625" customHeight="1" defaultRowHeight="12"/>
  <cols>
    <col min="1" max="1" style="9719" width="4.7109375" hidden="1" customWidth="1"/>
    <col min="2" max="2" style="9720" width="4.7109375" hidden="1" customWidth="1"/>
    <col min="3" max="4" style="9719" width="4.7109375" hidden="1" customWidth="1"/>
    <col min="5" max="5" style="9719" width="3.57421875" customWidth="1"/>
    <col min="6" max="6" style="9719" width="6.7109375" customWidth="1"/>
    <col min="7" max="7" style="9719" width="18.7109375" customWidth="1"/>
    <col min="8" max="8" style="9719" width="27.28125" customWidth="1"/>
    <col min="9" max="9" style="9719" width="18.7109375" customWidth="1"/>
    <col min="10" max="14" style="9719" width="0.8515625" hidden="1" customWidth="1"/>
    <col min="15" max="28" style="9719" width="21.7109375" hidden="1" customWidth="1"/>
    <col min="29" max="71" style="9719" width="0.8515625" hidden="1" customWidth="1"/>
    <col min="72" max="79" style="9719" width="21.7109375" customWidth="1"/>
    <col min="80" max="81" style="9719" width="29.140625" customWidth="1"/>
    <col min="82" max="89" style="9719" width="21.7109375" customWidth="1"/>
    <col min="90" max="102" style="9719" width="0.7109375" customWidth="1"/>
    <col min="103" max="114" style="9719" width="21.7109375" hidden="1" customWidth="1"/>
    <col min="115" max="178" style="9719" width="0.7109375" hidden="1" customWidth="1"/>
    <col min="179" max="179" style="9719" width="0.140625" customWidth="1"/>
    <col min="180" max="184" style="9719" width="9.140625"/>
  </cols>
  <sheetData>
    <row s="9645" customFormat="1" customHeight="1" ht="12" hidden="1">
      <c r="B1" s="1077"/>
      <c r="C1" s="1078"/>
      <c r="D1" s="1078"/>
    </row>
    <row s="9645" customFormat="1" customHeight="1" ht="12" hidden="1">
      <c r="B2" s="1077"/>
      <c r="C2" s="1078"/>
      <c r="D2" s="1078"/>
      <c r="E2" s="1078"/>
      <c r="F2" s="1078"/>
      <c r="G2" s="1078"/>
      <c r="H2" s="1078"/>
      <c r="I2" s="1078"/>
      <c r="J2" s="1078"/>
      <c r="K2" s="1078"/>
      <c r="L2" s="1078"/>
      <c r="M2" s="1078"/>
      <c r="N2" s="1078"/>
      <c r="O2" s="1078"/>
      <c r="P2" s="1078"/>
      <c r="Q2" s="1078"/>
      <c r="R2" s="1078"/>
      <c r="S2" s="1078"/>
      <c r="T2" s="1078"/>
      <c r="U2" s="1078"/>
      <c r="V2" s="1078"/>
      <c r="W2" s="1078"/>
      <c r="X2" s="1078"/>
      <c r="Y2" s="1078"/>
      <c r="Z2" s="1078"/>
      <c r="AA2" s="1078"/>
      <c r="AB2" s="1079"/>
      <c r="AC2" s="1078"/>
      <c r="AD2" s="1078"/>
      <c r="AE2" s="1078"/>
      <c r="AF2" s="1078"/>
      <c r="AG2" s="1078"/>
      <c r="AH2" s="1078"/>
      <c r="AI2" s="1078"/>
      <c r="AJ2" s="1078"/>
      <c r="AK2" s="1078"/>
      <c r="AL2" s="1078"/>
      <c r="AM2" s="1078"/>
      <c r="AN2" s="1078"/>
      <c r="AO2" s="1078"/>
      <c r="AP2" s="1078"/>
      <c r="AQ2" s="1078"/>
      <c r="AR2" s="1078"/>
      <c r="AS2" s="1078"/>
      <c r="AT2" s="1078"/>
      <c r="AU2" s="1078"/>
      <c r="AV2" s="1078"/>
      <c r="AW2" s="1078"/>
      <c r="AX2" s="1078"/>
      <c r="AY2" s="1078"/>
      <c r="AZ2" s="1078"/>
      <c r="BA2" s="1078"/>
      <c r="BB2" s="1078"/>
      <c r="BC2" s="1078"/>
      <c r="BD2" s="1078"/>
      <c r="BE2" s="1078"/>
      <c r="BF2" s="1078"/>
      <c r="BG2" s="1078"/>
      <c r="BH2" s="1078"/>
      <c r="BI2" s="1078"/>
      <c r="BJ2" s="1078"/>
      <c r="BK2" s="1078"/>
      <c r="BL2" s="1078"/>
      <c r="BM2" s="1078"/>
      <c r="BN2" s="1078"/>
      <c r="BO2" s="1078"/>
      <c r="BP2" s="1078"/>
      <c r="BQ2" s="1078"/>
      <c r="BR2" s="1078"/>
      <c r="BS2" s="1078"/>
      <c r="BT2" s="1078"/>
      <c r="BU2" s="1078"/>
      <c r="BV2" s="1078"/>
      <c r="BW2" s="1078"/>
      <c r="BX2" s="1078"/>
      <c r="BY2" s="1078"/>
      <c r="BZ2" s="1078"/>
      <c r="CA2" s="1078"/>
      <c r="CB2" s="1078"/>
      <c r="CC2" s="1078"/>
      <c r="CD2" s="1078"/>
      <c r="CE2" s="1078"/>
      <c r="CF2" s="1078"/>
      <c r="CG2" s="1078"/>
      <c r="CH2" s="1078"/>
      <c r="CI2" s="1078"/>
      <c r="CJ2" s="1078"/>
      <c r="CK2" s="1078"/>
      <c r="CL2" s="1078"/>
      <c r="CM2" s="1078"/>
      <c r="CN2" s="1078"/>
      <c r="CO2" s="1078"/>
      <c r="CP2" s="1078"/>
      <c r="CQ2" s="1078"/>
      <c r="CR2" s="1078"/>
      <c r="CS2" s="1078"/>
      <c r="CT2" s="1078"/>
      <c r="CU2" s="1078"/>
      <c r="CV2" s="1078"/>
      <c r="CW2" s="1078"/>
      <c r="CX2" s="1078"/>
      <c r="CY2" s="1078"/>
      <c r="CZ2" s="1078"/>
      <c r="DA2" s="1078"/>
      <c r="DB2" s="1078"/>
      <c r="DC2" s="1078"/>
      <c r="DD2" s="1078"/>
      <c r="DE2" s="1078"/>
      <c r="DF2" s="1078"/>
      <c r="DG2" s="1078"/>
      <c r="DH2" s="1078"/>
      <c r="DI2" s="1078"/>
      <c r="DJ2" s="1078"/>
      <c r="DK2" s="1078"/>
      <c r="DL2" s="1078"/>
      <c r="DM2" s="1078"/>
      <c r="DN2" s="1078"/>
      <c r="DO2" s="1078"/>
      <c r="DP2" s="1078"/>
      <c r="DQ2" s="1078"/>
      <c r="DR2" s="1078"/>
      <c r="DS2" s="1078"/>
      <c r="DT2" s="1078"/>
      <c r="DU2" s="1078"/>
      <c r="DV2" s="1078"/>
      <c r="DW2" s="1078"/>
      <c r="DX2" s="1078"/>
      <c r="DY2" s="1078"/>
      <c r="DZ2" s="1078"/>
      <c r="EA2" s="1078"/>
      <c r="EB2" s="1078"/>
      <c r="EC2" s="1078"/>
      <c r="ED2" s="1078"/>
      <c r="EE2" s="1078"/>
      <c r="EF2" s="1078"/>
      <c r="EG2" s="1078"/>
      <c r="EH2" s="1078"/>
      <c r="EI2" s="1078"/>
      <c r="EJ2" s="1078"/>
      <c r="EK2" s="1078"/>
      <c r="EL2" s="1078"/>
      <c r="EM2" s="1078"/>
      <c r="EN2" s="1078"/>
      <c r="EO2" s="1078"/>
      <c r="EP2" s="1078"/>
      <c r="EQ2" s="1078"/>
      <c r="ER2" s="1078"/>
      <c r="ES2" s="1078"/>
      <c r="ET2" s="1078"/>
      <c r="EU2" s="1078"/>
      <c r="EV2" s="1078"/>
      <c r="EW2" s="1078"/>
      <c r="EX2" s="1078"/>
      <c r="EY2" s="1078"/>
      <c r="EZ2" s="1078"/>
      <c r="FA2" s="1078"/>
      <c r="FB2" s="1078"/>
      <c r="FC2" s="1078"/>
      <c r="FD2" s="1078"/>
      <c r="FE2" s="1078"/>
      <c r="FF2" s="1078"/>
      <c r="FG2" s="1078"/>
      <c r="FH2" s="1078"/>
      <c r="FI2" s="1078"/>
      <c r="FJ2" s="1078"/>
      <c r="FK2" s="1078"/>
      <c r="FL2" s="1078"/>
      <c r="FM2" s="1078"/>
      <c r="FN2" s="1078"/>
      <c r="FO2" s="1078"/>
      <c r="FP2" s="1078"/>
      <c r="FQ2" s="1078"/>
      <c r="FR2" s="1078"/>
      <c r="FS2" s="1078"/>
      <c r="FT2" s="1078"/>
      <c r="FU2" s="1078"/>
      <c r="FV2" s="1078"/>
      <c r="FW2" s="1078"/>
    </row>
    <row s="9645" customFormat="1" customHeight="1" ht="12" hidden="1">
      <c r="B3" s="1077"/>
      <c r="C3" s="1078"/>
      <c r="D3" s="1078"/>
      <c r="E3" s="1078"/>
      <c r="F3" s="1078"/>
      <c r="G3" s="1078"/>
      <c r="H3" s="1078"/>
      <c r="I3" s="1078"/>
      <c r="J3" s="1078"/>
      <c r="K3" s="1078"/>
      <c r="L3" s="1078"/>
      <c r="M3" s="1078"/>
      <c r="N3" s="1078"/>
      <c r="O3" s="1078"/>
      <c r="P3" s="1078"/>
      <c r="Q3" s="1078"/>
      <c r="R3" s="1078"/>
      <c r="S3" s="1078"/>
      <c r="T3" s="1078"/>
      <c r="U3" s="1078"/>
      <c r="V3" s="1078"/>
      <c r="W3" s="1078"/>
      <c r="X3" s="1078"/>
      <c r="Y3" s="1078"/>
      <c r="Z3" s="1078"/>
      <c r="AA3" s="1078"/>
      <c r="AB3" s="1079"/>
      <c r="AC3" s="1078"/>
      <c r="AD3" s="1078"/>
      <c r="AE3" s="1078"/>
      <c r="AF3" s="1078"/>
      <c r="AG3" s="1078"/>
      <c r="AH3" s="1078"/>
      <c r="AI3" s="1078"/>
      <c r="AJ3" s="1078"/>
      <c r="AK3" s="1078"/>
      <c r="AL3" s="1078"/>
      <c r="AM3" s="1078"/>
      <c r="AN3" s="1078"/>
      <c r="AO3" s="1078"/>
      <c r="AP3" s="1078"/>
      <c r="AQ3" s="1078"/>
      <c r="AR3" s="1078"/>
      <c r="AS3" s="1078"/>
      <c r="AT3" s="1078"/>
      <c r="AU3" s="1078"/>
      <c r="AV3" s="1078"/>
      <c r="AW3" s="1078"/>
      <c r="AX3" s="1078"/>
      <c r="AY3" s="1078"/>
      <c r="AZ3" s="1078"/>
      <c r="BA3" s="1078"/>
      <c r="BB3" s="1078"/>
      <c r="BC3" s="1078"/>
      <c r="BD3" s="1078"/>
      <c r="BE3" s="1078"/>
      <c r="BF3" s="1078"/>
      <c r="BG3" s="1078"/>
      <c r="BH3" s="1078"/>
      <c r="BI3" s="1078"/>
      <c r="BJ3" s="1078"/>
      <c r="BK3" s="1078"/>
      <c r="BL3" s="1078"/>
      <c r="BM3" s="1078"/>
      <c r="BN3" s="1078"/>
      <c r="BO3" s="1078"/>
      <c r="BP3" s="1078"/>
      <c r="BQ3" s="1078"/>
      <c r="BR3" s="1078"/>
      <c r="BS3" s="1078"/>
      <c r="BT3" s="1078"/>
      <c r="BU3" s="1078"/>
      <c r="BV3" s="1078"/>
      <c r="BW3" s="1078"/>
      <c r="BX3" s="1078"/>
      <c r="BY3" s="1078"/>
      <c r="BZ3" s="1078"/>
      <c r="CA3" s="1078"/>
      <c r="CB3" s="1078"/>
      <c r="CC3" s="1078"/>
      <c r="CD3" s="1078"/>
      <c r="CE3" s="1078"/>
      <c r="CF3" s="1078"/>
      <c r="CG3" s="1078"/>
      <c r="CH3" s="1078"/>
      <c r="CI3" s="1078"/>
      <c r="CJ3" s="1078"/>
      <c r="CK3" s="1078"/>
      <c r="CL3" s="1078"/>
      <c r="CM3" s="1078"/>
      <c r="CN3" s="1078"/>
      <c r="CO3" s="1078"/>
      <c r="CP3" s="1078"/>
      <c r="CQ3" s="1078"/>
      <c r="CR3" s="1078"/>
      <c r="CS3" s="1078"/>
      <c r="CT3" s="1078"/>
      <c r="CU3" s="1078"/>
      <c r="CV3" s="1078"/>
      <c r="CW3" s="1078"/>
      <c r="CX3" s="1078"/>
      <c r="CY3" s="1078"/>
      <c r="CZ3" s="1078"/>
      <c r="DA3" s="1078"/>
      <c r="DB3" s="1078"/>
      <c r="DC3" s="1078"/>
      <c r="DD3" s="1078"/>
      <c r="DE3" s="1078"/>
      <c r="DF3" s="1078"/>
      <c r="DG3" s="1078"/>
      <c r="DH3" s="1078"/>
      <c r="DI3" s="1078"/>
      <c r="DJ3" s="1078"/>
      <c r="DK3" s="1078"/>
      <c r="DL3" s="1078"/>
      <c r="DM3" s="1078"/>
      <c r="DN3" s="1078"/>
      <c r="DO3" s="1078"/>
      <c r="DP3" s="1078"/>
      <c r="DQ3" s="1078"/>
      <c r="DR3" s="1078"/>
      <c r="DS3" s="1078"/>
      <c r="DT3" s="1078"/>
      <c r="DU3" s="1078"/>
      <c r="DV3" s="1078"/>
      <c r="DW3" s="1078"/>
      <c r="DX3" s="1078"/>
      <c r="DY3" s="1078"/>
      <c r="DZ3" s="1078"/>
      <c r="EA3" s="1078"/>
      <c r="EB3" s="1078"/>
      <c r="EC3" s="1078"/>
      <c r="ED3" s="1078"/>
      <c r="EE3" s="1078"/>
      <c r="EF3" s="1078"/>
      <c r="EG3" s="1078"/>
      <c r="EH3" s="1078"/>
      <c r="EI3" s="1078"/>
      <c r="EJ3" s="1078"/>
      <c r="EK3" s="1078"/>
      <c r="EL3" s="1078"/>
      <c r="EM3" s="1078"/>
      <c r="EN3" s="1078"/>
      <c r="EO3" s="1078"/>
      <c r="EP3" s="1078"/>
      <c r="EQ3" s="1078"/>
      <c r="ER3" s="1078"/>
      <c r="ES3" s="1078"/>
      <c r="ET3" s="1078"/>
      <c r="EU3" s="1078"/>
      <c r="EV3" s="1078"/>
      <c r="EW3" s="1078"/>
      <c r="EX3" s="1078"/>
      <c r="EY3" s="1078"/>
      <c r="EZ3" s="1078"/>
      <c r="FA3" s="1078"/>
      <c r="FB3" s="1078"/>
      <c r="FC3" s="1078"/>
      <c r="FD3" s="1078"/>
      <c r="FE3" s="1078"/>
      <c r="FF3" s="1078"/>
      <c r="FG3" s="1078"/>
      <c r="FH3" s="1078"/>
      <c r="FI3" s="1078"/>
      <c r="FJ3" s="1078"/>
      <c r="FK3" s="1078"/>
      <c r="FL3" s="1078"/>
      <c r="FM3" s="1078"/>
      <c r="FN3" s="1078"/>
      <c r="FO3" s="1078"/>
      <c r="FP3" s="1078"/>
      <c r="FQ3" s="1078"/>
      <c r="FR3" s="1078"/>
      <c r="FS3" s="1078"/>
      <c r="FT3" s="1078"/>
      <c r="FU3" s="1078"/>
      <c r="FV3" s="1078"/>
      <c r="FW3" s="1078"/>
    </row>
    <row customHeight="1" ht="10.5">
      <c r="B4" s="1081"/>
      <c r="C4" s="1082"/>
      <c r="D4" s="1082"/>
      <c r="E4" s="1082"/>
      <c r="F4" s="1082"/>
      <c r="G4" s="1082"/>
      <c r="H4" s="1083"/>
      <c r="I4" s="1083"/>
      <c r="J4" s="1083"/>
      <c r="K4" s="1083"/>
      <c r="L4" s="1083"/>
      <c r="M4" s="1084"/>
      <c r="N4" s="1084"/>
      <c r="O4" s="1084"/>
      <c r="P4" s="1084"/>
      <c r="Q4" s="1084"/>
      <c r="R4" s="1084"/>
      <c r="S4" s="1084"/>
      <c r="T4" s="1084"/>
      <c r="U4" s="1084"/>
      <c r="V4" s="1084"/>
      <c r="W4" s="1084"/>
      <c r="X4" s="1084"/>
      <c r="Y4" s="1084"/>
      <c r="Z4" s="1084"/>
      <c r="AA4" s="1084"/>
      <c r="AB4" s="1084"/>
      <c r="AC4" s="1084"/>
      <c r="AD4" s="1084"/>
      <c r="AE4" s="1084"/>
      <c r="AF4" s="1084"/>
      <c r="AG4" s="1084"/>
      <c r="AH4" s="1084"/>
      <c r="AI4" s="1084"/>
      <c r="AJ4" s="1084"/>
      <c r="AK4" s="1084"/>
      <c r="AL4" s="1084"/>
      <c r="AM4" s="1084"/>
      <c r="AN4" s="1084"/>
      <c r="AO4" s="1084"/>
      <c r="AP4" s="1084"/>
      <c r="AQ4" s="1084"/>
      <c r="AR4" s="1084"/>
      <c r="AS4" s="1084"/>
      <c r="AT4" s="1084"/>
      <c r="AU4" s="1084"/>
      <c r="AV4" s="1084"/>
      <c r="AW4" s="1084"/>
      <c r="AX4" s="1084"/>
      <c r="AY4" s="1084"/>
      <c r="AZ4" s="1084"/>
      <c r="BA4" s="1084"/>
      <c r="BB4" s="1084"/>
      <c r="BC4" s="1084"/>
      <c r="BD4" s="1084"/>
      <c r="BE4" s="1084"/>
      <c r="BF4" s="1084"/>
      <c r="BG4" s="1084"/>
      <c r="BH4" s="1084"/>
      <c r="BI4" s="1084"/>
      <c r="BJ4" s="1084"/>
      <c r="BK4" s="1084"/>
      <c r="BL4" s="1084"/>
      <c r="BM4" s="1084"/>
      <c r="BN4" s="1084"/>
      <c r="BO4" s="1084"/>
      <c r="BP4" s="1084"/>
      <c r="BQ4" s="1084"/>
      <c r="BR4" s="1084"/>
      <c r="BS4" s="1084"/>
      <c r="BT4" s="1084"/>
      <c r="BU4" s="1084"/>
      <c r="BV4" s="1084"/>
      <c r="BW4" s="1084"/>
      <c r="BX4" s="1084"/>
      <c r="BY4" s="1084"/>
      <c r="BZ4" s="1084"/>
      <c r="CA4" s="1084"/>
      <c r="CB4" s="1084"/>
      <c r="CC4" s="1084"/>
      <c r="CD4" s="1084"/>
      <c r="CE4" s="1084"/>
      <c r="CF4" s="1084"/>
      <c r="CG4" s="1084"/>
      <c r="CH4" s="1084"/>
      <c r="CI4" s="1084"/>
      <c r="CJ4" s="1084"/>
      <c r="CK4" s="1084"/>
      <c r="CL4" s="1084"/>
      <c r="CM4" s="1084"/>
      <c r="CN4" s="1084"/>
      <c r="CO4" s="1084"/>
      <c r="CP4" s="1084"/>
      <c r="CQ4" s="1084"/>
      <c r="CR4" s="1084"/>
      <c r="CS4" s="1084"/>
      <c r="CT4" s="1084"/>
      <c r="CU4" s="1084"/>
      <c r="CV4" s="1084"/>
      <c r="CW4" s="1084"/>
      <c r="CX4" s="1084"/>
      <c r="CY4" s="1084"/>
      <c r="CZ4" s="1084"/>
      <c r="DA4" s="1084"/>
      <c r="DB4" s="1084"/>
      <c r="DC4" s="1084"/>
      <c r="DD4" s="1084"/>
      <c r="DE4" s="1084"/>
      <c r="DF4" s="1084"/>
      <c r="DG4" s="1084"/>
      <c r="DH4" s="1084"/>
      <c r="DI4" s="1084"/>
      <c r="DJ4" s="1084"/>
      <c r="DK4" s="1084"/>
      <c r="DL4" s="1084"/>
      <c r="DM4" s="1084"/>
      <c r="DN4" s="1084"/>
      <c r="DO4" s="1084"/>
      <c r="DP4" s="1084"/>
      <c r="DQ4" s="1084"/>
      <c r="DR4" s="1084"/>
      <c r="DS4" s="1084"/>
      <c r="DT4" s="1084"/>
      <c r="DU4" s="1084"/>
      <c r="DV4" s="1084"/>
      <c r="DW4" s="1084"/>
      <c r="DX4" s="1084"/>
      <c r="DY4" s="1084"/>
      <c r="DZ4" s="1084"/>
      <c r="EA4" s="1084"/>
      <c r="EB4" s="1084"/>
      <c r="EC4" s="1084"/>
      <c r="ED4" s="1084"/>
      <c r="EE4" s="1084"/>
      <c r="EF4" s="1084"/>
      <c r="EG4" s="1084"/>
      <c r="EH4" s="1084"/>
      <c r="EI4" s="1084"/>
      <c r="EJ4" s="1084"/>
      <c r="EK4" s="1084"/>
      <c r="EL4" s="1084"/>
      <c r="EM4" s="1084"/>
      <c r="EN4" s="1084"/>
      <c r="EO4" s="1084"/>
      <c r="EP4" s="1084"/>
      <c r="EQ4" s="1084"/>
      <c r="ER4" s="1084"/>
      <c r="ES4" s="1084"/>
      <c r="ET4" s="1084"/>
      <c r="EU4" s="1084"/>
      <c r="EV4" s="1084"/>
      <c r="EW4" s="1084"/>
      <c r="EX4" s="1084"/>
      <c r="EY4" s="1084"/>
      <c r="EZ4" s="1084"/>
      <c r="FA4" s="1084"/>
      <c r="FB4" s="1084"/>
      <c r="FC4" s="1084"/>
      <c r="FD4" s="1084"/>
      <c r="FE4" s="1084"/>
      <c r="FF4" s="1084"/>
      <c r="FG4" s="1084"/>
      <c r="FH4" s="1084"/>
      <c r="FI4" s="1084"/>
      <c r="FJ4" s="1084"/>
      <c r="FK4" s="1084"/>
      <c r="FL4" s="1084"/>
      <c r="FM4" s="1084"/>
      <c r="FN4" s="1084"/>
      <c r="FO4" s="1084"/>
      <c r="FP4" s="1084"/>
      <c r="FQ4" s="1084"/>
      <c r="FR4" s="1084"/>
      <c r="FS4" s="1084"/>
      <c r="FT4" s="1084"/>
      <c r="FU4" s="1084"/>
      <c r="FV4" s="1084"/>
      <c r="FW4" s="1084"/>
    </row>
    <row s="9653" customFormat="1" customHeight="1" ht="25.5">
      <c r="B5" s="2032"/>
      <c r="E5" s="2034"/>
      <c r="F5" s="2511" t="str">
        <f>IP_NAME_FORM&amp;"
Показатели качества, надежности и энергетической эффективности в сфере "&amp;TEMPLATE_SPHERE_RUS&amp;" на "&amp;TITLE_FIL_YEAR&amp;" год"</f>
        <v>Форма 7. Информация об инвестиционных программах организации горячего водоснабжения и отчетах об их исполнении
Показатели качества, надежности и энергетической эффективности в сфере горячего водоснабжения на  год</v>
      </c>
      <c r="G5" s="2229"/>
      <c r="H5" s="2229"/>
      <c r="I5" s="2229"/>
      <c r="J5" s="2229"/>
      <c r="K5" s="2229"/>
      <c r="L5" s="2229"/>
      <c r="M5" s="2229"/>
      <c r="N5" s="2229"/>
      <c r="O5" s="2229"/>
      <c r="P5" s="2229"/>
      <c r="Q5" s="2229"/>
      <c r="R5" s="2229"/>
      <c r="S5" s="2229"/>
      <c r="T5" s="2229"/>
      <c r="U5" s="2229"/>
      <c r="V5" s="2229"/>
      <c r="W5" s="2229"/>
      <c r="X5" s="2229"/>
      <c r="Y5" s="2229"/>
      <c r="Z5" s="2229"/>
      <c r="AA5" s="2229"/>
      <c r="AB5" s="2229"/>
      <c r="AC5" s="2229"/>
      <c r="AD5" s="2229"/>
      <c r="AE5" s="2229"/>
      <c r="AF5" s="2229"/>
      <c r="AG5" s="2229"/>
      <c r="AH5" s="2229"/>
      <c r="AI5" s="2229"/>
      <c r="AJ5" s="2229"/>
      <c r="AK5" s="2229"/>
      <c r="AL5" s="2229"/>
      <c r="AM5" s="2229"/>
      <c r="AN5" s="2229"/>
      <c r="AO5" s="2229"/>
      <c r="AP5" s="2229"/>
      <c r="AQ5" s="2229"/>
      <c r="AR5" s="2229"/>
      <c r="AS5" s="2229"/>
      <c r="AT5" s="2229"/>
      <c r="AU5" s="2229"/>
      <c r="AV5" s="2229"/>
      <c r="AW5" s="2229"/>
      <c r="AX5" s="2229"/>
      <c r="AY5" s="2229"/>
      <c r="AZ5" s="2229"/>
      <c r="BA5" s="2229"/>
      <c r="BB5" s="2229"/>
      <c r="BC5" s="2229"/>
      <c r="BD5" s="2229"/>
      <c r="BE5" s="2229"/>
      <c r="BF5" s="2229"/>
      <c r="BG5" s="2229"/>
      <c r="BH5" s="2229"/>
      <c r="BI5" s="2229"/>
      <c r="BJ5" s="2229"/>
      <c r="BK5" s="2229"/>
      <c r="BL5" s="2229"/>
      <c r="BM5" s="2229"/>
      <c r="BN5" s="2229"/>
      <c r="BO5" s="2229"/>
      <c r="BP5" s="2229"/>
      <c r="BQ5" s="2229"/>
      <c r="BR5" s="2229"/>
      <c r="BS5" s="2229"/>
    </row>
    <row s="9657" customFormat="1" customHeight="1" ht="18">
      <c r="B6" s="1098"/>
      <c r="E6" s="1100"/>
      <c r="F6" s="2292" t="str">
        <f>IF(org=0,"Не определено",org)</f>
        <v>АО "Теплокоммунэнерго"</v>
      </c>
      <c r="G6" s="2293"/>
      <c r="H6" s="2293"/>
      <c r="I6" s="2293"/>
      <c r="J6" s="2293"/>
      <c r="K6" s="2293"/>
      <c r="L6" s="2293"/>
      <c r="M6" s="2293"/>
      <c r="N6" s="2293"/>
      <c r="O6" s="2293"/>
      <c r="P6" s="2293"/>
      <c r="Q6" s="2293"/>
      <c r="R6" s="2293"/>
      <c r="S6" s="2293"/>
      <c r="T6" s="2293"/>
      <c r="U6" s="2293"/>
      <c r="V6" s="2293"/>
      <c r="W6" s="2293"/>
      <c r="X6" s="2293"/>
      <c r="Y6" s="2293"/>
      <c r="Z6" s="2293"/>
      <c r="AA6" s="2293"/>
      <c r="AB6" s="2293"/>
      <c r="AC6" s="2293"/>
      <c r="AD6" s="2293"/>
      <c r="AE6" s="2293"/>
      <c r="AF6" s="2293"/>
      <c r="AG6" s="2293"/>
      <c r="AH6" s="2293"/>
      <c r="AI6" s="2293"/>
      <c r="AJ6" s="2293"/>
      <c r="AK6" s="2293"/>
      <c r="AL6" s="2293"/>
      <c r="AM6" s="2293"/>
      <c r="AN6" s="2293"/>
      <c r="AO6" s="2293"/>
      <c r="AP6" s="2293"/>
      <c r="AQ6" s="2293"/>
      <c r="AR6" s="2293"/>
      <c r="AS6" s="2293"/>
      <c r="AT6" s="2293"/>
      <c r="AU6" s="2293"/>
      <c r="AV6" s="2293"/>
      <c r="AW6" s="2293"/>
      <c r="AX6" s="2293"/>
      <c r="AY6" s="2293"/>
      <c r="AZ6" s="2293"/>
      <c r="BA6" s="2293"/>
      <c r="BB6" s="2293"/>
      <c r="BC6" s="2293"/>
      <c r="BD6" s="2293"/>
      <c r="BE6" s="2293"/>
      <c r="BF6" s="2293"/>
      <c r="BG6" s="2293"/>
      <c r="BH6" s="2293"/>
      <c r="BI6" s="2293"/>
      <c r="BJ6" s="2293"/>
      <c r="BK6" s="2293"/>
      <c r="BL6" s="2293"/>
      <c r="BM6" s="2293"/>
      <c r="BN6" s="2293"/>
      <c r="BO6" s="2293"/>
      <c r="BP6" s="2293"/>
      <c r="BQ6" s="2293"/>
      <c r="BR6" s="2293"/>
      <c r="BS6" s="2293"/>
    </row>
    <row s="9660" customFormat="1" customHeight="1" ht="10.5">
      <c r="B7" s="1086"/>
      <c r="E7" s="1087"/>
      <c r="F7" s="1087"/>
      <c r="G7" s="1089"/>
      <c r="H7" s="1083"/>
      <c r="I7" s="1083"/>
      <c r="J7" s="1083"/>
      <c r="K7" s="1083"/>
      <c r="L7" s="1083"/>
      <c r="M7" s="1087"/>
      <c r="N7" s="1087"/>
      <c r="O7" s="1087"/>
      <c r="P7" s="1087"/>
      <c r="Q7" s="1087"/>
      <c r="R7" s="1087"/>
      <c r="S7" s="1087"/>
      <c r="T7" s="1087"/>
      <c r="U7" s="1087"/>
      <c r="V7" s="1087"/>
      <c r="W7" s="1087"/>
      <c r="X7" s="1087"/>
      <c r="Y7" s="1087"/>
      <c r="Z7" s="1087"/>
      <c r="AA7" s="1087"/>
      <c r="AB7" s="1087"/>
      <c r="AC7" s="1087"/>
      <c r="AD7" s="1087"/>
      <c r="AE7" s="1087"/>
      <c r="AF7" s="1087"/>
      <c r="AG7" s="1087"/>
      <c r="AH7" s="1087"/>
      <c r="AI7" s="1087"/>
      <c r="AJ7" s="1087"/>
      <c r="AK7" s="1087"/>
      <c r="AL7" s="1087"/>
      <c r="AM7" s="1087"/>
      <c r="AN7" s="1087"/>
      <c r="AO7" s="1087"/>
      <c r="AP7" s="1087"/>
      <c r="AQ7" s="1087"/>
      <c r="AR7" s="1087"/>
      <c r="AS7" s="1087"/>
      <c r="AT7" s="1087"/>
      <c r="AU7" s="1087"/>
      <c r="AV7" s="1087"/>
      <c r="AW7" s="1087"/>
      <c r="AX7" s="1087"/>
      <c r="AY7" s="1087"/>
      <c r="AZ7" s="1087"/>
      <c r="BA7" s="1087"/>
      <c r="BB7" s="1087"/>
      <c r="BC7" s="1087"/>
      <c r="BD7" s="1087"/>
      <c r="BE7" s="1087"/>
      <c r="BF7" s="1087"/>
      <c r="BG7" s="1087"/>
      <c r="BH7" s="1087"/>
      <c r="BI7" s="1087"/>
      <c r="BJ7" s="1087"/>
      <c r="BK7" s="1087"/>
      <c r="BL7" s="1087"/>
      <c r="BM7" s="1087"/>
      <c r="BN7" s="1087"/>
      <c r="BO7" s="1087"/>
      <c r="BP7" s="1087"/>
      <c r="BQ7" s="1087"/>
      <c r="BR7" s="1087"/>
      <c r="BS7" s="1087"/>
      <c r="BT7" s="1087"/>
      <c r="BU7" s="1087"/>
      <c r="BV7" s="1087"/>
      <c r="BW7" s="1087"/>
      <c r="BX7" s="1087"/>
      <c r="BY7" s="1087"/>
      <c r="BZ7" s="1087"/>
      <c r="CA7" s="1087"/>
      <c r="CB7" s="1087"/>
      <c r="CC7" s="1087"/>
      <c r="CD7" s="1087"/>
      <c r="CE7" s="1087"/>
      <c r="CF7" s="1087"/>
      <c r="CG7" s="1087"/>
      <c r="CH7" s="1087"/>
      <c r="CI7" s="1087"/>
      <c r="CJ7" s="1087"/>
      <c r="CK7" s="1087"/>
      <c r="CL7" s="1087"/>
      <c r="CM7" s="1087"/>
      <c r="CN7" s="1087"/>
      <c r="CO7" s="1087"/>
      <c r="CP7" s="1087"/>
      <c r="CQ7" s="1087"/>
      <c r="CR7" s="1087"/>
      <c r="CS7" s="1087"/>
      <c r="CT7" s="1087"/>
      <c r="CU7" s="1087"/>
      <c r="CV7" s="1087"/>
      <c r="CW7" s="1087"/>
      <c r="CX7" s="1087"/>
      <c r="CY7" s="1087"/>
      <c r="CZ7" s="1087"/>
      <c r="DA7" s="1087"/>
      <c r="DB7" s="1087"/>
      <c r="DC7" s="1087"/>
      <c r="DD7" s="1087"/>
      <c r="DE7" s="1087"/>
      <c r="DF7" s="1087"/>
      <c r="DG7" s="1087"/>
      <c r="DH7" s="1087"/>
      <c r="DI7" s="1087"/>
      <c r="DJ7" s="1087"/>
      <c r="DK7" s="1087"/>
      <c r="DL7" s="1087"/>
      <c r="DM7" s="1087"/>
      <c r="DN7" s="1087"/>
      <c r="DO7" s="1087"/>
      <c r="DP7" s="1087"/>
      <c r="DQ7" s="1087"/>
      <c r="DR7" s="1087"/>
      <c r="DS7" s="1087"/>
      <c r="DT7" s="1087"/>
      <c r="DU7" s="1087"/>
      <c r="DV7" s="1087"/>
      <c r="DW7" s="1087"/>
      <c r="DX7" s="1087"/>
      <c r="DY7" s="1087"/>
      <c r="DZ7" s="1087"/>
      <c r="EA7" s="1087"/>
      <c r="EB7" s="1087"/>
      <c r="EC7" s="1087"/>
      <c r="ED7" s="1087"/>
      <c r="EE7" s="1087"/>
      <c r="EF7" s="1087"/>
      <c r="EG7" s="1087"/>
      <c r="EH7" s="1087"/>
      <c r="EI7" s="1087"/>
      <c r="EJ7" s="1087"/>
      <c r="EK7" s="1087"/>
      <c r="EL7" s="1087"/>
      <c r="EM7" s="1087"/>
      <c r="EN7" s="1087"/>
      <c r="EO7" s="1087"/>
      <c r="EP7" s="1087"/>
      <c r="EQ7" s="1087"/>
      <c r="ER7" s="1087"/>
      <c r="ES7" s="1087"/>
      <c r="ET7" s="1087"/>
      <c r="EU7" s="1087"/>
      <c r="EV7" s="1087"/>
      <c r="EW7" s="1087"/>
      <c r="EX7" s="1087"/>
      <c r="EY7" s="1087"/>
      <c r="EZ7" s="1087"/>
      <c r="FA7" s="1087"/>
      <c r="FB7" s="1087"/>
      <c r="FC7" s="1087"/>
      <c r="FD7" s="1087"/>
      <c r="FE7" s="1087"/>
      <c r="FF7" s="1087"/>
      <c r="FG7" s="1087"/>
      <c r="FH7" s="1087"/>
      <c r="FI7" s="1087"/>
      <c r="FJ7" s="1087"/>
      <c r="FK7" s="1087"/>
      <c r="FL7" s="1087"/>
      <c r="FM7" s="1087"/>
      <c r="FN7" s="1087"/>
      <c r="FO7" s="1087"/>
      <c r="FP7" s="1087"/>
      <c r="FQ7" s="1087"/>
      <c r="FR7" s="1087"/>
      <c r="FS7" s="1087"/>
      <c r="FT7" s="1087"/>
      <c r="FU7" s="1087"/>
      <c r="FV7" s="1087"/>
      <c r="FW7" s="1087"/>
    </row>
    <row s="9664" customFormat="1" customHeight="1" ht="11.25" hidden="1">
      <c r="B8" s="1088"/>
      <c r="F8" s="1211"/>
      <c r="G8" s="917"/>
      <c r="H8" s="514"/>
      <c r="I8" s="514"/>
      <c r="J8" s="514"/>
      <c r="K8" s="514"/>
      <c r="L8" s="514"/>
      <c r="M8" s="1211"/>
      <c r="N8" s="1211"/>
      <c r="O8" s="2497" t="s">
        <v>990</v>
      </c>
      <c r="P8" s="2498"/>
      <c r="Q8" s="2498"/>
      <c r="R8" s="2498"/>
      <c r="S8" s="2498"/>
      <c r="T8" s="2498"/>
      <c r="U8" s="2498"/>
      <c r="V8" s="2498"/>
      <c r="W8" s="2498"/>
      <c r="X8" s="2498"/>
      <c r="Y8" s="2498"/>
      <c r="Z8" s="2498"/>
      <c r="AA8" s="2498"/>
      <c r="AB8" s="2498"/>
      <c r="AC8" s="2498"/>
      <c r="AD8" s="2498"/>
      <c r="AE8" s="2498"/>
      <c r="AF8" s="2498"/>
      <c r="AG8" s="2498"/>
      <c r="AH8" s="2498"/>
      <c r="AI8" s="2498"/>
      <c r="AJ8" s="2498"/>
      <c r="AK8" s="2498"/>
      <c r="AL8" s="2498"/>
      <c r="AM8" s="2498"/>
      <c r="AN8" s="2498"/>
      <c r="AO8" s="2498"/>
      <c r="AP8" s="2498"/>
      <c r="AQ8" s="2498"/>
      <c r="AR8" s="2498"/>
      <c r="AS8" s="2498"/>
      <c r="AT8" s="2498"/>
      <c r="AU8" s="2498"/>
      <c r="AV8" s="2498"/>
      <c r="AW8" s="2498"/>
      <c r="AX8" s="2498"/>
      <c r="AY8" s="2498"/>
      <c r="AZ8" s="2498"/>
      <c r="BA8" s="2498"/>
      <c r="BB8" s="2498"/>
      <c r="BC8" s="2498"/>
      <c r="BD8" s="2498"/>
      <c r="BE8" s="2498"/>
      <c r="BF8" s="2498"/>
      <c r="BG8" s="2498"/>
      <c r="BH8" s="2498"/>
      <c r="BI8" s="2498"/>
      <c r="BJ8" s="2498"/>
      <c r="BK8" s="2498"/>
      <c r="BL8" s="2498"/>
      <c r="BM8" s="2498"/>
      <c r="BN8" s="2498"/>
      <c r="BO8" s="2498"/>
      <c r="BP8" s="2498"/>
      <c r="BQ8" s="2498"/>
      <c r="BR8" s="2498"/>
      <c r="BS8" s="2499"/>
      <c r="BT8" s="2500"/>
      <c r="BU8" s="2501"/>
      <c r="BV8" s="2501"/>
      <c r="BW8" s="2501"/>
      <c r="BX8" s="2501"/>
      <c r="BY8" s="2501"/>
      <c r="BZ8" s="2501"/>
      <c r="CA8" s="2501"/>
      <c r="CB8" s="2501"/>
      <c r="CC8" s="2501"/>
      <c r="CD8" s="2501"/>
      <c r="CE8" s="2501"/>
      <c r="CF8" s="2501"/>
      <c r="CG8" s="2501"/>
      <c r="CH8" s="2501"/>
      <c r="CI8" s="2501"/>
      <c r="CJ8" s="2501"/>
      <c r="CK8" s="2501"/>
      <c r="CL8" s="2501"/>
      <c r="CM8" s="2501"/>
      <c r="CN8" s="2501"/>
      <c r="CO8" s="2501"/>
      <c r="CP8" s="2501"/>
      <c r="CQ8" s="2501"/>
      <c r="CR8" s="2501"/>
      <c r="CS8" s="2501"/>
      <c r="CT8" s="2501"/>
      <c r="CU8" s="2501"/>
      <c r="CV8" s="2501"/>
      <c r="CW8" s="2501"/>
      <c r="CX8" s="2502"/>
      <c r="CY8" s="2503"/>
      <c r="CZ8" s="2504"/>
      <c r="DA8" s="2504"/>
      <c r="DB8" s="2504"/>
      <c r="DC8" s="2504"/>
      <c r="DD8" s="2504"/>
      <c r="DE8" s="2504"/>
      <c r="DF8" s="2504"/>
      <c r="DG8" s="2504"/>
      <c r="DH8" s="2504"/>
      <c r="DI8" s="2504"/>
      <c r="DJ8" s="2504"/>
      <c r="DK8" s="2504"/>
      <c r="DL8" s="2504"/>
      <c r="DM8" s="2504"/>
      <c r="DN8" s="2504"/>
      <c r="DO8" s="2504"/>
      <c r="DP8" s="2504"/>
      <c r="DQ8" s="2504"/>
      <c r="DR8" s="2504"/>
      <c r="DS8" s="2504"/>
      <c r="DT8" s="2504"/>
      <c r="DU8" s="2504"/>
      <c r="DV8" s="2504"/>
      <c r="DW8" s="2504"/>
      <c r="DX8" s="2505"/>
      <c r="DY8" s="2491" t="s">
        <v>991</v>
      </c>
      <c r="DZ8" s="2492"/>
      <c r="EA8" s="2492"/>
      <c r="EB8" s="2492"/>
      <c r="EC8" s="2492"/>
      <c r="ED8" s="2492"/>
      <c r="EE8" s="2492"/>
      <c r="EF8" s="2492"/>
      <c r="EG8" s="2492"/>
      <c r="EH8" s="2492"/>
      <c r="EI8" s="2492"/>
      <c r="EJ8" s="2492"/>
      <c r="EK8" s="2492"/>
      <c r="EL8" s="2492"/>
      <c r="EM8" s="2492"/>
      <c r="EN8" s="2492"/>
      <c r="EO8" s="2492"/>
      <c r="EP8" s="2492"/>
      <c r="EQ8" s="2492"/>
      <c r="ER8" s="2492"/>
      <c r="ES8" s="2492"/>
      <c r="ET8" s="2492"/>
      <c r="EU8" s="2492"/>
      <c r="EV8" s="2492"/>
      <c r="EW8" s="2492"/>
      <c r="EX8" s="2492"/>
      <c r="EY8" s="2492"/>
      <c r="EZ8" s="2492"/>
      <c r="FA8" s="2492"/>
      <c r="FB8" s="2492"/>
      <c r="FC8" s="2492"/>
      <c r="FD8" s="2492"/>
      <c r="FE8" s="2492"/>
      <c r="FF8" s="2492"/>
      <c r="FG8" s="2492"/>
      <c r="FH8" s="2492"/>
      <c r="FI8" s="2492"/>
      <c r="FJ8" s="2492"/>
      <c r="FK8" s="2492"/>
      <c r="FL8" s="2492"/>
      <c r="FM8" s="2492"/>
      <c r="FN8" s="2492"/>
      <c r="FO8" s="2492"/>
      <c r="FP8" s="2492"/>
      <c r="FQ8" s="2492"/>
      <c r="FR8" s="2492"/>
      <c r="FS8" s="2492"/>
      <c r="FT8" s="2492"/>
      <c r="FU8" s="2492"/>
      <c r="FV8" s="2492"/>
      <c r="FW8" s="2493"/>
      <c r="FX8" s="1211"/>
    </row>
    <row s="9664" customFormat="1" customHeight="1" ht="11.25" hidden="1">
      <c r="B9" s="1088"/>
      <c r="F9" s="1211"/>
      <c r="G9" s="917"/>
      <c r="H9" s="514"/>
      <c r="I9" s="514"/>
      <c r="J9" s="514"/>
      <c r="K9" s="514"/>
      <c r="L9" s="514"/>
      <c r="M9" s="1211"/>
      <c r="N9" s="1211"/>
      <c r="O9" s="1211"/>
      <c r="P9" s="1211"/>
      <c r="Q9" s="1211"/>
      <c r="R9" s="1211"/>
      <c r="S9" s="1211"/>
      <c r="T9" s="1211"/>
      <c r="U9" s="1211"/>
      <c r="V9" s="1211"/>
      <c r="W9" s="1211"/>
      <c r="X9" s="1211"/>
      <c r="Y9" s="1211"/>
      <c r="Z9" s="1211"/>
      <c r="AA9" s="1211"/>
      <c r="AB9" s="1211"/>
      <c r="AC9" s="1211"/>
      <c r="AD9" s="1211"/>
      <c r="AE9" s="1211"/>
      <c r="AF9" s="1211"/>
      <c r="AG9" s="1211"/>
      <c r="AH9" s="1211"/>
      <c r="AI9" s="1211"/>
      <c r="AJ9" s="1211"/>
      <c r="AK9" s="1211"/>
      <c r="AL9" s="1211"/>
      <c r="AM9" s="1211"/>
      <c r="AN9" s="1211"/>
      <c r="AO9" s="1211"/>
      <c r="AP9" s="1211"/>
      <c r="AQ9" s="1211"/>
      <c r="AR9" s="1211"/>
      <c r="AS9" s="1211"/>
      <c r="AT9" s="1211"/>
      <c r="AU9" s="1211"/>
      <c r="AV9" s="1211"/>
      <c r="AW9" s="1211"/>
      <c r="AX9" s="1211"/>
      <c r="AY9" s="1211"/>
      <c r="AZ9" s="1211"/>
      <c r="BA9" s="1211"/>
      <c r="BB9" s="1211"/>
      <c r="BC9" s="1211"/>
      <c r="BD9" s="1211"/>
      <c r="BE9" s="1211"/>
      <c r="BF9" s="1211"/>
      <c r="BG9" s="1211"/>
      <c r="BH9" s="1211"/>
      <c r="BI9" s="1211"/>
      <c r="BJ9" s="1211"/>
      <c r="BK9" s="1211"/>
      <c r="BL9" s="1211"/>
      <c r="BM9" s="1211"/>
      <c r="BN9" s="1211"/>
      <c r="BO9" s="1211"/>
      <c r="BP9" s="1211"/>
      <c r="BQ9" s="1211"/>
      <c r="BR9" s="1211"/>
      <c r="BS9" s="1211"/>
      <c r="BT9" s="1211"/>
      <c r="BU9" s="1211"/>
      <c r="BV9" s="1211"/>
      <c r="BW9" s="1211"/>
      <c r="BX9" s="1211"/>
      <c r="BY9" s="1211"/>
      <c r="BZ9" s="1211"/>
      <c r="CA9" s="1211"/>
      <c r="CB9" s="1211"/>
      <c r="CC9" s="1211"/>
      <c r="CD9" s="1211"/>
      <c r="CE9" s="1211"/>
      <c r="CF9" s="1211"/>
      <c r="CG9" s="1211"/>
      <c r="CH9" s="1211"/>
      <c r="CI9" s="1211"/>
      <c r="CJ9" s="1211"/>
      <c r="CK9" s="1211"/>
      <c r="CL9" s="1211"/>
      <c r="CM9" s="1211"/>
      <c r="CN9" s="1211"/>
      <c r="CO9" s="1211"/>
      <c r="CP9" s="1211"/>
      <c r="CQ9" s="1211"/>
      <c r="CR9" s="1211"/>
      <c r="CS9" s="1211"/>
      <c r="CT9" s="1211"/>
      <c r="CU9" s="1211"/>
      <c r="CV9" s="1211"/>
      <c r="CW9" s="1211"/>
      <c r="CX9" s="1211"/>
      <c r="CY9" s="1211"/>
      <c r="CZ9" s="1211"/>
      <c r="DA9" s="1211"/>
      <c r="DB9" s="1211"/>
      <c r="DC9" s="1211"/>
      <c r="DD9" s="1211"/>
      <c r="DE9" s="1211"/>
      <c r="DF9" s="1211"/>
      <c r="DG9" s="1211"/>
      <c r="DH9" s="1211"/>
      <c r="DI9" s="1211"/>
      <c r="DJ9" s="1211"/>
      <c r="DK9" s="1211"/>
      <c r="DL9" s="1211"/>
      <c r="DM9" s="1211"/>
      <c r="DN9" s="1211"/>
      <c r="DO9" s="1211"/>
      <c r="DP9" s="1211"/>
      <c r="DQ9" s="1211"/>
      <c r="DR9" s="1211"/>
      <c r="DS9" s="1211"/>
      <c r="DT9" s="1211"/>
      <c r="DU9" s="1211"/>
      <c r="DV9" s="1211"/>
      <c r="DW9" s="1211"/>
      <c r="DX9" s="1211"/>
      <c r="DY9" s="1211"/>
      <c r="DZ9" s="1211"/>
      <c r="EA9" s="1211"/>
      <c r="EB9" s="1211"/>
      <c r="EC9" s="1211"/>
      <c r="ED9" s="1211"/>
      <c r="EE9" s="1211"/>
      <c r="EF9" s="1211"/>
      <c r="EG9" s="1211"/>
      <c r="EH9" s="1211"/>
      <c r="EI9" s="1211"/>
      <c r="EJ9" s="1211"/>
      <c r="EK9" s="1211"/>
      <c r="EL9" s="1211"/>
      <c r="EM9" s="1211"/>
      <c r="EN9" s="1211"/>
      <c r="EO9" s="1211"/>
      <c r="EP9" s="1211"/>
      <c r="EQ9" s="1211"/>
      <c r="ER9" s="1211"/>
      <c r="ES9" s="1211"/>
      <c r="ET9" s="1211"/>
      <c r="EU9" s="1211"/>
      <c r="EV9" s="1211"/>
      <c r="EW9" s="1211"/>
      <c r="EX9" s="1211"/>
      <c r="EY9" s="1211"/>
      <c r="EZ9" s="1211"/>
      <c r="FA9" s="1211"/>
      <c r="FB9" s="1211"/>
      <c r="FC9" s="1211"/>
      <c r="FD9" s="1211"/>
      <c r="FE9" s="1211"/>
      <c r="FF9" s="1211"/>
      <c r="FG9" s="1211"/>
      <c r="FH9" s="1211"/>
      <c r="FI9" s="1211"/>
      <c r="FJ9" s="1211"/>
      <c r="FK9" s="1211"/>
      <c r="FL9" s="1211"/>
      <c r="FM9" s="1211"/>
      <c r="FN9" s="1211"/>
      <c r="FO9" s="1211"/>
      <c r="FP9" s="1211"/>
      <c r="FQ9" s="1211"/>
      <c r="FR9" s="1211"/>
      <c r="FS9" s="1211"/>
      <c r="FT9" s="1211"/>
      <c r="FU9" s="1211"/>
      <c r="FV9" s="1211"/>
      <c r="FW9" s="2494"/>
      <c r="FX9" s="1211"/>
    </row>
    <row s="9664" customFormat="1" customHeight="1" ht="11.25">
      <c r="B10" s="1088"/>
      <c r="F10" s="2508" t="s">
        <v>300</v>
      </c>
      <c r="G10" s="2509"/>
      <c r="H10" s="2509"/>
      <c r="I10" s="2509"/>
      <c r="J10" s="2509"/>
      <c r="K10" s="2509"/>
      <c r="L10" s="2509"/>
      <c r="M10" s="2509"/>
      <c r="N10" s="2509"/>
      <c r="O10" s="2509"/>
      <c r="P10" s="2509"/>
      <c r="Q10" s="2509"/>
      <c r="R10" s="2509"/>
      <c r="S10" s="2509"/>
      <c r="T10" s="2509"/>
      <c r="U10" s="2509"/>
      <c r="V10" s="2509"/>
      <c r="W10" s="2509"/>
      <c r="X10" s="2509"/>
      <c r="Y10" s="2509"/>
      <c r="Z10" s="2509"/>
      <c r="AA10" s="2509"/>
      <c r="AB10" s="2509"/>
      <c r="AC10" s="2509"/>
      <c r="AD10" s="2509"/>
      <c r="AE10" s="2509"/>
      <c r="AF10" s="2509"/>
      <c r="AG10" s="2509"/>
      <c r="AH10" s="2509"/>
      <c r="AI10" s="2509"/>
      <c r="AJ10" s="2509"/>
      <c r="AK10" s="2509"/>
      <c r="AL10" s="2509"/>
      <c r="AM10" s="2509"/>
      <c r="AN10" s="2509"/>
      <c r="AO10" s="2509"/>
      <c r="AP10" s="2509"/>
      <c r="AQ10" s="2509"/>
      <c r="AR10" s="2509"/>
      <c r="AS10" s="2509"/>
      <c r="AT10" s="2509"/>
      <c r="AU10" s="2509"/>
      <c r="AV10" s="2509"/>
      <c r="AW10" s="2509"/>
      <c r="AX10" s="2509"/>
      <c r="AY10" s="2509"/>
      <c r="AZ10" s="2509"/>
      <c r="BA10" s="2509"/>
      <c r="BB10" s="2509"/>
      <c r="BC10" s="2509"/>
      <c r="BD10" s="2509"/>
      <c r="BE10" s="2509"/>
      <c r="BF10" s="2509"/>
      <c r="BG10" s="2509"/>
      <c r="BH10" s="2509"/>
      <c r="BI10" s="2509"/>
      <c r="BJ10" s="2509"/>
      <c r="BK10" s="2509"/>
      <c r="BL10" s="2509"/>
      <c r="BM10" s="2509"/>
      <c r="BN10" s="2509"/>
      <c r="BO10" s="2509"/>
      <c r="BP10" s="2509"/>
      <c r="BQ10" s="2509"/>
      <c r="BR10" s="2509"/>
      <c r="BS10" s="2509"/>
      <c r="BT10" s="2509"/>
      <c r="BU10" s="2509"/>
      <c r="BV10" s="2509"/>
      <c r="BW10" s="2509"/>
      <c r="BX10" s="2509"/>
      <c r="BY10" s="2509"/>
      <c r="BZ10" s="2509"/>
      <c r="CA10" s="2509"/>
      <c r="CB10" s="2509"/>
      <c r="CC10" s="2509"/>
      <c r="CD10" s="2509"/>
      <c r="CE10" s="2509"/>
      <c r="CF10" s="2509"/>
      <c r="CG10" s="2509"/>
      <c r="CH10" s="2509"/>
      <c r="CI10" s="2509"/>
      <c r="CJ10" s="2509"/>
      <c r="CK10" s="2509"/>
      <c r="CL10" s="2509"/>
      <c r="CM10" s="2509"/>
      <c r="CN10" s="2509"/>
      <c r="CO10" s="2509"/>
      <c r="CP10" s="2509"/>
      <c r="CQ10" s="2509"/>
      <c r="CR10" s="2509"/>
      <c r="CS10" s="2509"/>
      <c r="CT10" s="2509"/>
      <c r="CU10" s="2509"/>
      <c r="CV10" s="2509"/>
      <c r="CW10" s="2509"/>
      <c r="CX10" s="2509"/>
      <c r="CY10" s="2509"/>
      <c r="CZ10" s="2509"/>
      <c r="DA10" s="2509"/>
      <c r="DB10" s="2509"/>
      <c r="DC10" s="2509"/>
      <c r="DD10" s="2509"/>
      <c r="DE10" s="2509"/>
      <c r="DF10" s="2509"/>
      <c r="DG10" s="2509"/>
      <c r="DH10" s="2509"/>
      <c r="DI10" s="2509"/>
      <c r="DJ10" s="2509"/>
      <c r="DK10" s="2509"/>
      <c r="DL10" s="2509"/>
      <c r="DM10" s="2509"/>
      <c r="DN10" s="2509"/>
      <c r="DO10" s="2509"/>
      <c r="DP10" s="2509"/>
      <c r="DQ10" s="2509"/>
      <c r="DR10" s="2509"/>
      <c r="DS10" s="2509"/>
      <c r="DT10" s="2509"/>
      <c r="DU10" s="2509"/>
      <c r="DV10" s="2509"/>
      <c r="DW10" s="2509"/>
      <c r="DX10" s="2509"/>
      <c r="DY10" s="2509"/>
      <c r="DZ10" s="2509"/>
      <c r="EA10" s="2509"/>
      <c r="EB10" s="2509"/>
      <c r="EC10" s="2509"/>
      <c r="ED10" s="2509"/>
      <c r="EE10" s="2509"/>
      <c r="EF10" s="2509"/>
      <c r="EG10" s="2509"/>
      <c r="EH10" s="2509"/>
      <c r="EI10" s="2509"/>
      <c r="EJ10" s="2509"/>
      <c r="EK10" s="2509"/>
      <c r="EL10" s="2509"/>
      <c r="EM10" s="2509"/>
      <c r="EN10" s="2509"/>
      <c r="EO10" s="2509"/>
      <c r="EP10" s="2509"/>
      <c r="EQ10" s="2509"/>
      <c r="ER10" s="2509"/>
      <c r="ES10" s="2509"/>
      <c r="ET10" s="2509"/>
      <c r="EU10" s="2509"/>
      <c r="EV10" s="2509"/>
      <c r="EW10" s="2509"/>
      <c r="EX10" s="2509"/>
      <c r="EY10" s="2509"/>
      <c r="EZ10" s="2509"/>
      <c r="FA10" s="2509"/>
      <c r="FB10" s="2509"/>
      <c r="FC10" s="2509"/>
      <c r="FD10" s="2509"/>
      <c r="FE10" s="2509"/>
      <c r="FF10" s="2509"/>
      <c r="FG10" s="2509"/>
      <c r="FH10" s="2509"/>
      <c r="FI10" s="2509"/>
      <c r="FJ10" s="2509"/>
      <c r="FK10" s="2509"/>
      <c r="FL10" s="2509"/>
      <c r="FM10" s="2509"/>
      <c r="FN10" s="2509"/>
      <c r="FO10" s="2509"/>
      <c r="FP10" s="2509"/>
      <c r="FQ10" s="2509"/>
      <c r="FR10" s="2509"/>
      <c r="FS10" s="2509"/>
      <c r="FT10" s="2509"/>
      <c r="FU10" s="2509"/>
      <c r="FV10" s="2510"/>
      <c r="FW10" s="2494"/>
      <c r="FX10" s="1211"/>
    </row>
    <row customHeight="1" ht="12">
      <c r="E11" s="1091"/>
      <c r="F11" s="2271" t="s">
        <v>85</v>
      </c>
      <c r="G11" s="2271" t="s">
        <v>992</v>
      </c>
      <c r="H11" s="2507" t="s">
        <v>993</v>
      </c>
      <c r="I11" s="2507" t="s">
        <v>994</v>
      </c>
      <c r="J11" s="2506"/>
      <c r="K11" s="2506"/>
      <c r="L11" s="2506"/>
      <c r="M11" s="2506"/>
      <c r="N11" s="2506"/>
      <c r="O11" s="2275" t="s">
        <v>995</v>
      </c>
      <c r="P11" s="2275"/>
      <c r="Q11" s="2275"/>
      <c r="R11" s="2275"/>
      <c r="S11" s="2275"/>
      <c r="T11" s="2275"/>
      <c r="U11" s="2275"/>
      <c r="V11" s="2275"/>
      <c r="W11" s="2275"/>
      <c r="X11" s="2275"/>
      <c r="Y11" s="2275"/>
      <c r="Z11" s="2275"/>
      <c r="AA11" s="2275"/>
      <c r="AB11" s="2275"/>
      <c r="AC11" s="2488"/>
      <c r="AD11" s="2488"/>
      <c r="AE11" s="2488"/>
      <c r="AF11" s="2488"/>
      <c r="AG11" s="2488"/>
      <c r="AH11" s="2488"/>
      <c r="AI11" s="2488"/>
      <c r="AJ11" s="2488"/>
      <c r="AK11" s="2488"/>
      <c r="AL11" s="2488"/>
      <c r="AM11" s="2488"/>
      <c r="AN11" s="2488"/>
      <c r="AO11" s="2488"/>
      <c r="AP11" s="2488"/>
      <c r="AQ11" s="2488"/>
      <c r="AR11" s="2488"/>
      <c r="AS11" s="2488"/>
      <c r="AT11" s="2488"/>
      <c r="AU11" s="2488"/>
      <c r="AV11" s="2488"/>
      <c r="AW11" s="2488"/>
      <c r="AX11" s="2488"/>
      <c r="AY11" s="2488"/>
      <c r="AZ11" s="2488"/>
      <c r="BA11" s="2488"/>
      <c r="BB11" s="2488"/>
      <c r="BC11" s="2488"/>
      <c r="BD11" s="2488"/>
      <c r="BE11" s="2488"/>
      <c r="BF11" s="2488"/>
      <c r="BG11" s="2488"/>
      <c r="BH11" s="2488"/>
      <c r="BI11" s="2488"/>
      <c r="BJ11" s="2488"/>
      <c r="BK11" s="2488"/>
      <c r="BL11" s="2488"/>
      <c r="BM11" s="2488"/>
      <c r="BN11" s="2488"/>
      <c r="BO11" s="2488"/>
      <c r="BP11" s="2488"/>
      <c r="BQ11" s="2488"/>
      <c r="BR11" s="2488"/>
      <c r="BS11" s="2489"/>
      <c r="BT11" s="2486" t="s">
        <v>995</v>
      </c>
      <c r="BU11" s="2490"/>
      <c r="BV11" s="2490"/>
      <c r="BW11" s="2490"/>
      <c r="BX11" s="2490"/>
      <c r="BY11" s="2490"/>
      <c r="BZ11" s="2490"/>
      <c r="CA11" s="2490"/>
      <c r="CB11" s="2490"/>
      <c r="CC11" s="2490"/>
      <c r="CD11" s="2490"/>
      <c r="CE11" s="2490"/>
      <c r="CF11" s="2490"/>
      <c r="CG11" s="2490"/>
      <c r="CH11" s="2490"/>
      <c r="CI11" s="2490"/>
      <c r="CJ11" s="2490"/>
      <c r="CK11" s="2487"/>
      <c r="CL11" s="2496"/>
      <c r="CM11" s="2488"/>
      <c r="CN11" s="2488"/>
      <c r="CO11" s="2488"/>
      <c r="CP11" s="2488"/>
      <c r="CQ11" s="2488"/>
      <c r="CR11" s="2488"/>
      <c r="CS11" s="2488"/>
      <c r="CT11" s="2488"/>
      <c r="CU11" s="2488"/>
      <c r="CV11" s="2488"/>
      <c r="CW11" s="2488"/>
      <c r="CX11" s="2489"/>
      <c r="CY11" s="2486" t="s">
        <v>995</v>
      </c>
      <c r="CZ11" s="2490"/>
      <c r="DA11" s="2490"/>
      <c r="DB11" s="2490"/>
      <c r="DC11" s="2490"/>
      <c r="DD11" s="2490"/>
      <c r="DE11" s="2490"/>
      <c r="DF11" s="2490"/>
      <c r="DG11" s="2490"/>
      <c r="DH11" s="2490"/>
      <c r="DI11" s="2490"/>
      <c r="DJ11" s="2487"/>
      <c r="DK11" s="2496"/>
      <c r="DL11" s="2488"/>
      <c r="DM11" s="2488"/>
      <c r="DN11" s="2488"/>
      <c r="DO11" s="2488"/>
      <c r="DP11" s="2488"/>
      <c r="DQ11" s="2488"/>
      <c r="DR11" s="2488"/>
      <c r="DS11" s="2488"/>
      <c r="DT11" s="2488"/>
      <c r="DU11" s="2488"/>
      <c r="DV11" s="2488"/>
      <c r="DW11" s="2488"/>
      <c r="DX11" s="2488"/>
      <c r="DY11" s="2488"/>
      <c r="DZ11" s="2488"/>
      <c r="EA11" s="2488"/>
      <c r="EB11" s="2488"/>
      <c r="EC11" s="2488"/>
      <c r="ED11" s="2488"/>
      <c r="EE11" s="2488"/>
      <c r="EF11" s="2488"/>
      <c r="EG11" s="2488"/>
      <c r="EH11" s="2488"/>
      <c r="EI11" s="2488"/>
      <c r="EJ11" s="2488"/>
      <c r="EK11" s="2488"/>
      <c r="EL11" s="2488"/>
      <c r="EM11" s="2488"/>
      <c r="EN11" s="2488"/>
      <c r="EO11" s="2488"/>
      <c r="EP11" s="2488"/>
      <c r="EQ11" s="2488"/>
      <c r="ER11" s="2488"/>
      <c r="ES11" s="2488"/>
      <c r="ET11" s="2488"/>
      <c r="EU11" s="2488"/>
      <c r="EV11" s="2488"/>
      <c r="EW11" s="2488"/>
      <c r="EX11" s="2488"/>
      <c r="EY11" s="2488"/>
      <c r="EZ11" s="2488"/>
      <c r="FA11" s="2488"/>
      <c r="FB11" s="2488"/>
      <c r="FC11" s="2488"/>
      <c r="FD11" s="2488"/>
      <c r="FE11" s="2488"/>
      <c r="FF11" s="2488"/>
      <c r="FG11" s="2488"/>
      <c r="FH11" s="2488"/>
      <c r="FI11" s="2488"/>
      <c r="FJ11" s="2488"/>
      <c r="FK11" s="2488"/>
      <c r="FL11" s="2488"/>
      <c r="FM11" s="2488"/>
      <c r="FN11" s="2488"/>
      <c r="FO11" s="2488"/>
      <c r="FP11" s="2488"/>
      <c r="FQ11" s="2488"/>
      <c r="FR11" s="2488"/>
      <c r="FS11" s="2488"/>
      <c r="FT11" s="2488"/>
      <c r="FU11" s="2488"/>
      <c r="FV11" s="2488"/>
      <c r="FW11" s="2494"/>
      <c r="FX11" s="916"/>
    </row>
    <row customHeight="1" ht="12">
      <c r="D12" s="1092"/>
      <c r="E12" s="1091"/>
      <c r="F12" s="2271"/>
      <c r="G12" s="2271"/>
      <c r="H12" s="2507"/>
      <c r="I12" s="2507"/>
      <c r="J12" s="2506"/>
      <c r="K12" s="2506"/>
      <c r="L12" s="2506"/>
      <c r="M12" s="2506"/>
      <c r="N12" s="2506"/>
      <c r="O12" s="2275" t="s">
        <v>996</v>
      </c>
      <c r="P12" s="2275"/>
      <c r="Q12" s="2275"/>
      <c r="R12" s="2275"/>
      <c r="S12" s="2275" t="s">
        <v>997</v>
      </c>
      <c r="T12" s="2275"/>
      <c r="U12" s="2275"/>
      <c r="V12" s="2275"/>
      <c r="W12" s="2275"/>
      <c r="X12" s="2275"/>
      <c r="Y12" s="2275"/>
      <c r="Z12" s="2275"/>
      <c r="AA12" s="2275"/>
      <c r="AB12" s="2275"/>
      <c r="AC12" s="2488"/>
      <c r="AD12" s="2488"/>
      <c r="AE12" s="2488"/>
      <c r="AF12" s="2488"/>
      <c r="AG12" s="2488"/>
      <c r="AH12" s="2488"/>
      <c r="AI12" s="2488"/>
      <c r="AJ12" s="2488"/>
      <c r="AK12" s="2488"/>
      <c r="AL12" s="2488"/>
      <c r="AM12" s="2488"/>
      <c r="AN12" s="2488"/>
      <c r="AO12" s="2488"/>
      <c r="AP12" s="2488"/>
      <c r="AQ12" s="2488"/>
      <c r="AR12" s="2488"/>
      <c r="AS12" s="2488"/>
      <c r="AT12" s="2488"/>
      <c r="AU12" s="2488"/>
      <c r="AV12" s="2488"/>
      <c r="AW12" s="2488"/>
      <c r="AX12" s="2488"/>
      <c r="AY12" s="2488"/>
      <c r="AZ12" s="2488"/>
      <c r="BA12" s="2488"/>
      <c r="BB12" s="2488"/>
      <c r="BC12" s="2488"/>
      <c r="BD12" s="2488"/>
      <c r="BE12" s="2488"/>
      <c r="BF12" s="2488"/>
      <c r="BG12" s="2488"/>
      <c r="BH12" s="2488"/>
      <c r="BI12" s="2488"/>
      <c r="BJ12" s="2488"/>
      <c r="BK12" s="2488"/>
      <c r="BL12" s="2488"/>
      <c r="BM12" s="2488"/>
      <c r="BN12" s="2488"/>
      <c r="BO12" s="2488"/>
      <c r="BP12" s="2488"/>
      <c r="BQ12" s="2488"/>
      <c r="BR12" s="2488"/>
      <c r="BS12" s="2489"/>
      <c r="BT12" s="2486" t="s">
        <v>998</v>
      </c>
      <c r="BU12" s="2490"/>
      <c r="BV12" s="2490"/>
      <c r="BW12" s="2487"/>
      <c r="BX12" s="2486" t="s">
        <v>999</v>
      </c>
      <c r="BY12" s="2490"/>
      <c r="BZ12" s="2490"/>
      <c r="CA12" s="2487"/>
      <c r="CB12" s="2486" t="s">
        <v>1000</v>
      </c>
      <c r="CC12" s="2487"/>
      <c r="CD12" s="2486" t="s">
        <v>1001</v>
      </c>
      <c r="CE12" s="2490"/>
      <c r="CF12" s="2490"/>
      <c r="CG12" s="2490"/>
      <c r="CH12" s="2490"/>
      <c r="CI12" s="2490"/>
      <c r="CJ12" s="2490"/>
      <c r="CK12" s="2487"/>
      <c r="CL12" s="2496"/>
      <c r="CM12" s="2488"/>
      <c r="CN12" s="2488"/>
      <c r="CO12" s="2488"/>
      <c r="CP12" s="2488"/>
      <c r="CQ12" s="2488"/>
      <c r="CR12" s="2488"/>
      <c r="CS12" s="2488"/>
      <c r="CT12" s="2488"/>
      <c r="CU12" s="2488"/>
      <c r="CV12" s="2488"/>
      <c r="CW12" s="2488"/>
      <c r="CX12" s="2489"/>
      <c r="CY12" s="2486" t="s">
        <v>1002</v>
      </c>
      <c r="CZ12" s="2490"/>
      <c r="DA12" s="2490"/>
      <c r="DB12" s="2490"/>
      <c r="DC12" s="2490"/>
      <c r="DD12" s="2487"/>
      <c r="DE12" s="2486" t="s">
        <v>1003</v>
      </c>
      <c r="DF12" s="2487"/>
      <c r="DG12" s="2486" t="s">
        <v>1001</v>
      </c>
      <c r="DH12" s="2490"/>
      <c r="DI12" s="2490"/>
      <c r="DJ12" s="2487"/>
      <c r="DK12" s="2496"/>
      <c r="DL12" s="2488"/>
      <c r="DM12" s="2488"/>
      <c r="DN12" s="2488"/>
      <c r="DO12" s="2488"/>
      <c r="DP12" s="2488"/>
      <c r="DQ12" s="2488"/>
      <c r="DR12" s="2488"/>
      <c r="DS12" s="2488"/>
      <c r="DT12" s="2488"/>
      <c r="DU12" s="2488"/>
      <c r="DV12" s="2488"/>
      <c r="DW12" s="2488"/>
      <c r="DX12" s="2488"/>
      <c r="DY12" s="2488"/>
      <c r="DZ12" s="2488"/>
      <c r="EA12" s="2488"/>
      <c r="EB12" s="2488"/>
      <c r="EC12" s="2488"/>
      <c r="ED12" s="2488"/>
      <c r="EE12" s="2488"/>
      <c r="EF12" s="2488"/>
      <c r="EG12" s="2488"/>
      <c r="EH12" s="2488"/>
      <c r="EI12" s="2488"/>
      <c r="EJ12" s="2488"/>
      <c r="EK12" s="2488"/>
      <c r="EL12" s="2488"/>
      <c r="EM12" s="2488"/>
      <c r="EN12" s="2488"/>
      <c r="EO12" s="2488"/>
      <c r="EP12" s="2488"/>
      <c r="EQ12" s="2488"/>
      <c r="ER12" s="2488"/>
      <c r="ES12" s="2488"/>
      <c r="ET12" s="2488"/>
      <c r="EU12" s="2488"/>
      <c r="EV12" s="2488"/>
      <c r="EW12" s="2488"/>
      <c r="EX12" s="2488"/>
      <c r="EY12" s="2488"/>
      <c r="EZ12" s="2488"/>
      <c r="FA12" s="2488"/>
      <c r="FB12" s="2488"/>
      <c r="FC12" s="2488"/>
      <c r="FD12" s="2488"/>
      <c r="FE12" s="2488"/>
      <c r="FF12" s="2488"/>
      <c r="FG12" s="2488"/>
      <c r="FH12" s="2488"/>
      <c r="FI12" s="2488"/>
      <c r="FJ12" s="2488"/>
      <c r="FK12" s="2488"/>
      <c r="FL12" s="2488"/>
      <c r="FM12" s="2488"/>
      <c r="FN12" s="2488"/>
      <c r="FO12" s="2488"/>
      <c r="FP12" s="2488"/>
      <c r="FQ12" s="2488"/>
      <c r="FR12" s="2488"/>
      <c r="FS12" s="2488"/>
      <c r="FT12" s="2488"/>
      <c r="FU12" s="2488"/>
      <c r="FV12" s="2488"/>
      <c r="FW12" s="2494"/>
      <c r="FX12" s="916"/>
    </row>
    <row customHeight="1" ht="36">
      <c r="D13" s="1092"/>
      <c r="E13" s="1091"/>
      <c r="F13" s="2271"/>
      <c r="G13" s="2271"/>
      <c r="H13" s="2507"/>
      <c r="I13" s="2507"/>
      <c r="J13" s="2506"/>
      <c r="K13" s="2506"/>
      <c r="L13" s="2506"/>
      <c r="M13" s="2506"/>
      <c r="N13" s="2506"/>
      <c r="O13" s="2275" t="s">
        <v>1004</v>
      </c>
      <c r="P13" s="2275"/>
      <c r="Q13" s="2275"/>
      <c r="R13" s="2275"/>
      <c r="S13" s="2402" t="s">
        <v>1005</v>
      </c>
      <c r="T13" s="2484"/>
      <c r="U13" s="2185" t="s">
        <v>1006</v>
      </c>
      <c r="V13" s="2185"/>
      <c r="W13" s="2185"/>
      <c r="X13" s="2185"/>
      <c r="Y13" s="2185" t="s">
        <v>1007</v>
      </c>
      <c r="Z13" s="2185"/>
      <c r="AA13" s="2185"/>
      <c r="AB13" s="2185"/>
      <c r="AC13" s="2488"/>
      <c r="AD13" s="2488"/>
      <c r="AE13" s="2488"/>
      <c r="AF13" s="2488"/>
      <c r="AG13" s="2488"/>
      <c r="AH13" s="2488"/>
      <c r="AI13" s="2488"/>
      <c r="AJ13" s="2488"/>
      <c r="AK13" s="2488"/>
      <c r="AL13" s="2488"/>
      <c r="AM13" s="2488"/>
      <c r="AN13" s="2488"/>
      <c r="AO13" s="2488"/>
      <c r="AP13" s="2488"/>
      <c r="AQ13" s="2488"/>
      <c r="AR13" s="2488"/>
      <c r="AS13" s="2488"/>
      <c r="AT13" s="2488"/>
      <c r="AU13" s="2488"/>
      <c r="AV13" s="2488"/>
      <c r="AW13" s="2488"/>
      <c r="AX13" s="2488"/>
      <c r="AY13" s="2488"/>
      <c r="AZ13" s="2488"/>
      <c r="BA13" s="2488"/>
      <c r="BB13" s="2488"/>
      <c r="BC13" s="2488"/>
      <c r="BD13" s="2488"/>
      <c r="BE13" s="2488"/>
      <c r="BF13" s="2488"/>
      <c r="BG13" s="2488"/>
      <c r="BH13" s="2488"/>
      <c r="BI13" s="2488"/>
      <c r="BJ13" s="2488"/>
      <c r="BK13" s="2488"/>
      <c r="BL13" s="2488"/>
      <c r="BM13" s="2488"/>
      <c r="BN13" s="2488"/>
      <c r="BO13" s="2488"/>
      <c r="BP13" s="2488"/>
      <c r="BQ13" s="2488"/>
      <c r="BR13" s="2488"/>
      <c r="BS13" s="2489"/>
      <c r="BT13" s="2402" t="s">
        <v>1008</v>
      </c>
      <c r="BU13" s="2484"/>
      <c r="BV13" s="2402" t="s">
        <v>1009</v>
      </c>
      <c r="BW13" s="2484"/>
      <c r="BX13" s="2402" t="s">
        <v>1010</v>
      </c>
      <c r="BY13" s="2484"/>
      <c r="BZ13" s="2402" t="s">
        <v>1011</v>
      </c>
      <c r="CA13" s="2484"/>
      <c r="CB13" s="2402" t="s">
        <v>1012</v>
      </c>
      <c r="CC13" s="2484"/>
      <c r="CD13" s="2402" t="s">
        <v>1013</v>
      </c>
      <c r="CE13" s="2484"/>
      <c r="CF13" s="2402" t="s">
        <v>1014</v>
      </c>
      <c r="CG13" s="2484"/>
      <c r="CH13" s="2486" t="s">
        <v>1015</v>
      </c>
      <c r="CI13" s="2490"/>
      <c r="CJ13" s="2490"/>
      <c r="CK13" s="2487"/>
      <c r="CL13" s="2496"/>
      <c r="CM13" s="2488"/>
      <c r="CN13" s="2488"/>
      <c r="CO13" s="2488"/>
      <c r="CP13" s="2488"/>
      <c r="CQ13" s="2488"/>
      <c r="CR13" s="2488"/>
      <c r="CS13" s="2488"/>
      <c r="CT13" s="2488"/>
      <c r="CU13" s="2488"/>
      <c r="CV13" s="2488"/>
      <c r="CW13" s="2488"/>
      <c r="CX13" s="2489"/>
      <c r="CY13" s="2402" t="s">
        <v>1016</v>
      </c>
      <c r="CZ13" s="2484"/>
      <c r="DA13" s="2402" t="s">
        <v>1017</v>
      </c>
      <c r="DB13" s="2484"/>
      <c r="DC13" s="2402" t="s">
        <v>1018</v>
      </c>
      <c r="DD13" s="2484"/>
      <c r="DE13" s="2402" t="s">
        <v>1019</v>
      </c>
      <c r="DF13" s="2484"/>
      <c r="DG13" s="2486" t="s">
        <v>1020</v>
      </c>
      <c r="DH13" s="2490"/>
      <c r="DI13" s="2490"/>
      <c r="DJ13" s="2487"/>
      <c r="DK13" s="2496"/>
      <c r="DL13" s="2488"/>
      <c r="DM13" s="2488"/>
      <c r="DN13" s="2488"/>
      <c r="DO13" s="2488"/>
      <c r="DP13" s="2488"/>
      <c r="DQ13" s="2488"/>
      <c r="DR13" s="2488"/>
      <c r="DS13" s="2488"/>
      <c r="DT13" s="2488"/>
      <c r="DU13" s="2488"/>
      <c r="DV13" s="2488"/>
      <c r="DW13" s="2488"/>
      <c r="DX13" s="2488"/>
      <c r="DY13" s="2488"/>
      <c r="DZ13" s="2488"/>
      <c r="EA13" s="2488"/>
      <c r="EB13" s="2488"/>
      <c r="EC13" s="2488"/>
      <c r="ED13" s="2488"/>
      <c r="EE13" s="2488"/>
      <c r="EF13" s="2488"/>
      <c r="EG13" s="2488"/>
      <c r="EH13" s="2488"/>
      <c r="EI13" s="2488"/>
      <c r="EJ13" s="2488"/>
      <c r="EK13" s="2488"/>
      <c r="EL13" s="2488"/>
      <c r="EM13" s="2488"/>
      <c r="EN13" s="2488"/>
      <c r="EO13" s="2488"/>
      <c r="EP13" s="2488"/>
      <c r="EQ13" s="2488"/>
      <c r="ER13" s="2488"/>
      <c r="ES13" s="2488"/>
      <c r="ET13" s="2488"/>
      <c r="EU13" s="2488"/>
      <c r="EV13" s="2488"/>
      <c r="EW13" s="2488"/>
      <c r="EX13" s="2488"/>
      <c r="EY13" s="2488"/>
      <c r="EZ13" s="2488"/>
      <c r="FA13" s="2488"/>
      <c r="FB13" s="2488"/>
      <c r="FC13" s="2488"/>
      <c r="FD13" s="2488"/>
      <c r="FE13" s="2488"/>
      <c r="FF13" s="2488"/>
      <c r="FG13" s="2488"/>
      <c r="FH13" s="2488"/>
      <c r="FI13" s="2488"/>
      <c r="FJ13" s="2488"/>
      <c r="FK13" s="2488"/>
      <c r="FL13" s="2488"/>
      <c r="FM13" s="2488"/>
      <c r="FN13" s="2488"/>
      <c r="FO13" s="2488"/>
      <c r="FP13" s="2488"/>
      <c r="FQ13" s="2488"/>
      <c r="FR13" s="2488"/>
      <c r="FS13" s="2488"/>
      <c r="FT13" s="2488"/>
      <c r="FU13" s="2488"/>
      <c r="FV13" s="2488"/>
      <c r="FW13" s="2494"/>
      <c r="FX13" s="916"/>
    </row>
    <row customHeight="1" ht="36">
      <c r="D14" s="1092"/>
      <c r="E14" s="1091"/>
      <c r="F14" s="2271"/>
      <c r="G14" s="2271"/>
      <c r="H14" s="2507"/>
      <c r="I14" s="2507"/>
      <c r="J14" s="2506"/>
      <c r="K14" s="2506"/>
      <c r="L14" s="2506"/>
      <c r="M14" s="2506"/>
      <c r="N14" s="2506"/>
      <c r="O14" s="2402" t="s">
        <v>1021</v>
      </c>
      <c r="P14" s="2484"/>
      <c r="Q14" s="2402" t="s">
        <v>1022</v>
      </c>
      <c r="R14" s="2484"/>
      <c r="S14" s="2403"/>
      <c r="T14" s="2279"/>
      <c r="U14" s="2402" t="s">
        <v>751</v>
      </c>
      <c r="V14" s="2484"/>
      <c r="W14" s="2402" t="s">
        <v>754</v>
      </c>
      <c r="X14" s="2484"/>
      <c r="Y14" s="2402" t="s">
        <v>751</v>
      </c>
      <c r="Z14" s="2484"/>
      <c r="AA14" s="2402" t="s">
        <v>761</v>
      </c>
      <c r="AB14" s="2484"/>
      <c r="AC14" s="2488"/>
      <c r="AD14" s="2488"/>
      <c r="AE14" s="2488"/>
      <c r="AF14" s="2488"/>
      <c r="AG14" s="2488"/>
      <c r="AH14" s="2488"/>
      <c r="AI14" s="2488"/>
      <c r="AJ14" s="2488"/>
      <c r="AK14" s="2488"/>
      <c r="AL14" s="2488"/>
      <c r="AM14" s="2488"/>
      <c r="AN14" s="2488"/>
      <c r="AO14" s="2488"/>
      <c r="AP14" s="2488"/>
      <c r="AQ14" s="2488"/>
      <c r="AR14" s="2488"/>
      <c r="AS14" s="2488"/>
      <c r="AT14" s="2488"/>
      <c r="AU14" s="2488"/>
      <c r="AV14" s="2488"/>
      <c r="AW14" s="2488"/>
      <c r="AX14" s="2488"/>
      <c r="AY14" s="2488"/>
      <c r="AZ14" s="2488"/>
      <c r="BA14" s="2488"/>
      <c r="BB14" s="2488"/>
      <c r="BC14" s="2488"/>
      <c r="BD14" s="2488"/>
      <c r="BE14" s="2488"/>
      <c r="BF14" s="2488"/>
      <c r="BG14" s="2488"/>
      <c r="BH14" s="2488"/>
      <c r="BI14" s="2488"/>
      <c r="BJ14" s="2488"/>
      <c r="BK14" s="2488"/>
      <c r="BL14" s="2488"/>
      <c r="BM14" s="2488"/>
      <c r="BN14" s="2488"/>
      <c r="BO14" s="2488"/>
      <c r="BP14" s="2488"/>
      <c r="BQ14" s="2488"/>
      <c r="BR14" s="2488"/>
      <c r="BS14" s="2489"/>
      <c r="BT14" s="2403"/>
      <c r="BU14" s="2279"/>
      <c r="BV14" s="2403"/>
      <c r="BW14" s="2279"/>
      <c r="BX14" s="2403"/>
      <c r="BY14" s="2279"/>
      <c r="BZ14" s="2403"/>
      <c r="CA14" s="2279"/>
      <c r="CB14" s="2403"/>
      <c r="CC14" s="2279"/>
      <c r="CD14" s="2403"/>
      <c r="CE14" s="2279"/>
      <c r="CF14" s="2403"/>
      <c r="CG14" s="2279"/>
      <c r="CH14" s="2402" t="s">
        <v>1023</v>
      </c>
      <c r="CI14" s="2484"/>
      <c r="CJ14" s="2402" t="s">
        <v>1024</v>
      </c>
      <c r="CK14" s="2484"/>
      <c r="CL14" s="2496"/>
      <c r="CM14" s="2488"/>
      <c r="CN14" s="2488"/>
      <c r="CO14" s="2488"/>
      <c r="CP14" s="2488"/>
      <c r="CQ14" s="2488"/>
      <c r="CR14" s="2488"/>
      <c r="CS14" s="2488"/>
      <c r="CT14" s="2488"/>
      <c r="CU14" s="2488"/>
      <c r="CV14" s="2488"/>
      <c r="CW14" s="2488"/>
      <c r="CX14" s="2489"/>
      <c r="CY14" s="2403"/>
      <c r="CZ14" s="2279"/>
      <c r="DA14" s="2403"/>
      <c r="DB14" s="2279"/>
      <c r="DC14" s="2403"/>
      <c r="DD14" s="2279"/>
      <c r="DE14" s="2403"/>
      <c r="DF14" s="2279"/>
      <c r="DG14" s="2402" t="s">
        <v>1025</v>
      </c>
      <c r="DH14" s="2484"/>
      <c r="DI14" s="2402" t="s">
        <v>1026</v>
      </c>
      <c r="DJ14" s="2484"/>
      <c r="DK14" s="2496"/>
      <c r="DL14" s="2488"/>
      <c r="DM14" s="2488"/>
      <c r="DN14" s="2488"/>
      <c r="DO14" s="2488"/>
      <c r="DP14" s="2488"/>
      <c r="DQ14" s="2488"/>
      <c r="DR14" s="2488"/>
      <c r="DS14" s="2488"/>
      <c r="DT14" s="2488"/>
      <c r="DU14" s="2488"/>
      <c r="DV14" s="2488"/>
      <c r="DW14" s="2488"/>
      <c r="DX14" s="2488"/>
      <c r="DY14" s="2488"/>
      <c r="DZ14" s="2488"/>
      <c r="EA14" s="2488"/>
      <c r="EB14" s="2488"/>
      <c r="EC14" s="2488"/>
      <c r="ED14" s="2488"/>
      <c r="EE14" s="2488"/>
      <c r="EF14" s="2488"/>
      <c r="EG14" s="2488"/>
      <c r="EH14" s="2488"/>
      <c r="EI14" s="2488"/>
      <c r="EJ14" s="2488"/>
      <c r="EK14" s="2488"/>
      <c r="EL14" s="2488"/>
      <c r="EM14" s="2488"/>
      <c r="EN14" s="2488"/>
      <c r="EO14" s="2488"/>
      <c r="EP14" s="2488"/>
      <c r="EQ14" s="2488"/>
      <c r="ER14" s="2488"/>
      <c r="ES14" s="2488"/>
      <c r="ET14" s="2488"/>
      <c r="EU14" s="2488"/>
      <c r="EV14" s="2488"/>
      <c r="EW14" s="2488"/>
      <c r="EX14" s="2488"/>
      <c r="EY14" s="2488"/>
      <c r="EZ14" s="2488"/>
      <c r="FA14" s="2488"/>
      <c r="FB14" s="2488"/>
      <c r="FC14" s="2488"/>
      <c r="FD14" s="2488"/>
      <c r="FE14" s="2488"/>
      <c r="FF14" s="2488"/>
      <c r="FG14" s="2488"/>
      <c r="FH14" s="2488"/>
      <c r="FI14" s="2488"/>
      <c r="FJ14" s="2488"/>
      <c r="FK14" s="2488"/>
      <c r="FL14" s="2488"/>
      <c r="FM14" s="2488"/>
      <c r="FN14" s="2488"/>
      <c r="FO14" s="2488"/>
      <c r="FP14" s="2488"/>
      <c r="FQ14" s="2488"/>
      <c r="FR14" s="2488"/>
      <c r="FS14" s="2488"/>
      <c r="FT14" s="2488"/>
      <c r="FU14" s="2488"/>
      <c r="FV14" s="2488"/>
      <c r="FW14" s="2494"/>
      <c r="FX14" s="916"/>
    </row>
    <row customHeight="1" ht="36">
      <c r="D15" s="1092"/>
      <c r="E15" s="1091"/>
      <c r="F15" s="2271"/>
      <c r="G15" s="2271"/>
      <c r="H15" s="2507"/>
      <c r="I15" s="2507"/>
      <c r="J15" s="2506"/>
      <c r="K15" s="2506"/>
      <c r="L15" s="2506"/>
      <c r="M15" s="2506"/>
      <c r="N15" s="2506"/>
      <c r="O15" s="2404"/>
      <c r="P15" s="2485"/>
      <c r="Q15" s="2404"/>
      <c r="R15" s="2485"/>
      <c r="S15" s="2404"/>
      <c r="T15" s="2485"/>
      <c r="U15" s="2404"/>
      <c r="V15" s="2485"/>
      <c r="W15" s="2404"/>
      <c r="X15" s="2485"/>
      <c r="Y15" s="2404"/>
      <c r="Z15" s="2485"/>
      <c r="AA15" s="2404"/>
      <c r="AB15" s="2485"/>
      <c r="AC15" s="2488"/>
      <c r="AD15" s="2488"/>
      <c r="AE15" s="2488"/>
      <c r="AF15" s="2488"/>
      <c r="AG15" s="2488"/>
      <c r="AH15" s="2488"/>
      <c r="AI15" s="2488"/>
      <c r="AJ15" s="2488"/>
      <c r="AK15" s="2488"/>
      <c r="AL15" s="2488"/>
      <c r="AM15" s="2488"/>
      <c r="AN15" s="2488"/>
      <c r="AO15" s="2488"/>
      <c r="AP15" s="2488"/>
      <c r="AQ15" s="2488"/>
      <c r="AR15" s="2488"/>
      <c r="AS15" s="2488"/>
      <c r="AT15" s="2488"/>
      <c r="AU15" s="2488"/>
      <c r="AV15" s="2488"/>
      <c r="AW15" s="2488"/>
      <c r="AX15" s="2488"/>
      <c r="AY15" s="2488"/>
      <c r="AZ15" s="2488"/>
      <c r="BA15" s="2488"/>
      <c r="BB15" s="2488"/>
      <c r="BC15" s="2488"/>
      <c r="BD15" s="2488"/>
      <c r="BE15" s="2488"/>
      <c r="BF15" s="2488"/>
      <c r="BG15" s="2488"/>
      <c r="BH15" s="2488"/>
      <c r="BI15" s="2488"/>
      <c r="BJ15" s="2488"/>
      <c r="BK15" s="2488"/>
      <c r="BL15" s="2488"/>
      <c r="BM15" s="2488"/>
      <c r="BN15" s="2488"/>
      <c r="BO15" s="2488"/>
      <c r="BP15" s="2488"/>
      <c r="BQ15" s="2488"/>
      <c r="BR15" s="2488"/>
      <c r="BS15" s="2489"/>
      <c r="BT15" s="2404"/>
      <c r="BU15" s="2485"/>
      <c r="BV15" s="2404"/>
      <c r="BW15" s="2485"/>
      <c r="BX15" s="2404"/>
      <c r="BY15" s="2485"/>
      <c r="BZ15" s="2404"/>
      <c r="CA15" s="2485"/>
      <c r="CB15" s="2404"/>
      <c r="CC15" s="2485"/>
      <c r="CD15" s="2404"/>
      <c r="CE15" s="2485"/>
      <c r="CF15" s="2404"/>
      <c r="CG15" s="2485"/>
      <c r="CH15" s="2404"/>
      <c r="CI15" s="2485"/>
      <c r="CJ15" s="2404"/>
      <c r="CK15" s="2485"/>
      <c r="CL15" s="2496"/>
      <c r="CM15" s="2488"/>
      <c r="CN15" s="2488"/>
      <c r="CO15" s="2488"/>
      <c r="CP15" s="2488"/>
      <c r="CQ15" s="2488"/>
      <c r="CR15" s="2488"/>
      <c r="CS15" s="2488"/>
      <c r="CT15" s="2488"/>
      <c r="CU15" s="2488"/>
      <c r="CV15" s="2488"/>
      <c r="CW15" s="2488"/>
      <c r="CX15" s="2489"/>
      <c r="CY15" s="2404"/>
      <c r="CZ15" s="2485"/>
      <c r="DA15" s="2404"/>
      <c r="DB15" s="2485"/>
      <c r="DC15" s="2404"/>
      <c r="DD15" s="2485"/>
      <c r="DE15" s="2404"/>
      <c r="DF15" s="2485"/>
      <c r="DG15" s="2404"/>
      <c r="DH15" s="2485"/>
      <c r="DI15" s="2404"/>
      <c r="DJ15" s="2485"/>
      <c r="DK15" s="2496"/>
      <c r="DL15" s="2488"/>
      <c r="DM15" s="2488"/>
      <c r="DN15" s="2488"/>
      <c r="DO15" s="2488"/>
      <c r="DP15" s="2488"/>
      <c r="DQ15" s="2488"/>
      <c r="DR15" s="2488"/>
      <c r="DS15" s="2488"/>
      <c r="DT15" s="2488"/>
      <c r="DU15" s="2488"/>
      <c r="DV15" s="2488"/>
      <c r="DW15" s="2488"/>
      <c r="DX15" s="2488"/>
      <c r="DY15" s="2488"/>
      <c r="DZ15" s="2488"/>
      <c r="EA15" s="2488"/>
      <c r="EB15" s="2488"/>
      <c r="EC15" s="2488"/>
      <c r="ED15" s="2488"/>
      <c r="EE15" s="2488"/>
      <c r="EF15" s="2488"/>
      <c r="EG15" s="2488"/>
      <c r="EH15" s="2488"/>
      <c r="EI15" s="2488"/>
      <c r="EJ15" s="2488"/>
      <c r="EK15" s="2488"/>
      <c r="EL15" s="2488"/>
      <c r="EM15" s="2488"/>
      <c r="EN15" s="2488"/>
      <c r="EO15" s="2488"/>
      <c r="EP15" s="2488"/>
      <c r="EQ15" s="2488"/>
      <c r="ER15" s="2488"/>
      <c r="ES15" s="2488"/>
      <c r="ET15" s="2488"/>
      <c r="EU15" s="2488"/>
      <c r="EV15" s="2488"/>
      <c r="EW15" s="2488"/>
      <c r="EX15" s="2488"/>
      <c r="EY15" s="2488"/>
      <c r="EZ15" s="2488"/>
      <c r="FA15" s="2488"/>
      <c r="FB15" s="2488"/>
      <c r="FC15" s="2488"/>
      <c r="FD15" s="2488"/>
      <c r="FE15" s="2488"/>
      <c r="FF15" s="2488"/>
      <c r="FG15" s="2488"/>
      <c r="FH15" s="2488"/>
      <c r="FI15" s="2488"/>
      <c r="FJ15" s="2488"/>
      <c r="FK15" s="2488"/>
      <c r="FL15" s="2488"/>
      <c r="FM15" s="2488"/>
      <c r="FN15" s="2488"/>
      <c r="FO15" s="2488"/>
      <c r="FP15" s="2488"/>
      <c r="FQ15" s="2488"/>
      <c r="FR15" s="2488"/>
      <c r="FS15" s="2488"/>
      <c r="FT15" s="2488"/>
      <c r="FU15" s="2488"/>
      <c r="FV15" s="2488"/>
      <c r="FW15" s="2494"/>
      <c r="FX15" s="916"/>
    </row>
    <row customHeight="1" ht="12">
      <c r="D16" s="1092"/>
      <c r="E16" s="1091"/>
      <c r="F16" s="2271"/>
      <c r="G16" s="2271"/>
      <c r="H16" s="2507"/>
      <c r="I16" s="2507"/>
      <c r="J16" s="2506"/>
      <c r="K16" s="2506"/>
      <c r="L16" s="2506"/>
      <c r="M16" s="2506"/>
      <c r="N16" s="2506"/>
      <c r="O16" s="2486" t="s">
        <v>741</v>
      </c>
      <c r="P16" s="2487"/>
      <c r="Q16" s="2486" t="s">
        <v>743</v>
      </c>
      <c r="R16" s="2487"/>
      <c r="S16" s="2486" t="s">
        <v>747</v>
      </c>
      <c r="T16" s="2487"/>
      <c r="U16" s="2486" t="s">
        <v>752</v>
      </c>
      <c r="V16" s="2487"/>
      <c r="W16" s="2486" t="s">
        <v>755</v>
      </c>
      <c r="X16" s="2487"/>
      <c r="Y16" s="2486" t="s">
        <v>759</v>
      </c>
      <c r="Z16" s="2487"/>
      <c r="AA16" s="2486" t="s">
        <v>762</v>
      </c>
      <c r="AB16" s="2487"/>
      <c r="AC16" s="2488"/>
      <c r="AD16" s="2488"/>
      <c r="AE16" s="2488"/>
      <c r="AF16" s="2488"/>
      <c r="AG16" s="2488"/>
      <c r="AH16" s="2488"/>
      <c r="AI16" s="2488"/>
      <c r="AJ16" s="2488"/>
      <c r="AK16" s="2488"/>
      <c r="AL16" s="2488"/>
      <c r="AM16" s="2488"/>
      <c r="AN16" s="2488"/>
      <c r="AO16" s="2488"/>
      <c r="AP16" s="2488"/>
      <c r="AQ16" s="2488"/>
      <c r="AR16" s="2488"/>
      <c r="AS16" s="2488"/>
      <c r="AT16" s="2488"/>
      <c r="AU16" s="2488"/>
      <c r="AV16" s="2488"/>
      <c r="AW16" s="2488"/>
      <c r="AX16" s="2488"/>
      <c r="AY16" s="2488"/>
      <c r="AZ16" s="2488"/>
      <c r="BA16" s="2488"/>
      <c r="BB16" s="2488"/>
      <c r="BC16" s="2488"/>
      <c r="BD16" s="2488"/>
      <c r="BE16" s="2488"/>
      <c r="BF16" s="2488"/>
      <c r="BG16" s="2488"/>
      <c r="BH16" s="2488"/>
      <c r="BI16" s="2488"/>
      <c r="BJ16" s="2488"/>
      <c r="BK16" s="2488"/>
      <c r="BL16" s="2488"/>
      <c r="BM16" s="2488"/>
      <c r="BN16" s="2488"/>
      <c r="BO16" s="2488"/>
      <c r="BP16" s="2488"/>
      <c r="BQ16" s="2488"/>
      <c r="BR16" s="2488"/>
      <c r="BS16" s="2489"/>
      <c r="BT16" s="2486" t="s">
        <v>559</v>
      </c>
      <c r="BU16" s="2487"/>
      <c r="BV16" s="2486" t="s">
        <v>559</v>
      </c>
      <c r="BW16" s="2487"/>
      <c r="BX16" s="2486" t="s">
        <v>559</v>
      </c>
      <c r="BY16" s="2487"/>
      <c r="BZ16" s="2486" t="s">
        <v>559</v>
      </c>
      <c r="CA16" s="2487"/>
      <c r="CB16" s="2486" t="s">
        <v>1027</v>
      </c>
      <c r="CC16" s="2487"/>
      <c r="CD16" s="2486" t="s">
        <v>559</v>
      </c>
      <c r="CE16" s="2487"/>
      <c r="CF16" s="2486" t="s">
        <v>1028</v>
      </c>
      <c r="CG16" s="2487"/>
      <c r="CH16" s="2486" t="s">
        <v>1029</v>
      </c>
      <c r="CI16" s="2487"/>
      <c r="CJ16" s="2486" t="s">
        <v>1029</v>
      </c>
      <c r="CK16" s="2487"/>
      <c r="CL16" s="2496"/>
      <c r="CM16" s="2488"/>
      <c r="CN16" s="2488"/>
      <c r="CO16" s="2488"/>
      <c r="CP16" s="2488"/>
      <c r="CQ16" s="2488"/>
      <c r="CR16" s="2488"/>
      <c r="CS16" s="2488"/>
      <c r="CT16" s="2488"/>
      <c r="CU16" s="2488"/>
      <c r="CV16" s="2488"/>
      <c r="CW16" s="2488"/>
      <c r="CX16" s="2489"/>
      <c r="CY16" s="2402" t="s">
        <v>559</v>
      </c>
      <c r="CZ16" s="2484"/>
      <c r="DA16" s="2402" t="s">
        <v>559</v>
      </c>
      <c r="DB16" s="2484"/>
      <c r="DC16" s="2402" t="s">
        <v>559</v>
      </c>
      <c r="DD16" s="2484"/>
      <c r="DE16" s="2486" t="s">
        <v>1027</v>
      </c>
      <c r="DF16" s="2487"/>
      <c r="DG16" s="2486" t="s">
        <v>1030</v>
      </c>
      <c r="DH16" s="2487"/>
      <c r="DI16" s="2486" t="s">
        <v>1030</v>
      </c>
      <c r="DJ16" s="2487"/>
      <c r="DK16" s="2496"/>
      <c r="DL16" s="2488"/>
      <c r="DM16" s="2488"/>
      <c r="DN16" s="2488"/>
      <c r="DO16" s="2488"/>
      <c r="DP16" s="2488"/>
      <c r="DQ16" s="2488"/>
      <c r="DR16" s="2488"/>
      <c r="DS16" s="2488"/>
      <c r="DT16" s="2488"/>
      <c r="DU16" s="2488"/>
      <c r="DV16" s="2488"/>
      <c r="DW16" s="2488"/>
      <c r="DX16" s="2488"/>
      <c r="DY16" s="2488"/>
      <c r="DZ16" s="2488"/>
      <c r="EA16" s="2488"/>
      <c r="EB16" s="2488"/>
      <c r="EC16" s="2488"/>
      <c r="ED16" s="2488"/>
      <c r="EE16" s="2488"/>
      <c r="EF16" s="2488"/>
      <c r="EG16" s="2488"/>
      <c r="EH16" s="2488"/>
      <c r="EI16" s="2488"/>
      <c r="EJ16" s="2488"/>
      <c r="EK16" s="2488"/>
      <c r="EL16" s="2488"/>
      <c r="EM16" s="2488"/>
      <c r="EN16" s="2488"/>
      <c r="EO16" s="2488"/>
      <c r="EP16" s="2488"/>
      <c r="EQ16" s="2488"/>
      <c r="ER16" s="2488"/>
      <c r="ES16" s="2488"/>
      <c r="ET16" s="2488"/>
      <c r="EU16" s="2488"/>
      <c r="EV16" s="2488"/>
      <c r="EW16" s="2488"/>
      <c r="EX16" s="2488"/>
      <c r="EY16" s="2488"/>
      <c r="EZ16" s="2488"/>
      <c r="FA16" s="2488"/>
      <c r="FB16" s="2488"/>
      <c r="FC16" s="2488"/>
      <c r="FD16" s="2488"/>
      <c r="FE16" s="2488"/>
      <c r="FF16" s="2488"/>
      <c r="FG16" s="2488"/>
      <c r="FH16" s="2488"/>
      <c r="FI16" s="2488"/>
      <c r="FJ16" s="2488"/>
      <c r="FK16" s="2488"/>
      <c r="FL16" s="2488"/>
      <c r="FM16" s="2488"/>
      <c r="FN16" s="2488"/>
      <c r="FO16" s="2488"/>
      <c r="FP16" s="2488"/>
      <c r="FQ16" s="2488"/>
      <c r="FR16" s="2488"/>
      <c r="FS16" s="2488"/>
      <c r="FT16" s="2488"/>
      <c r="FU16" s="2488"/>
      <c r="FV16" s="2488"/>
      <c r="FW16" s="2494"/>
      <c r="FX16" s="916"/>
    </row>
    <row customHeight="1" ht="15">
      <c r="E17" s="1091"/>
      <c r="F17" s="2271"/>
      <c r="G17" s="2271"/>
      <c r="H17" s="2507"/>
      <c r="I17" s="2507"/>
      <c r="J17" s="2506"/>
      <c r="K17" s="2506"/>
      <c r="L17" s="2506"/>
      <c r="M17" s="2506"/>
      <c r="N17" s="2506"/>
      <c r="O17" s="1349" t="s">
        <v>1031</v>
      </c>
      <c r="P17" s="1349" t="s">
        <v>1032</v>
      </c>
      <c r="Q17" s="1349" t="s">
        <v>1031</v>
      </c>
      <c r="R17" s="1349" t="s">
        <v>1032</v>
      </c>
      <c r="S17" s="1349" t="s">
        <v>1031</v>
      </c>
      <c r="T17" s="1349" t="s">
        <v>1032</v>
      </c>
      <c r="U17" s="1349" t="s">
        <v>1031</v>
      </c>
      <c r="V17" s="1349" t="s">
        <v>1032</v>
      </c>
      <c r="W17" s="1349" t="s">
        <v>1031</v>
      </c>
      <c r="X17" s="1349" t="s">
        <v>1032</v>
      </c>
      <c r="Y17" s="1349" t="s">
        <v>1031</v>
      </c>
      <c r="Z17" s="1349" t="s">
        <v>1032</v>
      </c>
      <c r="AA17" s="1349" t="s">
        <v>1031</v>
      </c>
      <c r="AB17" s="1349" t="s">
        <v>1032</v>
      </c>
      <c r="AC17" s="2488"/>
      <c r="AD17" s="2488"/>
      <c r="AE17" s="2488"/>
      <c r="AF17" s="2488"/>
      <c r="AG17" s="2488"/>
      <c r="AH17" s="2488"/>
      <c r="AI17" s="2488"/>
      <c r="AJ17" s="2488"/>
      <c r="AK17" s="2488"/>
      <c r="AL17" s="2488"/>
      <c r="AM17" s="2488"/>
      <c r="AN17" s="2488"/>
      <c r="AO17" s="2488"/>
      <c r="AP17" s="2488"/>
      <c r="AQ17" s="2488"/>
      <c r="AR17" s="2488"/>
      <c r="AS17" s="2488"/>
      <c r="AT17" s="2488"/>
      <c r="AU17" s="2488"/>
      <c r="AV17" s="2488"/>
      <c r="AW17" s="2488"/>
      <c r="AX17" s="2488"/>
      <c r="AY17" s="2488"/>
      <c r="AZ17" s="2488"/>
      <c r="BA17" s="2488"/>
      <c r="BB17" s="2488"/>
      <c r="BC17" s="2488"/>
      <c r="BD17" s="2488"/>
      <c r="BE17" s="2488"/>
      <c r="BF17" s="2488"/>
      <c r="BG17" s="2488"/>
      <c r="BH17" s="2488"/>
      <c r="BI17" s="2488"/>
      <c r="BJ17" s="2488"/>
      <c r="BK17" s="2488"/>
      <c r="BL17" s="2488"/>
      <c r="BM17" s="2488"/>
      <c r="BN17" s="2488"/>
      <c r="BO17" s="2488"/>
      <c r="BP17" s="2488"/>
      <c r="BQ17" s="2488"/>
      <c r="BR17" s="2488"/>
      <c r="BS17" s="2489"/>
      <c r="BT17" s="1349" t="s">
        <v>1031</v>
      </c>
      <c r="BU17" s="1349" t="s">
        <v>1032</v>
      </c>
      <c r="BV17" s="1349" t="s">
        <v>1031</v>
      </c>
      <c r="BW17" s="1349" t="s">
        <v>1032</v>
      </c>
      <c r="BX17" s="1349" t="s">
        <v>1031</v>
      </c>
      <c r="BY17" s="1349" t="s">
        <v>1032</v>
      </c>
      <c r="BZ17" s="1349" t="s">
        <v>1031</v>
      </c>
      <c r="CA17" s="1349" t="s">
        <v>1032</v>
      </c>
      <c r="CB17" s="1349" t="s">
        <v>1031</v>
      </c>
      <c r="CC17" s="1349" t="s">
        <v>1032</v>
      </c>
      <c r="CD17" s="1349" t="s">
        <v>1031</v>
      </c>
      <c r="CE17" s="1349" t="s">
        <v>1032</v>
      </c>
      <c r="CF17" s="1349" t="s">
        <v>1031</v>
      </c>
      <c r="CG17" s="1349" t="s">
        <v>1032</v>
      </c>
      <c r="CH17" s="1349" t="s">
        <v>1031</v>
      </c>
      <c r="CI17" s="1349" t="s">
        <v>1032</v>
      </c>
      <c r="CJ17" s="1349" t="s">
        <v>1031</v>
      </c>
      <c r="CK17" s="1349" t="s">
        <v>1032</v>
      </c>
      <c r="CL17" s="2496"/>
      <c r="CM17" s="2488"/>
      <c r="CN17" s="2488"/>
      <c r="CO17" s="2488"/>
      <c r="CP17" s="2488"/>
      <c r="CQ17" s="2488"/>
      <c r="CR17" s="2488"/>
      <c r="CS17" s="2488"/>
      <c r="CT17" s="2488"/>
      <c r="CU17" s="2488"/>
      <c r="CV17" s="2488"/>
      <c r="CW17" s="2488"/>
      <c r="CX17" s="2489"/>
      <c r="CY17" s="1349" t="s">
        <v>1031</v>
      </c>
      <c r="CZ17" s="1349" t="s">
        <v>1032</v>
      </c>
      <c r="DA17" s="1349" t="s">
        <v>1031</v>
      </c>
      <c r="DB17" s="1349" t="s">
        <v>1032</v>
      </c>
      <c r="DC17" s="1349" t="s">
        <v>1031</v>
      </c>
      <c r="DD17" s="1349" t="s">
        <v>1032</v>
      </c>
      <c r="DE17" s="1349" t="s">
        <v>1031</v>
      </c>
      <c r="DF17" s="1349" t="s">
        <v>1032</v>
      </c>
      <c r="DG17" s="1349" t="s">
        <v>1031</v>
      </c>
      <c r="DH17" s="1349" t="s">
        <v>1032</v>
      </c>
      <c r="DI17" s="1349" t="s">
        <v>1031</v>
      </c>
      <c r="DJ17" s="1349" t="s">
        <v>1032</v>
      </c>
      <c r="DK17" s="2496"/>
      <c r="DL17" s="2488"/>
      <c r="DM17" s="2488"/>
      <c r="DN17" s="2488"/>
      <c r="DO17" s="2488"/>
      <c r="DP17" s="2488"/>
      <c r="DQ17" s="2488"/>
      <c r="DR17" s="2488"/>
      <c r="DS17" s="2488"/>
      <c r="DT17" s="2488"/>
      <c r="DU17" s="2488"/>
      <c r="DV17" s="2488"/>
      <c r="DW17" s="2488"/>
      <c r="DX17" s="2488"/>
      <c r="DY17" s="2488"/>
      <c r="DZ17" s="2488"/>
      <c r="EA17" s="2488"/>
      <c r="EB17" s="2488"/>
      <c r="EC17" s="2488"/>
      <c r="ED17" s="2488"/>
      <c r="EE17" s="2488"/>
      <c r="EF17" s="2488"/>
      <c r="EG17" s="2488"/>
      <c r="EH17" s="2488"/>
      <c r="EI17" s="2488"/>
      <c r="EJ17" s="2488"/>
      <c r="EK17" s="2488"/>
      <c r="EL17" s="2488"/>
      <c r="EM17" s="2488"/>
      <c r="EN17" s="2488"/>
      <c r="EO17" s="2488"/>
      <c r="EP17" s="2488"/>
      <c r="EQ17" s="2488"/>
      <c r="ER17" s="2488"/>
      <c r="ES17" s="2488"/>
      <c r="ET17" s="2488"/>
      <c r="EU17" s="2488"/>
      <c r="EV17" s="2488"/>
      <c r="EW17" s="2488"/>
      <c r="EX17" s="2488"/>
      <c r="EY17" s="2488"/>
      <c r="EZ17" s="2488"/>
      <c r="FA17" s="2488"/>
      <c r="FB17" s="2488"/>
      <c r="FC17" s="2488"/>
      <c r="FD17" s="2488"/>
      <c r="FE17" s="2488"/>
      <c r="FF17" s="2488"/>
      <c r="FG17" s="2488"/>
      <c r="FH17" s="2488"/>
      <c r="FI17" s="2488"/>
      <c r="FJ17" s="2488"/>
      <c r="FK17" s="2488"/>
      <c r="FL17" s="2488"/>
      <c r="FM17" s="2488"/>
      <c r="FN17" s="2488"/>
      <c r="FO17" s="2488"/>
      <c r="FP17" s="2488"/>
      <c r="FQ17" s="2488"/>
      <c r="FR17" s="2488"/>
      <c r="FS17" s="2488"/>
      <c r="FT17" s="2488"/>
      <c r="FU17" s="2488"/>
      <c r="FV17" s="2488"/>
      <c r="FW17" s="2495"/>
      <c r="FX17" s="916"/>
    </row>
    <row s="9699" customFormat="1" customHeight="1" ht="12" hidden="1">
      <c r="B18" s="1077"/>
      <c r="E18" s="1093"/>
      <c r="F18" s="1350"/>
      <c r="G18" s="1350"/>
      <c r="H18" s="1350"/>
      <c r="I18" s="1350"/>
      <c r="J18" s="1351"/>
      <c r="K18" s="1351"/>
      <c r="L18" s="1351"/>
      <c r="M18" s="1351"/>
      <c r="N18" s="1351"/>
      <c r="O18" s="1350"/>
      <c r="P18" s="1350"/>
      <c r="Q18" s="1350"/>
      <c r="R18" s="1350"/>
      <c r="S18" s="1350"/>
      <c r="T18" s="1350"/>
      <c r="U18" s="1352"/>
      <c r="V18" s="1352"/>
      <c r="W18" s="1352"/>
      <c r="X18" s="1352"/>
      <c r="Y18" s="1352"/>
      <c r="Z18" s="1352"/>
      <c r="AA18" s="1352"/>
      <c r="AB18" s="1350"/>
      <c r="AC18" s="1351"/>
      <c r="AD18" s="1351"/>
      <c r="AE18" s="1351"/>
      <c r="AF18" s="1351"/>
      <c r="AG18" s="1351"/>
      <c r="AH18" s="1351"/>
      <c r="AI18" s="1351"/>
      <c r="AJ18" s="1351"/>
      <c r="AK18" s="1351"/>
      <c r="AL18" s="1351"/>
      <c r="AM18" s="1351"/>
      <c r="AN18" s="1351"/>
      <c r="AO18" s="1351"/>
      <c r="AP18" s="1351"/>
      <c r="AQ18" s="1351"/>
      <c r="AR18" s="1351"/>
      <c r="AS18" s="1351"/>
      <c r="AT18" s="1351"/>
      <c r="AU18" s="1351"/>
      <c r="AV18" s="1351"/>
      <c r="AW18" s="1351"/>
      <c r="AX18" s="1351"/>
      <c r="AY18" s="1351"/>
      <c r="AZ18" s="1351"/>
      <c r="BA18" s="1351"/>
      <c r="BB18" s="1351"/>
      <c r="BC18" s="1351"/>
      <c r="BD18" s="1351"/>
      <c r="BE18" s="1351"/>
      <c r="BF18" s="1351"/>
      <c r="BG18" s="1351"/>
      <c r="BH18" s="1351"/>
      <c r="BI18" s="1351"/>
      <c r="BJ18" s="1351"/>
      <c r="BK18" s="1351"/>
      <c r="BL18" s="1351"/>
      <c r="BM18" s="1351"/>
      <c r="BN18" s="1351"/>
      <c r="BO18" s="1351"/>
      <c r="BP18" s="1351"/>
      <c r="BQ18" s="1351"/>
      <c r="BR18" s="1351"/>
      <c r="BS18" s="1351"/>
      <c r="BT18" s="1353"/>
      <c r="BU18" s="1353"/>
      <c r="BV18" s="1353"/>
      <c r="BW18" s="1353"/>
      <c r="BX18" s="1353"/>
      <c r="BY18" s="1353"/>
      <c r="BZ18" s="1353"/>
      <c r="CA18" s="1353"/>
      <c r="CB18" s="1353"/>
      <c r="CC18" s="1353"/>
      <c r="CD18" s="1353"/>
      <c r="CE18" s="1353"/>
      <c r="CF18" s="1353"/>
      <c r="CG18" s="1353"/>
      <c r="CH18" s="1353"/>
      <c r="CI18" s="1353"/>
      <c r="CJ18" s="1353"/>
      <c r="CK18" s="1353"/>
      <c r="CL18" s="1351"/>
      <c r="CM18" s="1351"/>
      <c r="CN18" s="1351"/>
      <c r="CO18" s="1351"/>
      <c r="CP18" s="1351"/>
      <c r="CQ18" s="1351"/>
      <c r="CR18" s="1351"/>
      <c r="CS18" s="1351"/>
      <c r="CT18" s="1351"/>
      <c r="CU18" s="1351"/>
      <c r="CV18" s="1351"/>
      <c r="CW18" s="1351"/>
      <c r="CX18" s="1351"/>
      <c r="CY18" s="1353"/>
      <c r="CZ18" s="1353"/>
      <c r="DA18" s="1353"/>
      <c r="DB18" s="1353"/>
      <c r="DC18" s="1353"/>
      <c r="DD18" s="1353"/>
      <c r="DE18" s="1353"/>
      <c r="DF18" s="1353"/>
      <c r="DG18" s="1353"/>
      <c r="DH18" s="1353"/>
      <c r="DI18" s="1353"/>
      <c r="DJ18" s="1353"/>
      <c r="DK18" s="1351"/>
      <c r="DL18" s="1351"/>
      <c r="DM18" s="1351"/>
      <c r="DN18" s="1351"/>
      <c r="DO18" s="1351"/>
      <c r="DP18" s="1351"/>
      <c r="DQ18" s="1351"/>
      <c r="DR18" s="1351"/>
      <c r="DS18" s="1351"/>
      <c r="DT18" s="1351"/>
      <c r="DU18" s="1351"/>
      <c r="DV18" s="1351"/>
      <c r="DW18" s="1351"/>
      <c r="DX18" s="1351"/>
      <c r="DY18" s="1351"/>
      <c r="DZ18" s="1351"/>
      <c r="EA18" s="1351"/>
      <c r="EB18" s="1351"/>
      <c r="EC18" s="1351"/>
      <c r="ED18" s="1351"/>
      <c r="EE18" s="1351"/>
      <c r="EF18" s="1351"/>
      <c r="EG18" s="1351"/>
      <c r="EH18" s="1351"/>
      <c r="EI18" s="1351"/>
      <c r="EJ18" s="1351"/>
      <c r="EK18" s="1351"/>
      <c r="EL18" s="1351"/>
      <c r="EM18" s="1351"/>
      <c r="EN18" s="1351"/>
      <c r="EO18" s="1351"/>
      <c r="EP18" s="1351"/>
      <c r="EQ18" s="1351"/>
      <c r="ER18" s="1351"/>
      <c r="ES18" s="1351"/>
      <c r="ET18" s="1351"/>
      <c r="EU18" s="1351"/>
      <c r="EV18" s="1351"/>
      <c r="EW18" s="1351"/>
      <c r="EX18" s="1351"/>
      <c r="EY18" s="1351"/>
      <c r="EZ18" s="1351"/>
      <c r="FA18" s="1351"/>
      <c r="FB18" s="1351"/>
      <c r="FC18" s="1351"/>
      <c r="FD18" s="1351"/>
      <c r="FE18" s="1351"/>
      <c r="FF18" s="1351"/>
      <c r="FG18" s="1351"/>
      <c r="FH18" s="1351"/>
      <c r="FI18" s="1351"/>
      <c r="FJ18" s="1351"/>
      <c r="FK18" s="1351"/>
      <c r="FL18" s="1351"/>
      <c r="FM18" s="1351"/>
      <c r="FN18" s="1351"/>
      <c r="FO18" s="1351"/>
      <c r="FP18" s="1351"/>
      <c r="FQ18" s="1351"/>
      <c r="FR18" s="1351"/>
      <c r="FS18" s="1351"/>
      <c r="FT18" s="1351"/>
      <c r="FU18" s="1351"/>
      <c r="FV18" s="1351"/>
      <c r="FW18" s="1350"/>
      <c r="FX18" s="1354"/>
    </row>
    <row s="9699" customFormat="1" customHeight="1" ht="11.25" hidden="1">
      <c r="B19" s="1077"/>
      <c r="E19" s="1093"/>
      <c r="F19" s="1350"/>
      <c r="G19" s="1350"/>
      <c r="H19" s="1350"/>
      <c r="I19" s="1350"/>
      <c r="J19" s="1350"/>
      <c r="K19" s="1350"/>
      <c r="L19" s="1350"/>
      <c r="M19" s="1350"/>
      <c r="N19" s="1350"/>
      <c r="O19" s="1350"/>
      <c r="P19" s="1350"/>
      <c r="Q19" s="1350"/>
      <c r="R19" s="1350"/>
      <c r="S19" s="1350"/>
      <c r="T19" s="1350"/>
      <c r="U19" s="1352"/>
      <c r="V19" s="1352"/>
      <c r="W19" s="1352"/>
      <c r="X19" s="1352"/>
      <c r="Y19" s="1352"/>
      <c r="Z19" s="1352"/>
      <c r="AA19" s="1352"/>
      <c r="AB19" s="1350"/>
      <c r="AC19" s="1350"/>
      <c r="AD19" s="1350"/>
      <c r="AE19" s="1350"/>
      <c r="AF19" s="1350"/>
      <c r="AG19" s="1350"/>
      <c r="AH19" s="1350"/>
      <c r="AI19" s="1350"/>
      <c r="AJ19" s="1350"/>
      <c r="AK19" s="1350"/>
      <c r="AL19" s="1350"/>
      <c r="AM19" s="1350"/>
      <c r="AN19" s="1350"/>
      <c r="AO19" s="1350"/>
      <c r="AP19" s="1350"/>
      <c r="AQ19" s="1350"/>
      <c r="AR19" s="1350"/>
      <c r="AS19" s="1350"/>
      <c r="AT19" s="1350"/>
      <c r="AU19" s="1350"/>
      <c r="AV19" s="1350"/>
      <c r="AW19" s="1350"/>
      <c r="AX19" s="1350"/>
      <c r="AY19" s="1350"/>
      <c r="AZ19" s="1350"/>
      <c r="BA19" s="1350"/>
      <c r="BB19" s="1350"/>
      <c r="BC19" s="1350"/>
      <c r="BD19" s="1350"/>
      <c r="BE19" s="1350"/>
      <c r="BF19" s="1350"/>
      <c r="BG19" s="1350"/>
      <c r="BH19" s="1350"/>
      <c r="BI19" s="1350"/>
      <c r="BJ19" s="1350"/>
      <c r="BK19" s="1350"/>
      <c r="BL19" s="1350"/>
      <c r="BM19" s="1350"/>
      <c r="BN19" s="1350"/>
      <c r="BO19" s="1350"/>
      <c r="BP19" s="1350"/>
      <c r="BQ19" s="1350"/>
      <c r="BR19" s="1350"/>
      <c r="BS19" s="1350"/>
      <c r="BT19" s="1350"/>
      <c r="BU19" s="1350"/>
      <c r="BV19" s="1350"/>
      <c r="BW19" s="1350"/>
      <c r="BX19" s="1350"/>
      <c r="BY19" s="1350"/>
      <c r="BZ19" s="1350"/>
      <c r="CA19" s="1350"/>
      <c r="CB19" s="1350"/>
      <c r="CC19" s="1350"/>
      <c r="CD19" s="1350"/>
      <c r="CE19" s="1350"/>
      <c r="CF19" s="1350"/>
      <c r="CG19" s="1350"/>
      <c r="CH19" s="1350"/>
      <c r="CI19" s="1350"/>
      <c r="CJ19" s="1350"/>
      <c r="CK19" s="1350"/>
      <c r="CL19" s="1350"/>
      <c r="CM19" s="1350"/>
      <c r="CN19" s="1350"/>
      <c r="CO19" s="1350"/>
      <c r="CP19" s="1350"/>
      <c r="CQ19" s="1350"/>
      <c r="CR19" s="1350"/>
      <c r="CS19" s="1350"/>
      <c r="CT19" s="1350"/>
      <c r="CU19" s="1350"/>
      <c r="CV19" s="1350"/>
      <c r="CW19" s="1350"/>
      <c r="CX19" s="1350"/>
      <c r="CY19" s="1350"/>
      <c r="CZ19" s="1350"/>
      <c r="DA19" s="1350"/>
      <c r="DB19" s="1350"/>
      <c r="DC19" s="1350"/>
      <c r="DD19" s="1350"/>
      <c r="DE19" s="1350"/>
      <c r="DF19" s="1350"/>
      <c r="DG19" s="1350"/>
      <c r="DH19" s="1350"/>
      <c r="DI19" s="1350"/>
      <c r="DJ19" s="1350"/>
      <c r="DK19" s="1350"/>
      <c r="DL19" s="1350"/>
      <c r="DM19" s="1350"/>
      <c r="DN19" s="1350"/>
      <c r="DO19" s="1350"/>
      <c r="DP19" s="1350"/>
      <c r="DQ19" s="1350"/>
      <c r="DR19" s="1350"/>
      <c r="DS19" s="1350"/>
      <c r="DT19" s="1350"/>
      <c r="DU19" s="1350"/>
      <c r="DV19" s="1350"/>
      <c r="DW19" s="1350"/>
      <c r="DX19" s="1350"/>
      <c r="DY19" s="1350"/>
      <c r="DZ19" s="1350"/>
      <c r="EA19" s="1350"/>
      <c r="EB19" s="1350"/>
      <c r="EC19" s="1350"/>
      <c r="ED19" s="1350"/>
      <c r="EE19" s="1350"/>
      <c r="EF19" s="1350"/>
      <c r="EG19" s="1350"/>
      <c r="EH19" s="1350"/>
      <c r="EI19" s="1350"/>
      <c r="EJ19" s="1350"/>
      <c r="EK19" s="1350"/>
      <c r="EL19" s="1350"/>
      <c r="EM19" s="1350"/>
      <c r="EN19" s="1350"/>
      <c r="EO19" s="1350"/>
      <c r="EP19" s="1350"/>
      <c r="EQ19" s="1350"/>
      <c r="ER19" s="1350"/>
      <c r="ES19" s="1350"/>
      <c r="ET19" s="1350"/>
      <c r="EU19" s="1350"/>
      <c r="EV19" s="1350"/>
      <c r="EW19" s="1350"/>
      <c r="EX19" s="1350"/>
      <c r="EY19" s="1350"/>
      <c r="EZ19" s="1350"/>
      <c r="FA19" s="1350"/>
      <c r="FB19" s="1350"/>
      <c r="FC19" s="1350"/>
      <c r="FD19" s="1350"/>
      <c r="FE19" s="1350"/>
      <c r="FF19" s="1350"/>
      <c r="FG19" s="1350"/>
      <c r="FH19" s="1350"/>
      <c r="FI19" s="1350"/>
      <c r="FJ19" s="1350"/>
      <c r="FK19" s="1350"/>
      <c r="FL19" s="1350"/>
      <c r="FM19" s="1350"/>
      <c r="FN19" s="1350"/>
      <c r="FO19" s="1350"/>
      <c r="FP19" s="1350"/>
      <c r="FQ19" s="1350"/>
      <c r="FR19" s="1350"/>
      <c r="FS19" s="1350"/>
      <c r="FT19" s="1350"/>
      <c r="FU19" s="1350"/>
      <c r="FV19" s="1350"/>
      <c r="FW19" s="1350"/>
      <c r="FX19" s="1354"/>
    </row>
    <row s="9645" customFormat="1" customHeight="1" ht="11.25" hidden="1">
      <c r="B20" s="1094"/>
      <c r="D20" s="1078"/>
      <c r="E20" s="1093"/>
      <c r="F20" s="1355" t="s">
        <v>376</v>
      </c>
      <c r="G20" s="1356"/>
      <c r="H20" s="1357"/>
      <c r="I20" s="1357"/>
      <c r="J20" s="1357"/>
      <c r="K20" s="1357"/>
      <c r="L20" s="1357"/>
      <c r="M20" s="1357"/>
      <c r="N20" s="1357"/>
      <c r="O20" s="1356"/>
      <c r="P20" s="1356"/>
      <c r="Q20" s="1356"/>
      <c r="R20" s="1356"/>
      <c r="S20" s="1356"/>
      <c r="T20" s="1356"/>
      <c r="U20" s="1358"/>
      <c r="V20" s="1358"/>
      <c r="W20" s="1358"/>
      <c r="X20" s="1358"/>
      <c r="Y20" s="1358"/>
      <c r="Z20" s="1358"/>
      <c r="AA20" s="1358"/>
      <c r="AB20" s="1356"/>
      <c r="AC20" s="1357"/>
      <c r="AD20" s="1357"/>
      <c r="AE20" s="1357"/>
      <c r="AF20" s="1357"/>
      <c r="AG20" s="1357"/>
      <c r="AH20" s="1357"/>
      <c r="AI20" s="1357"/>
      <c r="AJ20" s="1357"/>
      <c r="AK20" s="1357"/>
      <c r="AL20" s="1357"/>
      <c r="AM20" s="1357"/>
      <c r="AN20" s="1357"/>
      <c r="AO20" s="1357"/>
      <c r="AP20" s="1357"/>
      <c r="AQ20" s="1357"/>
      <c r="AR20" s="1357"/>
      <c r="AS20" s="1357"/>
      <c r="AT20" s="1357"/>
      <c r="AU20" s="1357"/>
      <c r="AV20" s="1357"/>
      <c r="AW20" s="1357"/>
      <c r="AX20" s="1357"/>
      <c r="AY20" s="1357"/>
      <c r="AZ20" s="1357"/>
      <c r="BA20" s="1357"/>
      <c r="BB20" s="1357"/>
      <c r="BC20" s="1357"/>
      <c r="BD20" s="1357"/>
      <c r="BE20" s="1357"/>
      <c r="BF20" s="1357"/>
      <c r="BG20" s="1357"/>
      <c r="BH20" s="1357"/>
      <c r="BI20" s="1357"/>
      <c r="BJ20" s="1357"/>
      <c r="BK20" s="1357"/>
      <c r="BL20" s="1357"/>
      <c r="BM20" s="1357"/>
      <c r="BN20" s="1357"/>
      <c r="BO20" s="1357"/>
      <c r="BP20" s="1357"/>
      <c r="BQ20" s="1357"/>
      <c r="BR20" s="1357"/>
      <c r="BS20" s="1357"/>
      <c r="BT20" s="1357"/>
      <c r="BU20" s="1357"/>
      <c r="BV20" s="1357"/>
      <c r="BW20" s="1357"/>
      <c r="BX20" s="1357"/>
      <c r="BY20" s="1357"/>
      <c r="BZ20" s="1357"/>
      <c r="CA20" s="1357"/>
      <c r="CB20" s="1357"/>
      <c r="CC20" s="1357"/>
      <c r="CD20" s="1357"/>
      <c r="CE20" s="1357"/>
      <c r="CF20" s="1357"/>
      <c r="CG20" s="1357"/>
      <c r="CH20" s="1357"/>
      <c r="CI20" s="1357"/>
      <c r="CJ20" s="1357"/>
      <c r="CK20" s="1357"/>
      <c r="CL20" s="1359"/>
      <c r="CM20" s="1359"/>
      <c r="CN20" s="1359"/>
      <c r="CO20" s="1359"/>
      <c r="CP20" s="1359"/>
      <c r="CQ20" s="1359"/>
      <c r="CR20" s="1359"/>
      <c r="CS20" s="1359"/>
      <c r="CT20" s="1359"/>
      <c r="CU20" s="1359"/>
      <c r="CV20" s="1359"/>
      <c r="CW20" s="1359"/>
      <c r="CX20" s="1359"/>
      <c r="CY20" s="1359"/>
      <c r="CZ20" s="1359"/>
      <c r="DA20" s="1359"/>
      <c r="DB20" s="1359"/>
      <c r="DC20" s="1359"/>
      <c r="DD20" s="1359"/>
      <c r="DE20" s="1359"/>
      <c r="DF20" s="1359"/>
      <c r="DG20" s="1359"/>
      <c r="DH20" s="1359"/>
      <c r="DI20" s="1359"/>
      <c r="DJ20" s="1359"/>
      <c r="DK20" s="1359"/>
      <c r="DL20" s="1359"/>
      <c r="DM20" s="1359"/>
      <c r="DN20" s="1359"/>
      <c r="DO20" s="1359"/>
      <c r="DP20" s="1359"/>
      <c r="DQ20" s="1359"/>
      <c r="DR20" s="1359"/>
      <c r="DS20" s="1359"/>
      <c r="DT20" s="1359"/>
      <c r="DU20" s="1359"/>
      <c r="DV20" s="1359"/>
      <c r="DW20" s="1359"/>
      <c r="DX20" s="1359"/>
      <c r="DY20" s="1359"/>
      <c r="DZ20" s="1359"/>
      <c r="EA20" s="1359"/>
      <c r="EB20" s="1359"/>
      <c r="EC20" s="1359"/>
      <c r="ED20" s="1359"/>
      <c r="EE20" s="1359"/>
      <c r="EF20" s="1359"/>
      <c r="EG20" s="1359"/>
      <c r="EH20" s="1359"/>
      <c r="EI20" s="1359"/>
      <c r="EJ20" s="1359"/>
      <c r="EK20" s="1359"/>
      <c r="EL20" s="1359"/>
      <c r="EM20" s="1359"/>
      <c r="EN20" s="1359"/>
      <c r="EO20" s="1359"/>
      <c r="EP20" s="1359"/>
      <c r="EQ20" s="1359"/>
      <c r="ER20" s="1359"/>
      <c r="ES20" s="1359"/>
      <c r="ET20" s="1359"/>
      <c r="EU20" s="1359"/>
      <c r="EV20" s="1359"/>
      <c r="EW20" s="1359"/>
      <c r="EX20" s="1359"/>
      <c r="EY20" s="1359"/>
      <c r="EZ20" s="1359"/>
      <c r="FA20" s="1359"/>
      <c r="FB20" s="1359"/>
      <c r="FC20" s="1359"/>
      <c r="FD20" s="1359"/>
      <c r="FE20" s="1359"/>
      <c r="FF20" s="1359"/>
      <c r="FG20" s="1359"/>
      <c r="FH20" s="1359"/>
      <c r="FI20" s="1359"/>
      <c r="FJ20" s="1359"/>
      <c r="FK20" s="1359"/>
      <c r="FL20" s="1359"/>
      <c r="FM20" s="1359"/>
      <c r="FN20" s="1359"/>
      <c r="FO20" s="1359"/>
      <c r="FP20" s="1359"/>
      <c r="FQ20" s="1359"/>
      <c r="FR20" s="1359"/>
      <c r="FS20" s="1359"/>
      <c r="FT20" s="1359"/>
      <c r="FU20" s="1359"/>
      <c r="FV20" s="1359"/>
      <c r="FW20" s="1359"/>
      <c r="FX20" s="1360"/>
    </row>
    <row s="9645" customFormat="1" customHeight="1" ht="12">
      <c r="A21" s="1095"/>
      <c r="B21" s="1095"/>
      <c r="C21" s="1095"/>
      <c r="D21" s="1095"/>
      <c r="E21" s="1095"/>
      <c r="F21" s="1093"/>
      <c r="G21" s="1093"/>
      <c r="H21" s="1093"/>
      <c r="I21" s="1093"/>
      <c r="J21" s="1093"/>
      <c r="K21" s="1093"/>
      <c r="L21" s="1093"/>
      <c r="M21" s="1093"/>
      <c r="N21" s="1093"/>
      <c r="O21" s="1093"/>
      <c r="P21" s="1093"/>
      <c r="Q21" s="1093"/>
      <c r="R21" s="1093"/>
      <c r="S21" s="1096"/>
      <c r="T21" s="1096"/>
      <c r="U21" s="1093"/>
      <c r="V21" s="1093"/>
      <c r="W21" s="1093"/>
      <c r="X21" s="1093"/>
      <c r="Y21" s="1093"/>
      <c r="Z21" s="1093"/>
      <c r="AA21" s="1093"/>
      <c r="AB21" s="1093"/>
      <c r="AC21" s="1093"/>
      <c r="AD21" s="1093"/>
      <c r="AE21" s="1093"/>
      <c r="AF21" s="1093"/>
      <c r="AG21" s="1093"/>
      <c r="AH21" s="1093"/>
      <c r="AI21" s="1093"/>
      <c r="AJ21" s="1093"/>
      <c r="AK21" s="1093"/>
      <c r="AL21" s="1093"/>
      <c r="AM21" s="1093"/>
      <c r="AN21" s="1093"/>
      <c r="AO21" s="1093"/>
      <c r="AP21" s="1093"/>
      <c r="AQ21" s="1093"/>
      <c r="AR21" s="1093"/>
      <c r="AS21" s="1093"/>
      <c r="AT21" s="1093"/>
      <c r="AU21" s="1093"/>
      <c r="AV21" s="1093"/>
      <c r="AW21" s="1093"/>
      <c r="AX21" s="1093"/>
      <c r="AY21" s="1093"/>
      <c r="AZ21" s="1093"/>
      <c r="BA21" s="1093"/>
      <c r="BB21" s="1093"/>
      <c r="BC21" s="1093"/>
      <c r="BD21" s="1093"/>
      <c r="BE21" s="1093"/>
      <c r="BF21" s="1093"/>
      <c r="BG21" s="1093"/>
      <c r="BH21" s="1093"/>
      <c r="BI21" s="1093"/>
      <c r="BJ21" s="1093"/>
      <c r="BK21" s="1093"/>
      <c r="BL21" s="1093"/>
      <c r="BM21" s="1093"/>
      <c r="BN21" s="1093"/>
      <c r="BO21" s="1093"/>
      <c r="BP21" s="1093"/>
      <c r="BQ21" s="1093"/>
      <c r="BR21" s="1093"/>
      <c r="BS21" s="1093"/>
      <c r="BT21" s="1093"/>
      <c r="BU21" s="1093"/>
      <c r="BV21" s="1093"/>
      <c r="BW21" s="1093"/>
      <c r="BX21" s="1093"/>
      <c r="BY21" s="1093"/>
      <c r="BZ21" s="1093"/>
      <c r="CA21" s="1093"/>
      <c r="CB21" s="1093"/>
      <c r="CC21" s="1093"/>
      <c r="CD21" s="1093"/>
      <c r="CE21" s="1093"/>
      <c r="CF21" s="1093"/>
      <c r="CG21" s="1093"/>
      <c r="CH21" s="1093"/>
      <c r="CI21" s="1093"/>
      <c r="CJ21" s="1093"/>
      <c r="CK21" s="1093"/>
      <c r="CL21" s="1093"/>
      <c r="CM21" s="1093"/>
      <c r="CN21" s="1093"/>
      <c r="CO21" s="1093"/>
      <c r="CP21" s="1093"/>
      <c r="CQ21" s="1093"/>
      <c r="CR21" s="1093"/>
      <c r="CS21" s="1093"/>
      <c r="CT21" s="1093"/>
      <c r="CU21" s="1093"/>
      <c r="CV21" s="1093"/>
      <c r="CW21" s="1093"/>
      <c r="CX21" s="1093"/>
      <c r="CY21" s="1093"/>
      <c r="CZ21" s="1093"/>
      <c r="DA21" s="1093"/>
      <c r="DB21" s="1093"/>
      <c r="DC21" s="1093"/>
      <c r="DD21" s="1093"/>
      <c r="DE21" s="1093"/>
      <c r="DF21" s="1093"/>
      <c r="DG21" s="1093"/>
      <c r="DH21" s="1093"/>
      <c r="DI21" s="1093"/>
      <c r="DJ21" s="1093"/>
      <c r="DK21" s="1093"/>
      <c r="DL21" s="1093"/>
      <c r="DM21" s="1093"/>
      <c r="DN21" s="1093"/>
      <c r="DO21" s="1093"/>
      <c r="DP21" s="1093"/>
      <c r="DQ21" s="1093"/>
      <c r="DR21" s="1093"/>
      <c r="DS21" s="1093"/>
      <c r="DT21" s="1093"/>
      <c r="DU21" s="1093"/>
      <c r="DV21" s="1093"/>
      <c r="DW21" s="1093"/>
      <c r="DX21" s="1093"/>
      <c r="DY21" s="1093"/>
      <c r="DZ21" s="1093"/>
      <c r="EA21" s="1093"/>
      <c r="EB21" s="1093"/>
      <c r="EC21" s="1093"/>
      <c r="ED21" s="1093"/>
      <c r="EE21" s="1093"/>
      <c r="EF21" s="1093"/>
      <c r="EG21" s="1093"/>
      <c r="EH21" s="1093"/>
      <c r="EI21" s="1093"/>
      <c r="EJ21" s="1093"/>
      <c r="EK21" s="1093"/>
      <c r="EL21" s="1093"/>
      <c r="EM21" s="1093"/>
      <c r="EN21" s="1093"/>
      <c r="EO21" s="1093"/>
      <c r="EP21" s="1093"/>
      <c r="EQ21" s="1093"/>
      <c r="ER21" s="1093"/>
      <c r="ES21" s="1093"/>
      <c r="ET21" s="1093"/>
      <c r="EU21" s="1093"/>
      <c r="EV21" s="1093"/>
      <c r="EW21" s="1093"/>
      <c r="EX21" s="1093"/>
      <c r="EY21" s="1093"/>
      <c r="EZ21" s="1093"/>
      <c r="FA21" s="1093"/>
      <c r="FB21" s="1093"/>
      <c r="FC21" s="1093"/>
      <c r="FD21" s="1093"/>
      <c r="FE21" s="1093"/>
      <c r="FF21" s="1093"/>
      <c r="FG21" s="1093"/>
      <c r="FH21" s="1093"/>
      <c r="FI21" s="1093"/>
      <c r="FJ21" s="1093"/>
      <c r="FK21" s="1093"/>
      <c r="FL21" s="1093"/>
      <c r="FM21" s="1093"/>
      <c r="FN21" s="1093"/>
      <c r="FO21" s="1093"/>
      <c r="FP21" s="1093"/>
      <c r="FQ21" s="1093"/>
      <c r="FR21" s="1093"/>
      <c r="FS21" s="1093"/>
      <c r="FT21" s="1093"/>
      <c r="FU21" s="1093"/>
      <c r="FV21" s="1093"/>
      <c r="FW21" s="1093"/>
      <c r="FX21" s="1095"/>
      <c r="FY21" s="1095"/>
      <c r="FZ21" s="1095"/>
      <c r="GA21" s="1095"/>
      <c r="GB21" s="1095"/>
    </row>
    <row s="9645" customFormat="1" customHeight="1" ht="12">
      <c r="A22" s="1095"/>
      <c r="B22" s="1095"/>
      <c r="C22" s="1095"/>
      <c r="D22" s="1095"/>
      <c r="E22" s="1095"/>
      <c r="FX22" s="1095"/>
      <c r="FY22" s="1095"/>
      <c r="FZ22" s="1095"/>
      <c r="GA22" s="1095"/>
      <c r="GB22" s="1095"/>
    </row>
    <row s="9715" customFormat="1" customHeight="1" ht="12">
      <c r="A23" s="1217"/>
      <c r="B23" s="1217"/>
      <c r="C23" s="1217"/>
      <c r="D23" s="1217"/>
      <c r="E23" s="1217"/>
      <c r="O23" s="1219"/>
      <c r="P23" s="1219"/>
      <c r="Q23" s="1219"/>
      <c r="R23" s="1219"/>
      <c r="S23" s="1219"/>
      <c r="T23" s="1219"/>
      <c r="U23" s="1219"/>
      <c r="V23" s="1219"/>
      <c r="W23" s="1219"/>
      <c r="X23" s="1219"/>
      <c r="Y23" s="1219"/>
      <c r="Z23" s="1219"/>
      <c r="AA23" s="1219"/>
      <c r="AB23" s="1219"/>
      <c r="AC23" s="1219"/>
      <c r="AD23" s="1219"/>
      <c r="AE23" s="1219"/>
      <c r="AF23" s="1219"/>
      <c r="AG23" s="1219"/>
      <c r="AH23" s="1219"/>
      <c r="AI23" s="1219"/>
      <c r="AJ23" s="1219"/>
      <c r="AK23" s="1219"/>
      <c r="AL23" s="1219"/>
      <c r="AM23" s="1219"/>
      <c r="AN23" s="1219"/>
      <c r="AO23" s="1219"/>
      <c r="AP23" s="1219"/>
      <c r="AQ23" s="1219"/>
      <c r="AR23" s="1219"/>
      <c r="AS23" s="1219"/>
      <c r="AT23" s="1219"/>
      <c r="AU23" s="1219"/>
      <c r="AV23" s="1219"/>
      <c r="AW23" s="1219"/>
      <c r="AX23" s="1219"/>
      <c r="AY23" s="1219"/>
      <c r="AZ23" s="1219"/>
      <c r="BA23" s="1219"/>
      <c r="BB23" s="1219"/>
      <c r="BC23" s="1219"/>
      <c r="BD23" s="1219"/>
      <c r="BE23" s="1219"/>
      <c r="BF23" s="1219"/>
      <c r="BG23" s="1219"/>
      <c r="BH23" s="1219"/>
      <c r="BI23" s="1219"/>
      <c r="BJ23" s="1219"/>
      <c r="BK23" s="1219"/>
      <c r="BL23" s="1219"/>
      <c r="BM23" s="1219"/>
      <c r="BN23" s="1219"/>
      <c r="BO23" s="1219"/>
      <c r="BP23" s="1219"/>
      <c r="BQ23" s="1219"/>
      <c r="BR23" s="1219"/>
      <c r="BS23" s="1219"/>
      <c r="BT23" s="1220"/>
      <c r="BU23" s="1220"/>
      <c r="BV23" s="1220"/>
      <c r="BW23" s="1220"/>
      <c r="BX23" s="1220"/>
      <c r="BY23" s="1220"/>
      <c r="BZ23" s="1220"/>
      <c r="CA23" s="1220"/>
      <c r="CB23" s="1220"/>
      <c r="CC23" s="1220"/>
      <c r="CD23" s="1220"/>
      <c r="CE23" s="1220"/>
      <c r="CF23" s="1220"/>
      <c r="CG23" s="1220"/>
      <c r="CH23" s="1220"/>
      <c r="CI23" s="1220"/>
      <c r="CJ23" s="1220"/>
      <c r="CK23" s="1220"/>
      <c r="CL23" s="1220"/>
      <c r="CM23" s="1220"/>
      <c r="CN23" s="1220"/>
      <c r="CO23" s="1220"/>
      <c r="CP23" s="1220"/>
      <c r="CQ23" s="1220"/>
      <c r="CR23" s="1220"/>
      <c r="CS23" s="1220"/>
      <c r="CT23" s="1220"/>
      <c r="CU23" s="1220"/>
      <c r="CV23" s="1220"/>
      <c r="CW23" s="1220"/>
      <c r="CX23" s="1220"/>
      <c r="CY23" s="1220"/>
      <c r="CZ23" s="1220"/>
      <c r="DA23" s="1220"/>
      <c r="DB23" s="1220"/>
      <c r="DC23" s="1220"/>
      <c r="DD23" s="1220"/>
      <c r="DE23" s="1220"/>
      <c r="DF23" s="1220"/>
      <c r="DG23" s="1220"/>
      <c r="DH23" s="1220"/>
      <c r="DI23" s="1220"/>
      <c r="DJ23" s="1220"/>
      <c r="DK23" s="1220"/>
      <c r="DL23" s="1220"/>
      <c r="DM23" s="1220"/>
      <c r="DN23" s="1220"/>
      <c r="DO23" s="1220"/>
      <c r="DP23" s="1220"/>
      <c r="DQ23" s="1220"/>
      <c r="DR23" s="1220"/>
      <c r="DS23" s="1220"/>
      <c r="DT23" s="1220"/>
      <c r="DU23" s="1220"/>
      <c r="DV23" s="1220"/>
      <c r="DW23" s="1220"/>
      <c r="DX23" s="1220"/>
      <c r="FX23" s="1217"/>
      <c r="FY23" s="1217"/>
      <c r="FZ23" s="1217"/>
      <c r="GA23" s="1217"/>
      <c r="GB23" s="1217"/>
    </row>
    <row customHeight="1" ht="12">
      <c r="S24" s="1092"/>
      <c r="T24" s="1092"/>
      <c r="U24" s="1092"/>
      <c r="V24" s="1092"/>
      <c r="W24" s="1092"/>
      <c r="X24" s="1092"/>
      <c r="Y24" s="1092"/>
      <c r="Z24" s="1092"/>
      <c r="AA24" s="1092"/>
      <c r="AB24" s="1092"/>
      <c r="FX24" s="1092"/>
      <c r="FY24" s="1092"/>
      <c r="FZ24" s="1092"/>
      <c r="GA24" s="1092"/>
      <c r="GB24" s="1092"/>
    </row>
  </sheetData>
  <sheetProtection formatColumns="0" formatRows="0" autoFilter="0" sort="0" insertRows="0" insertColumns="1" deleteRows="0" deleteColumns="0"/>
  <mergeCells count="198">
    <mergeCell ref="F10:FV10"/>
    <mergeCell ref="F5:BS5"/>
    <mergeCell ref="F6:BS6"/>
    <mergeCell ref="DG13:DJ13"/>
    <mergeCell ref="CH13:CK13"/>
    <mergeCell ref="FE11:FE17"/>
    <mergeCell ref="FF11:FF17"/>
    <mergeCell ref="FG11:FG17"/>
    <mergeCell ref="FH11:FH17"/>
    <mergeCell ref="FI11:FI17"/>
    <mergeCell ref="FJ11:FJ17"/>
    <mergeCell ref="EY11:EY17"/>
    <mergeCell ref="EZ11:EZ17"/>
    <mergeCell ref="FA11:FA17"/>
    <mergeCell ref="FB11:FB17"/>
    <mergeCell ref="FC11:FC17"/>
    <mergeCell ref="FD11:FD17"/>
    <mergeCell ref="FS11:FS17"/>
    <mergeCell ref="FT11:FT17"/>
    <mergeCell ref="FU11:FU17"/>
    <mergeCell ref="FV11:FV17"/>
    <mergeCell ref="FK11:FK17"/>
    <mergeCell ref="FL11:FL17"/>
    <mergeCell ref="FM11:FM17"/>
    <mergeCell ref="FN11:FN17"/>
    <mergeCell ref="FO11:FO17"/>
    <mergeCell ref="FP11:FP17"/>
    <mergeCell ref="FQ11:FQ17"/>
    <mergeCell ref="FR11:FR17"/>
    <mergeCell ref="EV11:EV17"/>
    <mergeCell ref="EW11:EW17"/>
    <mergeCell ref="EX11:EX17"/>
    <mergeCell ref="EM11:EM17"/>
    <mergeCell ref="EN11:EN17"/>
    <mergeCell ref="EO11:EO17"/>
    <mergeCell ref="EP11:EP17"/>
    <mergeCell ref="EQ11:EQ17"/>
    <mergeCell ref="ER11:ER17"/>
    <mergeCell ref="ES11:ES17"/>
    <mergeCell ref="ET11:ET17"/>
    <mergeCell ref="EU11:EU17"/>
    <mergeCell ref="EC11:EC17"/>
    <mergeCell ref="ED11:ED17"/>
    <mergeCell ref="EE11:EE17"/>
    <mergeCell ref="EF11:EF17"/>
    <mergeCell ref="EG11:EG17"/>
    <mergeCell ref="EH11:EH17"/>
    <mergeCell ref="DW11:DW17"/>
    <mergeCell ref="DX11:DX17"/>
    <mergeCell ref="DY11:DY17"/>
    <mergeCell ref="DZ11:DZ17"/>
    <mergeCell ref="EA11:EA17"/>
    <mergeCell ref="EB11:EB17"/>
    <mergeCell ref="DG16:DH16"/>
    <mergeCell ref="DQ11:DQ17"/>
    <mergeCell ref="DR11:DR17"/>
    <mergeCell ref="DS11:DS17"/>
    <mergeCell ref="DT11:DT17"/>
    <mergeCell ref="DI14:DJ15"/>
    <mergeCell ref="DI16:DJ16"/>
    <mergeCell ref="DU11:DU17"/>
    <mergeCell ref="DV11:DV17"/>
    <mergeCell ref="DK11:DK17"/>
    <mergeCell ref="DL11:DL17"/>
    <mergeCell ref="DM11:DM17"/>
    <mergeCell ref="DN11:DN17"/>
    <mergeCell ref="DO11:DO17"/>
    <mergeCell ref="DP11:DP17"/>
    <mergeCell ref="BX16:BY16"/>
    <mergeCell ref="BZ13:CA15"/>
    <mergeCell ref="BZ16:CA16"/>
    <mergeCell ref="CB12:CC12"/>
    <mergeCell ref="CB13:CC15"/>
    <mergeCell ref="CB16:CC16"/>
    <mergeCell ref="CD13:CE15"/>
    <mergeCell ref="CD16:CE16"/>
    <mergeCell ref="CF13:CG15"/>
    <mergeCell ref="CF16:CG16"/>
    <mergeCell ref="F11:F17"/>
    <mergeCell ref="G11:G17"/>
    <mergeCell ref="H11:H17"/>
    <mergeCell ref="I11:I17"/>
    <mergeCell ref="J11:J17"/>
    <mergeCell ref="K11:K17"/>
    <mergeCell ref="BP11:BP17"/>
    <mergeCell ref="BE11:BE17"/>
    <mergeCell ref="BF11:BF17"/>
    <mergeCell ref="BG11:BG17"/>
    <mergeCell ref="BH11:BH17"/>
    <mergeCell ref="BI11:BI17"/>
    <mergeCell ref="BJ11:BJ17"/>
    <mergeCell ref="BC11:BC17"/>
    <mergeCell ref="BD11:BD17"/>
    <mergeCell ref="O13:R13"/>
    <mergeCell ref="U13:X13"/>
    <mergeCell ref="Y13:AB13"/>
    <mergeCell ref="BL11:BL17"/>
    <mergeCell ref="BM11:BM17"/>
    <mergeCell ref="BN11:BN17"/>
    <mergeCell ref="BO11:BO17"/>
    <mergeCell ref="Y14:Z15"/>
    <mergeCell ref="Y16:Z16"/>
    <mergeCell ref="BT8:CX8"/>
    <mergeCell ref="CY8:DX8"/>
    <mergeCell ref="L11:L17"/>
    <mergeCell ref="M11:M17"/>
    <mergeCell ref="N11:N17"/>
    <mergeCell ref="O11:AB11"/>
    <mergeCell ref="AC11:AC17"/>
    <mergeCell ref="AD11:AD17"/>
    <mergeCell ref="O12:R12"/>
    <mergeCell ref="S12:AB12"/>
    <mergeCell ref="AM11:AM17"/>
    <mergeCell ref="AN11:AN17"/>
    <mergeCell ref="AO11:AO17"/>
    <mergeCell ref="AP11:AP17"/>
    <mergeCell ref="AQ11:AQ17"/>
    <mergeCell ref="AR11:AR17"/>
    <mergeCell ref="AS11:AS17"/>
    <mergeCell ref="AT11:AT17"/>
    <mergeCell ref="AU11:AU17"/>
    <mergeCell ref="AV11:AV17"/>
    <mergeCell ref="AW11:AW17"/>
    <mergeCell ref="AX11:AX17"/>
    <mergeCell ref="BK11:BK17"/>
    <mergeCell ref="BQ11:BQ17"/>
    <mergeCell ref="DY8:FV8"/>
    <mergeCell ref="FW8:FW17"/>
    <mergeCell ref="AE11:AE17"/>
    <mergeCell ref="AF11:AF17"/>
    <mergeCell ref="EI11:EI17"/>
    <mergeCell ref="EJ11:EJ17"/>
    <mergeCell ref="EK11:EK17"/>
    <mergeCell ref="EL11:EL17"/>
    <mergeCell ref="CL11:CL17"/>
    <mergeCell ref="CM11:CM17"/>
    <mergeCell ref="CN11:CN17"/>
    <mergeCell ref="CO11:CO17"/>
    <mergeCell ref="AG11:AG17"/>
    <mergeCell ref="AH11:AH17"/>
    <mergeCell ref="AI11:AI17"/>
    <mergeCell ref="AJ11:AJ17"/>
    <mergeCell ref="AK11:AK17"/>
    <mergeCell ref="AL11:AL17"/>
    <mergeCell ref="AY11:AY17"/>
    <mergeCell ref="AZ11:AZ17"/>
    <mergeCell ref="BA11:BA17"/>
    <mergeCell ref="BB11:BB17"/>
    <mergeCell ref="BV13:BW15"/>
    <mergeCell ref="O8:BS8"/>
    <mergeCell ref="AA14:AB15"/>
    <mergeCell ref="AA16:AB16"/>
    <mergeCell ref="BT13:BU15"/>
    <mergeCell ref="BT16:BU16"/>
    <mergeCell ref="O14:P15"/>
    <mergeCell ref="O16:P16"/>
    <mergeCell ref="Q14:R15"/>
    <mergeCell ref="Q16:R16"/>
    <mergeCell ref="S13:T15"/>
    <mergeCell ref="S16:T16"/>
    <mergeCell ref="U14:V15"/>
    <mergeCell ref="W14:X15"/>
    <mergeCell ref="U16:V16"/>
    <mergeCell ref="W16:X16"/>
    <mergeCell ref="BR11:BR17"/>
    <mergeCell ref="BS11:BS17"/>
    <mergeCell ref="BT11:CK11"/>
    <mergeCell ref="BT12:BW12"/>
    <mergeCell ref="BX12:CA12"/>
    <mergeCell ref="CD12:CK12"/>
    <mergeCell ref="BV16:BW16"/>
    <mergeCell ref="BX13:BY15"/>
    <mergeCell ref="CH14:CI15"/>
    <mergeCell ref="CH16:CI16"/>
    <mergeCell ref="CJ14:CK15"/>
    <mergeCell ref="CJ16:CK16"/>
    <mergeCell ref="CY13:CZ15"/>
    <mergeCell ref="CY16:CZ16"/>
    <mergeCell ref="DA13:DB15"/>
    <mergeCell ref="DA16:DB16"/>
    <mergeCell ref="CV11:CV17"/>
    <mergeCell ref="CW11:CW17"/>
    <mergeCell ref="CX11:CX17"/>
    <mergeCell ref="CY11:DJ11"/>
    <mergeCell ref="CY12:DD12"/>
    <mergeCell ref="DG12:DJ12"/>
    <mergeCell ref="CP11:CP17"/>
    <mergeCell ref="CQ11:CQ17"/>
    <mergeCell ref="CR11:CR17"/>
    <mergeCell ref="CS11:CS17"/>
    <mergeCell ref="CT11:CT17"/>
    <mergeCell ref="CU11:CU17"/>
    <mergeCell ref="DC13:DD15"/>
    <mergeCell ref="DC16:DD16"/>
    <mergeCell ref="DE12:DF12"/>
    <mergeCell ref="DE13:DF15"/>
    <mergeCell ref="DE16:DF16"/>
    <mergeCell ref="DG14:DH15"/>
  </mergeCells>
  <dataValidations count="1">
    <dataValidation allowBlank="1" showInputMessage="1" showErrorMessage="1" sqref="AA14:AB16 U16:Z1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AB8D63E-7816-B4BA-27F8-E5444F602A2B}" mc:Ignorable="x14ac xr xr2 xr3">
  <sheetPr>
    <tabColor theme="2" tint="-0.1"/>
  </sheetPr>
  <dimension ref="A1:R22"/>
  <sheetViews>
    <sheetView topLeftCell="A1" showGridLines="0" zoomScale="90" workbookViewId="0">
      <selection activeCell="A1" sqref="A1"/>
    </sheetView>
  </sheetViews>
  <sheetFormatPr defaultColWidth="10.57421875" customHeight="1" defaultRowHeight="15"/>
  <cols>
    <col min="1" max="1" style="8573" width="9.140625" hidden="1" customWidth="1"/>
    <col min="2" max="2" style="8576" width="9.140625" hidden="1" customWidth="1"/>
    <col min="3" max="3" style="9534" width="4.7109375" customWidth="1"/>
    <col min="4" max="4" style="8576" width="6.28125" customWidth="1"/>
    <col min="5" max="5" style="8576" width="36.7109375" customWidth="1"/>
    <col min="6" max="6" style="8576" width="9.57421875" customWidth="1"/>
    <col min="7" max="7" style="8080" width="42.421875" hidden="1" customWidth="1"/>
    <col min="8" max="8" style="8576" width="40.7109375" customWidth="1"/>
    <col min="9" max="9" style="8081" width="93.421875" customWidth="1"/>
    <col min="10" max="17" style="8576" width="10.57421875"/>
    <col min="18" max="18" style="9535" width="10.57421875"/>
  </cols>
  <sheetData>
    <row s="8081" customFormat="1" customHeight="1" ht="15" hidden="1">
      <c r="C1" s="826"/>
      <c r="H1" s="571">
        <v>4</v>
      </c>
      <c r="R1" s="574"/>
    </row>
    <row customHeight="1" ht="22.5" hidden="1">
      <c r="C2" s="2088" t="s">
        <v>542</v>
      </c>
      <c r="D2" s="693"/>
      <c r="E2" s="817"/>
      <c r="F2" s="1920" t="str">
        <f>IF(TEMPLATE_SPHERE="HEAT","Гкал/час","тыс. куб. м/сутки")</f>
        <v>тыс. куб. м/сутки</v>
      </c>
      <c r="G2" s="834"/>
      <c r="H2" s="834"/>
      <c r="I2" s="443"/>
    </row>
    <row s="8081" customFormat="1" customHeight="1" ht="15" hidden="1">
      <c r="C3" s="826"/>
      <c r="R3" s="574"/>
    </row>
    <row customHeight="1" ht="15">
      <c r="C4" s="331"/>
      <c r="D4" s="663"/>
      <c r="E4" s="663"/>
      <c r="F4" s="663"/>
      <c r="G4" s="663"/>
      <c r="H4" s="663"/>
    </row>
    <row customHeight="1" ht="37.5">
      <c r="C5" s="331"/>
      <c r="D5" s="2298" t="str">
        <f>TP_NAME_FORM</f>
        <v>Форма 8. Информация о наличии (об отсутствии) технической возможности подключения (технологического присоединения) к централизованной системе горячего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горячего водоснабжения</v>
      </c>
      <c r="E5" s="2298"/>
      <c r="F5" s="2298"/>
      <c r="G5" s="2298"/>
      <c r="H5" s="2298"/>
      <c r="I5" s="691"/>
    </row>
    <row customHeight="1" ht="15">
      <c r="C6" s="331"/>
      <c r="D6" s="2267" t="str">
        <f>IF(org=0,"Не определено",org)</f>
        <v>АО "Теплокоммунэнерго"</v>
      </c>
      <c r="E6" s="2267"/>
      <c r="F6" s="2267"/>
      <c r="G6" s="2267"/>
      <c r="H6" s="2267"/>
      <c r="I6" s="691"/>
    </row>
    <row s="8080" customFormat="1" customHeight="1" ht="15">
      <c r="A7" s="913"/>
      <c r="C7" s="331"/>
      <c r="D7" s="830"/>
      <c r="E7" s="830"/>
      <c r="F7" s="830"/>
      <c r="G7" s="830"/>
      <c r="H7" s="906"/>
      <c r="I7" s="691"/>
      <c r="R7" s="829"/>
    </row>
    <row customHeight="1" ht="0.75">
      <c r="C8" s="331"/>
      <c r="D8" s="663"/>
      <c r="E8" s="663"/>
      <c r="F8" s="663"/>
      <c r="G8" s="663"/>
      <c r="H8" s="691" t="s">
        <v>114</v>
      </c>
    </row>
    <row customHeight="1" ht="15">
      <c r="C9" s="331"/>
      <c r="D9" s="865"/>
      <c r="E9" s="2429" t="s">
        <v>102</v>
      </c>
      <c r="F9" s="2430"/>
      <c r="G9" s="970" t="str">
        <f>IF(G8="","",INDEX(DIFFERENTIATION_UNMERGE_VD,MATCH(G8,DIFFERENTIATION_ID_DIFF,0)))</f>
        <v/>
      </c>
      <c r="H9" s="970">
        <f>IF(H8="","",INDEX(DIFFERENTIATION_UNMERGE_VD,MATCH(H8,DIFFERENTIATION_ID_DIFF,0)))</f>
        <v>0</v>
      </c>
      <c r="I9" s="2185" t="s">
        <v>301</v>
      </c>
    </row>
    <row s="8080" customFormat="1" customHeight="1" ht="15">
      <c r="A10" s="913"/>
      <c r="C10" s="331"/>
      <c r="D10" s="865"/>
      <c r="E10" s="2429" t="s">
        <v>565</v>
      </c>
      <c r="F10" s="2430"/>
      <c r="G10" s="970" t="str">
        <f>IF(G8="","",INDEX(DIFFERENTIATION_UNMERGE_AREA,MATCH(G8,DIFFERENTIATION_ID_DIFF,0)))</f>
        <v/>
      </c>
      <c r="H10" s="970" t="str">
        <f>IF(H8="","",INDEX(DIFFERENTIATION_UNMERGE_AREA,MATCH(H8,DIFFERENTIATION_ID_DIFF,0)))</f>
        <v/>
      </c>
      <c r="I10" s="2185"/>
      <c r="R10" s="829"/>
    </row>
    <row s="8080" customFormat="1" customHeight="1" ht="15">
      <c r="A11" s="913"/>
      <c r="C11" s="331"/>
      <c r="D11" s="865"/>
      <c r="E11" s="2429" t="s">
        <v>566</v>
      </c>
      <c r="F11" s="2430"/>
      <c r="G11" s="970" t="str">
        <f>IF(G8="","",INDEX(DIFFERENTIATION_UNMERGE_SYSTEM,MATCH(G8,DIFFERENTIATION_ID_DIFF,0)))</f>
        <v/>
      </c>
      <c r="H11" s="970" t="str">
        <f>IF(H8="","",INDEX(DIFFERENTIATION_UNMERGE_SYSTEM,MATCH(H8,DIFFERENTIATION_ID_DIFF,0)))</f>
        <v>без дифференциации</v>
      </c>
      <c r="I11" s="2185"/>
      <c r="R11" s="829"/>
    </row>
    <row s="8080" customFormat="1" customHeight="1" ht="15">
      <c r="A12" s="913"/>
      <c r="C12" s="331"/>
      <c r="D12" s="2431" t="s">
        <v>300</v>
      </c>
      <c r="E12" s="2432"/>
      <c r="F12" s="2432"/>
      <c r="G12" s="1041"/>
      <c r="H12" s="1041"/>
      <c r="I12" s="2185"/>
      <c r="R12" s="829"/>
    </row>
    <row customHeight="1" ht="33.75">
      <c r="C13" s="331"/>
      <c r="D13" s="915" t="s">
        <v>85</v>
      </c>
      <c r="E13" s="914" t="s">
        <v>302</v>
      </c>
      <c r="F13" s="914" t="s">
        <v>567</v>
      </c>
      <c r="G13" s="962" t="s">
        <v>303</v>
      </c>
      <c r="H13" s="908" t="s">
        <v>303</v>
      </c>
      <c r="I13" s="2185"/>
    </row>
    <row customHeight="1" ht="15" hidden="1">
      <c r="C14" s="331"/>
      <c r="D14" s="747" t="s">
        <v>106</v>
      </c>
      <c r="E14" s="747" t="s">
        <v>107</v>
      </c>
      <c r="F14" s="747" t="s">
        <v>87</v>
      </c>
      <c r="G14" s="813" t="str">
        <f>G1&amp;".1"</f>
        <v>.1</v>
      </c>
      <c r="H14" s="813" t="str">
        <f>H1&amp;".1"</f>
        <v>4.1</v>
      </c>
      <c r="I14" s="443"/>
    </row>
    <row customHeight="1" ht="15">
      <c r="A15" s="659"/>
      <c r="C15" s="680"/>
      <c r="D15" s="675">
        <v>1</v>
      </c>
      <c r="E15" s="2090" t="str">
        <f>TP_P_A</f>
        <v>Количество поданных заявлений </v>
      </c>
      <c r="F15" s="675" t="s">
        <v>1033</v>
      </c>
      <c r="G15" s="839"/>
      <c r="H15" s="839"/>
      <c r="I15" s="362" t="str">
        <f>TP_P_NOTE_A</f>
        <v>Указывается количество поданных заявлений о заключении договоров о подключении (технологическом присоединении) к централизованной системе горячего водоснабжения в течение одного квартала.</v>
      </c>
    </row>
    <row customHeight="1" ht="15">
      <c r="A16" s="659"/>
      <c r="C16" s="680"/>
      <c r="D16" s="675">
        <v>2</v>
      </c>
      <c r="E16" s="2090" t="str">
        <f>TP_P_B</f>
        <v>Количество исполненных заявлений </v>
      </c>
      <c r="F16" s="675" t="s">
        <v>1033</v>
      </c>
      <c r="G16" s="839"/>
      <c r="H16" s="839"/>
      <c r="I16" s="362" t="str">
        <f>TP_P_NOTE_B</f>
        <v>Указывается количество исполненных заявлений о заключении договоров о подключении (технологическом присоединении) к централизованной системе горячего водоснабжения в течение одного квартала.</v>
      </c>
    </row>
    <row customHeight="1" ht="73.5">
      <c r="A17" s="659"/>
      <c r="C17" s="680"/>
      <c r="D17" s="675">
        <v>3</v>
      </c>
      <c r="E17" s="2090" t="str">
        <f>TP_P_V</f>
        <v>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v>
      </c>
      <c r="F17" s="675" t="s">
        <v>1033</v>
      </c>
      <c r="G17" s="839"/>
      <c r="H17" s="839"/>
      <c r="I17" s="362" t="str">
        <f>TP_P_NOTE_V</f>
        <v>Указывается количество заявлений о заключении договоров о подключении (технологическом присоединении) к централизованной системе горячего водоснабжения, по которым организацией горячего водоснабжения отказано в заключении договора о подключении (технологическом присоединении) к централизованной системе горячего водоснабжения с указанием причин, в течение одного квартала.</v>
      </c>
    </row>
    <row customHeight="1" ht="52.5">
      <c r="A18" s="659"/>
      <c r="C18" s="680"/>
      <c r="D18" s="675">
        <v>4</v>
      </c>
      <c r="E18" s="2090" t="str">
        <f>TP_P_V_1</f>
        <v>Причины отказа в заключении договора о подключении (технологическом присоединении) к централизованной системе горячего водоснабжения</v>
      </c>
      <c r="F18" s="675" t="s">
        <v>306</v>
      </c>
      <c r="G18" s="840"/>
      <c r="H18" s="840"/>
      <c r="I18" s="992" t="str">
        <f>TP_P_NOTE_V_1</f>
        <v>Указывается текстовое описание причин принятия решений.
Не заполняется в случае, если решения об отказе в течение отчетного периода не принимались.</v>
      </c>
    </row>
    <row customHeight="1" ht="57">
      <c r="A19" s="659"/>
      <c r="C19" s="680"/>
      <c r="D19" s="675">
        <v>5</v>
      </c>
      <c r="E19" s="2090" t="str">
        <f>TP_P_G</f>
        <v>Наличие свободной мощности (резерва мощности) на соответствующих объектах централизованных систем горячего водоснабжения в течение одного квартала, в том числе:</v>
      </c>
      <c r="F19" s="675" t="str">
        <f>IF(TEMPLATE_SPHERE="HEAT","Гкал/час","тыс. куб. м/сутки")</f>
        <v>тыс. куб. м/сутки</v>
      </c>
      <c r="G19" s="841">
        <f>SUM(G20:G22)</f>
        <v>0</v>
      </c>
      <c r="H19" s="841">
        <f>SUM(H20:H22)</f>
        <v>0</v>
      </c>
      <c r="I19" s="362" t="str">
        <f>TP_P_NOTE_G</f>
        <v>Указывается наличие свободной мощности (резерв мощности) на соответствующих объектах централизованной системы горячего водоснабжения (совокупности централизованных систем горячего водоснабжения) в случае, если для них установлены одинаковые тарифы в сфере горячего водоснабжения.
В случае если регулируемыми организациями оказываются услуги горячего водоснабжения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v>
      </c>
    </row>
    <row customHeight="1" ht="15" hidden="1">
      <c r="D20" s="663" t="s">
        <v>1034</v>
      </c>
      <c r="E20" s="842"/>
      <c r="F20" s="663"/>
      <c r="G20" s="663"/>
      <c r="H20" s="663"/>
      <c r="I20" s="1922"/>
    </row>
    <row customHeight="1" ht="27.75">
      <c r="C21" s="605"/>
      <c r="D21" s="693" t="s">
        <v>313</v>
      </c>
      <c r="E21" s="824"/>
      <c r="F21" s="1920" t="str">
        <f>IF(TEMPLATE_SPHERE="HEAT","Гкал/час","тыс. куб. м/сутки")</f>
        <v>тыс. куб. м/сутки</v>
      </c>
      <c r="G21" s="834"/>
      <c r="H21" s="834"/>
      <c r="I21" s="2229" t="str">
        <f>TP_P_NOTE_G_1</f>
        <v>Указывается наличие свободной мощности (резерв мощности) для централизованной системы горячего водоснабжения, тариф для которой не является отличным от тарифов других централизованных систем горячего водоснабжения регулируемой организации.
При использовании регулируемой организацией нескольких централизованных систем горячего водоснабжения информация о наличии свободной мощности (резерве мощности) на соответствующих объектах централизованных систем горячего водоснабжения публикуется в отношении каждой централизованной системы горячего водоснабжения в отдельных строках.</v>
      </c>
    </row>
    <row customHeight="1" ht="15">
      <c r="A22" s="659"/>
      <c r="C22" s="659"/>
      <c r="D22" s="501"/>
      <c r="E22" s="734" t="s">
        <v>1035</v>
      </c>
      <c r="F22" s="726"/>
      <c r="G22" s="726"/>
      <c r="H22" s="726"/>
      <c r="I22" s="2231"/>
      <c r="R22" s="659"/>
    </row>
  </sheetData>
  <sheetProtection formatColumns="0" formatRows="0" autoFilter="0" sort="0" insertRows="0" insertColumns="1" deleteRows="0" deleteColumns="0"/>
  <mergeCells count="8">
    <mergeCell ref="I21:I22"/>
    <mergeCell ref="I9:I13"/>
    <mergeCell ref="D5:H5"/>
    <mergeCell ref="D6:H6"/>
    <mergeCell ref="E9:F9"/>
    <mergeCell ref="E10:F10"/>
    <mergeCell ref="E11:F11"/>
    <mergeCell ref="D12:F12"/>
  </mergeCells>
  <dataValidations count="4">
    <dataValidation type="decimal" allowBlank="1" showErrorMessage="1" errorTitle="Ошибка" error="Допускается ввод только действительных чисел!" sqref="G2:H2 G21:H21">
      <formula1>-9.99999999999999E+23</formula1>
      <formula2>9.99999999999999E+23</formula2>
    </dataValidation>
    <dataValidation type="whole" allowBlank="1" showErrorMessage="1" errorTitle="Ошибка" error="Допускается ввод только неотрицательных целых чисел!" sqref="G15:H17">
      <formula1>0</formula1>
      <formula2>9.99999999999999E+23</formula2>
    </dataValidation>
    <dataValidation type="textLength" operator="lessThanOrEqual" allowBlank="1" showInputMessage="1" showErrorMessage="1" errorTitle="Ошибка" error="Допускается ввод не более 900 символов!" sqref="E21 E2 G18:H18">
      <formula1>900</formula1>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6CACD0A-87D7-CBA7-B8FC-3BB6C837AFAF}" mc:Ignorable="x14ac xr xr2 xr3">
  <sheetPr>
    <tabColor theme="6" tint="0.4"/>
    <pageSetUpPr fitToPage="1"/>
  </sheetPr>
  <dimension ref="A1:P31"/>
  <sheetViews>
    <sheetView topLeftCell="A1" showGridLines="0" zoomScale="90" workbookViewId="0">
      <selection activeCell="A1" sqref="A1"/>
    </sheetView>
  </sheetViews>
  <sheetFormatPr defaultColWidth="10.57421875" customHeight="1" defaultRowHeight="14.25"/>
  <cols>
    <col min="1" max="1" style="9784" width="9.140625" hidden="1" customWidth="1"/>
    <col min="2" max="2" style="9785" width="9.140625" hidden="1" customWidth="1"/>
    <col min="3" max="3" style="9786" width="3.7109375" customWidth="1"/>
    <col min="4" max="4" style="8083" width="6.28125" customWidth="1"/>
    <col min="5" max="6" style="8083" width="64.140625" customWidth="1"/>
    <col min="7" max="7" style="8083" width="141.140625" customWidth="1"/>
    <col min="8" max="8" style="8083" width="10.57421875"/>
    <col min="9" max="10" style="8084" width="10.57421875"/>
    <col min="11" max="16" style="8083" width="10.57421875"/>
  </cols>
  <sheetData>
    <row customHeight="1" ht="14.25" hidden="1">
      <c r="M1" s="409"/>
      <c r="N1" s="409"/>
      <c r="P1" s="409"/>
    </row>
    <row customHeight="1" ht="14.25" hidden="1"/>
    <row customHeight="1" ht="14.25" hidden="1"/>
    <row customHeight="1" ht="3">
      <c r="C4" s="251"/>
      <c r="D4" s="238"/>
      <c r="E4" s="238"/>
      <c r="F4" s="239"/>
      <c r="G4" s="239"/>
    </row>
    <row customHeight="1" ht="27.75">
      <c r="C5" s="251"/>
      <c r="D5" s="2512" t="str">
        <f>TERMS_NAME_FORM</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горячего водоснабжения</v>
      </c>
      <c r="E5" s="2513"/>
      <c r="F5" s="2513"/>
      <c r="G5" s="2514"/>
    </row>
    <row s="8080" customFormat="1" customHeight="1" ht="18">
      <c r="A6" s="1036"/>
      <c r="B6" s="571"/>
      <c r="C6" s="530"/>
      <c r="D6" s="2515" t="str">
        <f>IF(org=0,"Не определено",org)</f>
        <v>АО "Теплокоммунэнерго"</v>
      </c>
      <c r="E6" s="2516"/>
      <c r="F6" s="2516"/>
      <c r="G6" s="2517"/>
      <c r="I6" s="654"/>
      <c r="J6" s="654"/>
    </row>
    <row customHeight="1" ht="14.25">
      <c r="C7" s="251"/>
      <c r="D7" s="238"/>
      <c r="E7" s="250"/>
      <c r="F7" s="906"/>
      <c r="G7" s="347"/>
    </row>
    <row s="8849" customFormat="1" customHeight="1" ht="0.75">
      <c r="A8" s="1828"/>
      <c r="B8" s="1316"/>
      <c r="C8" s="530"/>
      <c r="D8" s="517"/>
      <c r="E8" s="543"/>
      <c r="F8" s="906"/>
      <c r="G8" s="347"/>
      <c r="I8" s="1783"/>
      <c r="J8" s="1783"/>
    </row>
    <row customHeight="1" ht="14.25">
      <c r="C9" s="251"/>
      <c r="D9" s="2275" t="s">
        <v>300</v>
      </c>
      <c r="E9" s="2275"/>
      <c r="F9" s="2275"/>
      <c r="G9" s="2518" t="s">
        <v>301</v>
      </c>
    </row>
    <row customHeight="1" ht="14.25">
      <c r="C10" s="251"/>
      <c r="D10" s="260" t="s">
        <v>85</v>
      </c>
      <c r="E10" s="263" t="s">
        <v>302</v>
      </c>
      <c r="F10" s="263" t="s">
        <v>390</v>
      </c>
      <c r="G10" s="2518"/>
    </row>
    <row customHeight="1" ht="12" hidden="1">
      <c r="C11" s="251"/>
      <c r="D11" s="241"/>
      <c r="E11" s="241"/>
      <c r="F11" s="241"/>
      <c r="G11" s="241"/>
    </row>
    <row customHeight="1" ht="62.25">
      <c r="A12" s="346"/>
      <c r="C12" s="251"/>
      <c r="D12" s="302">
        <v>1</v>
      </c>
      <c r="E12" s="351" t="str">
        <f>TERMS_P_1</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горячего водоснабжения</v>
      </c>
      <c r="F12" s="352" t="s">
        <v>306</v>
      </c>
      <c r="G12" s="306"/>
    </row>
    <row customHeight="1" ht="22.5">
      <c r="A13" s="346"/>
      <c r="C13" s="251"/>
      <c r="D13" s="302" t="s">
        <v>940</v>
      </c>
      <c r="E13" s="348" t="str">
        <f>"Форма публичного договора "&amp;IF(TEMPLATE_SPHERE="TKO","на оказание регулируемых услуг","поставки товаров (оказания услуг)")&amp;IF(OR(TEMPLATE_SPHERE&lt;&gt;"HEAT",TEMPLATE_SPHERE&lt;&gt;"TKO"),", тарифы на которые подлежат регулированию","")</f>
        <v>Форма публичного договора поставки товаров (оказания услуг), тарифы на которые подлежат регулированию</v>
      </c>
      <c r="F13" s="352" t="s">
        <v>306</v>
      </c>
      <c r="G13" s="306"/>
    </row>
    <row customHeight="1" ht="14.25">
      <c r="A14" s="346"/>
      <c r="C14" s="251"/>
      <c r="D14" s="302" t="s">
        <v>976</v>
      </c>
      <c r="E14" s="349"/>
      <c r="F14" s="367"/>
      <c r="G14" s="2229" t="str">
        <f>"Указывается форма "&amp;IF(TEMPLATE_SPHERE="TKO","публичного ","")&amp;"договора, "&amp;IF(TEMPLATE_SPHERE="HEAT","","используемая регулируемой организацией, ")&amp;"в виде ссылки на документ, предварительно загруженный в хранилище файлов ФГИС ЕИАС"&amp;IF(TEMPLATE_SPHERE="TKO",", либо ссылка на официальный сайт в сети ""Интернет"", на котором размещена информация","")&amp;".
В случае наличия нескольких форм таких договоров информация по каждой из них указывается в отдельной строке."</f>
        <v>Указывается форма договора, используемая регулируемой организацией, в виде ссылки на документ, предварительно загруженный в хранилище файлов ФГИС ЕИАС.
В случае наличия нескольких форм таких договоров информация по каждой из них указывается в отдельной строке.</v>
      </c>
    </row>
    <row customHeight="1" ht="15">
      <c r="A15" s="346"/>
      <c r="C15" s="251"/>
      <c r="D15" s="264"/>
      <c r="E15" s="503" t="s">
        <v>1036</v>
      </c>
      <c r="F15" s="355"/>
      <c r="G15" s="2231"/>
    </row>
    <row customHeight="1" ht="14.25">
      <c r="A16" s="346"/>
      <c r="C16" s="251"/>
      <c r="D16" s="302" t="s">
        <v>942</v>
      </c>
      <c r="E16" s="348" t="str">
        <f>"Договор о подключении (технологическом присоединении) к"&amp;IF(TEMPLATE_SPHERE="HEAT",""," централизованной")&amp;" системе "&amp;TEMPLATE_SPHERE_RUS</f>
        <v>Договор о подключении (технологическом присоединении) к централизованной системе горячего водоснабжения</v>
      </c>
      <c r="F16" s="352" t="s">
        <v>306</v>
      </c>
      <c r="G16" s="491"/>
    </row>
    <row customHeight="1" ht="14.25">
      <c r="A17" s="346"/>
      <c r="C17" s="251"/>
      <c r="D17" s="302" t="s">
        <v>984</v>
      </c>
      <c r="E17" s="349"/>
      <c r="F17" s="539"/>
      <c r="G17" s="2229" t="str">
        <f>"Информация размещается в случае, если"&amp;IF(TEMPLATE_SPHERE="HEAT",""," регулируемая")&amp;" организация осуществляет услуги по подключению (технологическому присоединению) к системе "&amp;TEMPLATE_SPHERE_RUS&amp;".
Указывается ссылка на документ, предварительно загруженный в хранилище файлов ФГИС ЕИАС.
В случае наличия нескольких договоров о подключении к"&amp;IF(TEMPLATE_SPHERE="HEAT",""," централизованной")&amp;" системе "&amp;TEMPLATE_SPHERE_RUS&amp;" информация по каждому из них указывается в отдельной строке."</f>
        <v>Информация размещается в случае, если регулируемая организация осуществляет услуги по подключению (технологическому присоединению) к системе горячего водоснабжения.
Указывается ссылка на документ, предварительно загруженный в хранилище файлов ФГИС ЕИАС.
В случае наличия нескольких договоров о подключении к централизованной системе горячего водоснабжения информация по каждому из них указывается в отдельной строке.</v>
      </c>
    </row>
    <row s="9763" customFormat="1" customHeight="1" ht="21">
      <c r="A18" s="497"/>
      <c r="B18" s="301"/>
      <c r="C18" s="461"/>
      <c r="D18" s="501"/>
      <c r="E18" s="503" t="s">
        <v>1037</v>
      </c>
      <c r="F18" s="492"/>
      <c r="G18" s="2231"/>
      <c r="I18" s="504"/>
      <c r="J18" s="504"/>
    </row>
    <row s="8080" customFormat="1" customHeight="1" ht="256.5" hidden="1">
      <c r="A19" s="497"/>
      <c r="B19" s="571"/>
      <c r="C19" s="530"/>
      <c r="D19" s="1038" t="s">
        <v>944</v>
      </c>
      <c r="E19" s="1037" t="s">
        <v>1038</v>
      </c>
      <c r="F19" s="539"/>
      <c r="G19" s="491" t="s">
        <v>1039</v>
      </c>
      <c r="I19" s="654"/>
      <c r="J19" s="654"/>
    </row>
    <row s="9763" customFormat="1" customHeight="1" ht="14.25">
      <c r="A20" s="497"/>
      <c r="B20" s="301"/>
      <c r="C20" s="461"/>
      <c r="D20" s="1039">
        <v>2</v>
      </c>
      <c r="E20" s="484" t="s">
        <v>1040</v>
      </c>
      <c r="F20" s="352" t="s">
        <v>306</v>
      </c>
      <c r="G20" s="491"/>
      <c r="I20" s="504"/>
      <c r="J20" s="504"/>
    </row>
    <row s="9763" customFormat="1" customHeight="1" ht="18.75" hidden="1">
      <c r="A21" s="497"/>
      <c r="B21" s="301"/>
      <c r="C21" s="461"/>
      <c r="D21" s="487" t="s">
        <v>870</v>
      </c>
      <c r="E21" s="486"/>
      <c r="F21" s="485"/>
      <c r="G21" s="495"/>
      <c r="H21" s="488"/>
      <c r="I21" s="504"/>
      <c r="J21" s="504"/>
    </row>
    <row customHeight="1" ht="15">
      <c r="A22" s="346"/>
      <c r="C22" s="251"/>
      <c r="D22" s="264"/>
      <c r="E22" s="357" t="s">
        <v>322</v>
      </c>
      <c r="F22" s="492"/>
      <c r="G22" s="493"/>
    </row>
    <row s="8849" customFormat="1" customHeight="1" ht="22.5" hidden="1">
      <c r="A23" s="497"/>
      <c r="B23" s="1316"/>
      <c r="C23" s="530"/>
      <c r="D23" s="1832" t="s">
        <v>107</v>
      </c>
      <c r="E23" s="351" t="s">
        <v>1041</v>
      </c>
      <c r="F23" s="1829" t="s">
        <v>306</v>
      </c>
      <c r="G23" s="499"/>
      <c r="I23" s="1783"/>
      <c r="J23" s="1783"/>
    </row>
    <row s="8849" customFormat="1" customHeight="1" ht="14.25" hidden="1">
      <c r="A24" s="497"/>
      <c r="B24" s="1316"/>
      <c r="C24" s="530"/>
      <c r="D24" s="1832" t="s">
        <v>623</v>
      </c>
      <c r="E24" s="1831" t="s">
        <v>1042</v>
      </c>
      <c r="F24" s="1829" t="s">
        <v>306</v>
      </c>
      <c r="G24" s="491"/>
      <c r="I24" s="1783"/>
      <c r="J24" s="1783"/>
    </row>
    <row s="8849" customFormat="1" customHeight="1" ht="14.25" hidden="1">
      <c r="A25" s="497"/>
      <c r="B25" s="1316"/>
      <c r="C25" s="530"/>
      <c r="D25" s="1832" t="s">
        <v>626</v>
      </c>
      <c r="E25" s="349"/>
      <c r="F25" s="539"/>
      <c r="G25" s="2229" t="s">
        <v>1043</v>
      </c>
      <c r="I25" s="1783"/>
      <c r="J25" s="1783"/>
    </row>
    <row s="8849" customFormat="1" customHeight="1" ht="22.5" hidden="1">
      <c r="A26" s="497"/>
      <c r="B26" s="1316"/>
      <c r="C26" s="530"/>
      <c r="D26" s="501"/>
      <c r="E26" s="503" t="s">
        <v>1044</v>
      </c>
      <c r="F26" s="492"/>
      <c r="G26" s="2231"/>
      <c r="I26" s="1783"/>
      <c r="J26" s="1783"/>
    </row>
    <row customHeight="1" ht="3"/>
    <row customHeight="1" ht="14.25">
      <c r="D28" s="490"/>
      <c r="E28" s="489"/>
      <c r="F28" s="469"/>
      <c r="G28" s="469"/>
      <c r="H28" s="469"/>
      <c r="I28" s="469"/>
      <c r="J28" s="469"/>
      <c r="K28" s="469"/>
      <c r="L28" s="469"/>
      <c r="M28" s="469"/>
      <c r="N28" s="469"/>
      <c r="O28" s="469"/>
      <c r="P28" s="469"/>
    </row>
    <row customHeight="1" ht="14.25">
      <c r="D29" s="490"/>
      <c r="E29" s="736"/>
    </row>
    <row r="31" customHeight="1" ht="14.25">
      <c r="E31" s="912"/>
    </row>
  </sheetData>
  <sheetProtection formatColumns="0" formatRows="0" autoFilter="0" sort="0" insertRows="0" insertColumns="1" deleteRows="0" deleteColumns="0"/>
  <mergeCells count="7">
    <mergeCell ref="D5:G5"/>
    <mergeCell ref="D6:G6"/>
    <mergeCell ref="G25:G26"/>
    <mergeCell ref="G17:G18"/>
    <mergeCell ref="D9:F9"/>
    <mergeCell ref="G9:G10"/>
    <mergeCell ref="G14:G15"/>
  </mergeCells>
  <dataValidations count="2">
    <dataValidation type="textLength" operator="lessThanOrEqual" allowBlank="1" showInputMessage="1" showErrorMessage="1" errorTitle="Ошибка" error="Допускается ввод не более 900 символов!" sqref="G14 G25 E17 E14 G17 G21 E25">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F14 F17:F19 F25:F26">
      <formula1>900</formula1>
    </dataValidation>
  </dataValidations>
  <printOptions horizontalCentered="1" verticalCentered="1"/>
  <pageMargins left="0.00" right="0.00" top="0.00" bottom="0.00" header="0.00" footer="0.79"/>
  <pageSetup paperSize="9" scale="41" fitToHeight="0" pageOrder="downThenOver" orientation="portrait" blackAndWhite="1"/>
  <headerFooter>
    <oddHeader>&amp;L&amp;C&amp;R</oddHeader>
    <oddFooter>&amp;L&amp;C&amp;R</oddFooter>
    <evenHeader>&amp;L&amp;C&amp;R</evenHeader>
    <evenFooter>&amp;L&amp;C&amp;R</even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A63B742-CB67-8EEC-D8E3-AF1457A397C6}" mc:Ignorable="x14ac xr xr2 xr3">
  <sheetPr>
    <tabColor theme="6" tint="0.4"/>
  </sheetPr>
  <dimension ref="A1:L42"/>
  <sheetViews>
    <sheetView topLeftCell="A1" showGridLines="0" zoomScale="90" workbookViewId="0">
      <selection activeCell="A1" sqref="A1"/>
    </sheetView>
  </sheetViews>
  <sheetFormatPr defaultColWidth="10.57421875" customHeight="1" defaultRowHeight="14.25"/>
  <cols>
    <col min="1" max="1" style="8803" width="9.140625" hidden="1" customWidth="1"/>
    <col min="2" max="2" style="9785" width="9.140625" hidden="1" customWidth="1"/>
    <col min="3" max="3" style="9786" width="3.7109375" customWidth="1"/>
    <col min="4" max="4" style="8083" width="6.28125" customWidth="1"/>
    <col min="5" max="5" style="8083" width="63.421875" customWidth="1"/>
    <col min="6" max="6" style="8083" width="1.7109375" hidden="1" customWidth="1"/>
    <col min="7" max="8" style="8083" width="35.7109375" customWidth="1"/>
    <col min="9" max="9" style="8083" width="91.57421875" customWidth="1"/>
    <col min="10" max="10" style="8083" width="68.8515625" customWidth="1"/>
    <col min="11" max="12" style="8084" width="10.57421875"/>
  </cols>
  <sheetData>
    <row customHeight="1" ht="14.25" hidden="1"/>
    <row s="8849" customFormat="1" customHeight="1" ht="18.75" hidden="1">
      <c r="A2" s="1842"/>
      <c r="B2" s="1316"/>
      <c r="C2" s="1889" t="s">
        <v>542</v>
      </c>
      <c r="D2" s="1832"/>
      <c r="E2" s="353"/>
      <c r="F2" s="1829"/>
      <c r="G2" s="1829" t="s">
        <v>306</v>
      </c>
      <c r="H2" s="1317"/>
      <c r="K2" s="1783"/>
      <c r="L2" s="1783"/>
    </row>
    <row s="8849" customFormat="1" customHeight="1" ht="14.25" hidden="1">
      <c r="A3" s="1521"/>
      <c r="B3" s="1316"/>
      <c r="C3" s="498"/>
      <c r="K3" s="1783"/>
      <c r="L3" s="1783"/>
    </row>
    <row s="8849" customFormat="1" customHeight="1" ht="18.75" hidden="1">
      <c r="A4" s="1842"/>
      <c r="B4" s="1316"/>
      <c r="C4" s="1889" t="s">
        <v>542</v>
      </c>
      <c r="D4" s="1832"/>
      <c r="E4" s="359" t="s">
        <v>1045</v>
      </c>
      <c r="F4" s="1829"/>
      <c r="G4" s="411"/>
      <c r="H4" s="1829" t="s">
        <v>306</v>
      </c>
      <c r="K4" s="1783"/>
      <c r="L4" s="1783"/>
    </row>
    <row s="8849" customFormat="1" customHeight="1" ht="14.25" hidden="1">
      <c r="A5" s="1521"/>
      <c r="B5" s="1316"/>
      <c r="C5" s="498"/>
      <c r="K5" s="1783"/>
      <c r="L5" s="1783"/>
    </row>
    <row s="8849" customFormat="1" customHeight="1" ht="18.75" hidden="1">
      <c r="A6" s="1842"/>
      <c r="B6" s="1316"/>
      <c r="C6" s="1889" t="s">
        <v>542</v>
      </c>
      <c r="D6" s="1832"/>
      <c r="E6" s="360" t="s">
        <v>1046</v>
      </c>
      <c r="F6" s="1829"/>
      <c r="G6" s="411"/>
      <c r="H6" s="1829" t="s">
        <v>306</v>
      </c>
      <c r="K6" s="1783"/>
      <c r="L6" s="1783"/>
    </row>
    <row s="8849" customFormat="1" customHeight="1" ht="14.25" hidden="1">
      <c r="A7" s="1521"/>
      <c r="B7" s="1316"/>
      <c r="C7" s="498"/>
      <c r="K7" s="1783"/>
      <c r="L7" s="1783"/>
    </row>
    <row s="8849" customFormat="1" customHeight="1" ht="18.75" hidden="1">
      <c r="A8" s="1842"/>
      <c r="B8" s="1316"/>
      <c r="C8" s="1889" t="s">
        <v>542</v>
      </c>
      <c r="D8" s="1832"/>
      <c r="E8" s="360" t="s">
        <v>1047</v>
      </c>
      <c r="F8" s="1829"/>
      <c r="G8" s="411"/>
      <c r="H8" s="1829" t="s">
        <v>306</v>
      </c>
      <c r="K8" s="1783"/>
      <c r="L8" s="1783"/>
    </row>
    <row s="8849" customFormat="1" customHeight="1" ht="14.25" hidden="1">
      <c r="A9" s="1521"/>
      <c r="B9" s="1316"/>
      <c r="C9" s="498"/>
      <c r="K9" s="1783"/>
      <c r="L9" s="1783"/>
    </row>
    <row s="8849" customFormat="1" customHeight="1" ht="18.75" hidden="1">
      <c r="A10" s="1842"/>
      <c r="B10" s="1316"/>
      <c r="C10" s="1889" t="s">
        <v>542</v>
      </c>
      <c r="D10" s="1832"/>
      <c r="E10" s="360" t="s">
        <v>1048</v>
      </c>
      <c r="F10" s="1829"/>
      <c r="G10" s="1833"/>
      <c r="H10" s="1829" t="s">
        <v>306</v>
      </c>
      <c r="K10" s="1783"/>
      <c r="L10" s="1783" t="s">
        <v>1049</v>
      </c>
    </row>
    <row customHeight="1" ht="14.25" hidden="1"/>
    <row customHeight="1" ht="14.25" hidden="1"/>
    <row customHeight="1" ht="14.25">
      <c r="C13" s="251"/>
      <c r="D13" s="238"/>
      <c r="E13" s="238"/>
      <c r="F13" s="238"/>
      <c r="G13" s="238"/>
      <c r="H13" s="239"/>
      <c r="I13" s="239"/>
    </row>
    <row customHeight="1" ht="27.75">
      <c r="C14" s="251"/>
      <c r="D14" s="2512" t="str">
        <f>PROCEDURE_TC_NAME_FORM</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горячего водоснабжения</v>
      </c>
      <c r="E14" s="2513"/>
      <c r="F14" s="2513"/>
      <c r="G14" s="2513"/>
      <c r="H14" s="2514"/>
      <c r="J14" s="1790"/>
    </row>
    <row s="8849" customFormat="1" customHeight="1" ht="14.25">
      <c r="A15" s="1521"/>
      <c r="B15" s="1316"/>
      <c r="C15" s="530"/>
      <c r="D15" s="2515" t="str">
        <f>IF(org=0,"Не определено",org)</f>
        <v>АО "Теплокоммунэнерго"</v>
      </c>
      <c r="E15" s="2516"/>
      <c r="F15" s="2516"/>
      <c r="G15" s="2516"/>
      <c r="H15" s="2517"/>
      <c r="J15" s="1006"/>
      <c r="K15" s="1783"/>
      <c r="L15" s="1783"/>
    </row>
    <row customHeight="1" ht="14.25">
      <c r="C16" s="251"/>
      <c r="D16" s="238"/>
      <c r="E16" s="250"/>
      <c r="F16" s="250"/>
      <c r="G16" s="250"/>
      <c r="H16" s="906"/>
      <c r="I16" s="347"/>
    </row>
    <row s="8849" customFormat="1" customHeight="1" ht="14.25" hidden="1">
      <c r="A17" s="1521"/>
      <c r="B17" s="1316"/>
      <c r="C17" s="530"/>
      <c r="D17" s="517"/>
      <c r="E17" s="543"/>
      <c r="F17" s="543"/>
      <c r="G17" s="543"/>
      <c r="H17" s="906"/>
      <c r="I17" s="347"/>
      <c r="K17" s="1783"/>
      <c r="L17" s="1783"/>
    </row>
    <row customHeight="1" ht="21">
      <c r="C18" s="251"/>
      <c r="D18" s="2275" t="s">
        <v>300</v>
      </c>
      <c r="E18" s="2275"/>
      <c r="F18" s="2275"/>
      <c r="G18" s="2275"/>
      <c r="H18" s="2275"/>
      <c r="I18" s="2518" t="s">
        <v>301</v>
      </c>
    </row>
    <row customHeight="1" ht="21">
      <c r="C19" s="251"/>
      <c r="D19" s="260" t="s">
        <v>85</v>
      </c>
      <c r="E19" s="263" t="s">
        <v>302</v>
      </c>
      <c r="F19" s="263"/>
      <c r="G19" s="263" t="s">
        <v>303</v>
      </c>
      <c r="H19" s="263" t="s">
        <v>390</v>
      </c>
      <c r="I19" s="2518"/>
    </row>
    <row customHeight="1" ht="12" hidden="1">
      <c r="C20" s="251"/>
      <c r="D20" s="241"/>
      <c r="E20" s="241"/>
      <c r="F20" s="241"/>
      <c r="G20" s="241"/>
      <c r="H20" s="241"/>
      <c r="I20" s="241"/>
    </row>
    <row customHeight="1" ht="14.25">
      <c r="A21" s="1842"/>
      <c r="C21" s="251"/>
      <c r="D21" s="302">
        <v>1</v>
      </c>
      <c r="E21" s="2520" t="s">
        <v>1050</v>
      </c>
      <c r="F21" s="2520"/>
      <c r="G21" s="2520"/>
      <c r="H21" s="2520"/>
      <c r="I21" s="362"/>
    </row>
    <row customHeight="1" ht="20.25">
      <c r="A22" s="1842"/>
      <c r="C22" s="251"/>
      <c r="D22" s="302" t="s">
        <v>940</v>
      </c>
      <c r="E22" s="348" t="s">
        <v>1051</v>
      </c>
      <c r="F22" s="352"/>
      <c r="G22" s="1896"/>
      <c r="H22" s="352" t="s">
        <v>306</v>
      </c>
      <c r="I22" s="306" t="s">
        <v>1052</v>
      </c>
    </row>
    <row customHeight="1" ht="45">
      <c r="A23" s="1842"/>
      <c r="C23" s="251"/>
      <c r="D23" s="302" t="s">
        <v>942</v>
      </c>
      <c r="E23" s="348" t="s">
        <v>1053</v>
      </c>
      <c r="F23" s="352"/>
      <c r="G23" s="411"/>
      <c r="H23" s="367"/>
      <c r="I23" s="412" t="s">
        <v>1054</v>
      </c>
    </row>
    <row customHeight="1" ht="14.25">
      <c r="A24" s="1842"/>
      <c r="B24" s="301">
        <v>3</v>
      </c>
      <c r="C24" s="251"/>
      <c r="D24" s="302">
        <v>2</v>
      </c>
      <c r="E24" s="376" t="str">
        <f>"Форма заявки на заключение договора о подключении (технологическом присоединении) к системе "&amp;TEMPLATE_SPHERE_RUS</f>
        <v>Форма заявки на заключение договора о подключении (технологическом присоединении) к системе горячего водоснабжения</v>
      </c>
      <c r="F24" s="352"/>
      <c r="G24" s="352" t="s">
        <v>306</v>
      </c>
      <c r="H24" s="367"/>
      <c r="I24" s="413" t="s">
        <v>807</v>
      </c>
    </row>
    <row customHeight="1" ht="46.5">
      <c r="A25" s="1842"/>
      <c r="C25" s="251"/>
      <c r="D25" s="302">
        <v>3</v>
      </c>
      <c r="E25" s="2519" t="str">
        <f>"Перечень документов и сведений, представляемых одновременно "&amp;IF(TEMPLATE_SPHERE="HEAT","с заявкой на заключение","с заявлением о заключении")&amp;" договора о подключении (технологическом присоединении) к системе "&amp;TEMPLATE_SPHERE_RUS&amp;IF(TEMPLATE_SPHERE="HEAT","",",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Федерации"&amp;" о градостроительной деятельности и законодательством Российской Федерации в сфере водоснабжения и водоотведения")</f>
        <v>Перечень документов и сведений, представляемых одновременно с заявлением о заключении договора о подключении (технологическом присоединении) к системе горячего водоснабжения,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 о градостроительной деятельности и законодательством Российской Федерации в сфере водоснабжения и водоотведения</v>
      </c>
      <c r="F25" s="2519"/>
      <c r="G25" s="2519"/>
      <c r="H25" s="2519"/>
      <c r="I25" s="410"/>
    </row>
    <row customHeight="1" ht="14.25">
      <c r="A26" s="1842"/>
      <c r="C26" s="251"/>
      <c r="D26" s="302" t="s">
        <v>324</v>
      </c>
      <c r="E26" s="353"/>
      <c r="F26" s="352"/>
      <c r="G26" s="352" t="s">
        <v>306</v>
      </c>
      <c r="H26" s="367"/>
      <c r="I26" s="2229" t="s">
        <v>1055</v>
      </c>
    </row>
    <row customHeight="1" ht="15">
      <c r="A27" s="1842" t="s">
        <v>106</v>
      </c>
      <c r="C27" s="251"/>
      <c r="D27" s="264"/>
      <c r="E27" s="357" t="s">
        <v>322</v>
      </c>
      <c r="F27" s="358"/>
      <c r="G27" s="358"/>
      <c r="H27" s="355"/>
      <c r="I27" s="2231"/>
    </row>
    <row customHeight="1" ht="38.25">
      <c r="A28" s="1842"/>
      <c r="B28" s="301">
        <v>3</v>
      </c>
      <c r="C28" s="251"/>
      <c r="D28" s="302">
        <v>4</v>
      </c>
      <c r="E28" s="2519" t="str">
        <f>"Реквизиты нормативных правовых актов, регламентирующих порядок действий заявителя и "&amp;IF(TEMPLATE_SPHERE="HEAT","регулируемой ","")&amp;"организации"&amp;IF(TEMPLATE_SPHERE="HEAT",""," "&amp;TEMPLATE_SPHERE_RUS)&amp;" при подаче, приеме, обработке "&amp;IF(TEMPLATE_SPHERE="HEAT","заявки на заключение","заявления о заключении")&amp;" договора о подключении (технологическом присоединении) к системе "&amp;TEMPLATE_SPHERE_RUS&amp;IF(TEMPLATE_SPHERE="HEAT",""," (в том числе в форме электронного документа)")</f>
        <v>Реквизиты нормативных правовых актов, регламентирующих порядок действий заявителя и организации горячего водоснабжения при подаче, приеме, обработке заявления о заключении договора о подключении (технологическом присоединении) к системе горячего водоснабжения (в том числе в форме электронного документа)</v>
      </c>
      <c r="F28" s="2519"/>
      <c r="G28" s="2519"/>
      <c r="H28" s="2519"/>
      <c r="I28" s="410"/>
    </row>
    <row customHeight="1" ht="20.25">
      <c r="A29" s="1842"/>
      <c r="C29" s="251"/>
      <c r="D29" s="302" t="s">
        <v>668</v>
      </c>
      <c r="E29" s="359" t="s">
        <v>1045</v>
      </c>
      <c r="F29" s="352"/>
      <c r="G29" s="411"/>
      <c r="H29" s="352" t="s">
        <v>306</v>
      </c>
      <c r="I29" s="2229" t="s">
        <v>1056</v>
      </c>
    </row>
    <row customHeight="1" ht="15">
      <c r="A30" s="1842" t="s">
        <v>107</v>
      </c>
      <c r="C30" s="251"/>
      <c r="D30" s="264"/>
      <c r="E30" s="357" t="s">
        <v>322</v>
      </c>
      <c r="F30" s="358"/>
      <c r="G30" s="358"/>
      <c r="H30" s="355"/>
      <c r="I30" s="2231"/>
    </row>
    <row customHeight="1" ht="30">
      <c r="A31" s="1842"/>
      <c r="B31" s="301">
        <v>3</v>
      </c>
      <c r="C31" s="251"/>
      <c r="D31" s="302">
        <v>5</v>
      </c>
      <c r="E31" s="2519" t="str">
        <f>"Телефоны,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горячего водоснабжения</v>
      </c>
      <c r="F31" s="2519"/>
      <c r="G31" s="2519"/>
      <c r="H31" s="2519"/>
      <c r="I31" s="410"/>
    </row>
    <row customHeight="1" ht="26.25">
      <c r="A32" s="1842"/>
      <c r="C32" s="251"/>
      <c r="D32" s="302" t="s">
        <v>313</v>
      </c>
      <c r="E32" s="2461" t="str">
        <f>"телефоны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службы, ответственной за прием и обработку заявок на заключение договора о подключении (технологическом присоединении) к системе горячего водоснабжения</v>
      </c>
      <c r="F32" s="2461"/>
      <c r="G32" s="2461"/>
      <c r="H32" s="2461"/>
      <c r="I32" s="410"/>
    </row>
    <row customHeight="1" ht="14.25">
      <c r="A33" s="1842"/>
      <c r="C33" s="251"/>
      <c r="D33" s="302" t="s">
        <v>1057</v>
      </c>
      <c r="E33" s="360" t="s">
        <v>1046</v>
      </c>
      <c r="F33" s="352"/>
      <c r="G33" s="411"/>
      <c r="H33" s="352" t="s">
        <v>306</v>
      </c>
      <c r="I33" s="2229" t="s">
        <v>1058</v>
      </c>
    </row>
    <row customHeight="1" ht="15">
      <c r="A34" s="1842" t="s">
        <v>87</v>
      </c>
      <c r="C34" s="251"/>
      <c r="D34" s="264"/>
      <c r="E34" s="358" t="s">
        <v>322</v>
      </c>
      <c r="F34" s="354"/>
      <c r="G34" s="354"/>
      <c r="H34" s="355"/>
      <c r="I34" s="2231"/>
    </row>
    <row customHeight="1" ht="24">
      <c r="A35" s="1842"/>
      <c r="C35" s="251"/>
      <c r="D35" s="302" t="s">
        <v>797</v>
      </c>
      <c r="E35" s="2461" t="str">
        <f>"адреса службы, ответственной за прием и обработку заявок на заключение договора о подключении (технологическом присоединении) к системе "&amp;TEMPLATE_SPHERE_RUS</f>
        <v>адреса службы, ответственной за прием и обработку заявок на заключение договора о подключении (технологическом присоединении) к системе горячего водоснабжения</v>
      </c>
      <c r="F35" s="2461"/>
      <c r="G35" s="2461"/>
      <c r="H35" s="2461"/>
      <c r="I35" s="410"/>
    </row>
    <row customHeight="1" ht="14.25">
      <c r="A36" s="1842"/>
      <c r="C36" s="251"/>
      <c r="D36" s="302" t="s">
        <v>1059</v>
      </c>
      <c r="E36" s="360" t="s">
        <v>1047</v>
      </c>
      <c r="F36" s="352"/>
      <c r="G36" s="411"/>
      <c r="H36" s="352" t="s">
        <v>306</v>
      </c>
      <c r="I36" s="2211" t="s">
        <v>1060</v>
      </c>
    </row>
    <row customHeight="1" ht="15">
      <c r="A37" s="1842" t="s">
        <v>88</v>
      </c>
      <c r="C37" s="251"/>
      <c r="D37" s="264"/>
      <c r="E37" s="358" t="s">
        <v>322</v>
      </c>
      <c r="F37" s="354"/>
      <c r="G37" s="354"/>
      <c r="H37" s="355"/>
      <c r="I37" s="2211"/>
    </row>
    <row customHeight="1" ht="26.25">
      <c r="A38" s="1842"/>
      <c r="C38" s="251"/>
      <c r="D38" s="302" t="s">
        <v>798</v>
      </c>
      <c r="E38" s="2461" t="str">
        <f>"график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график работы службы, ответственной за прием и обработку заявок на заключение договора о подключении (технологическом присоединении) к системе горячего водоснабжения</v>
      </c>
      <c r="F38" s="2461"/>
      <c r="G38" s="2461"/>
      <c r="H38" s="2461"/>
      <c r="I38" s="410"/>
    </row>
    <row customHeight="1" ht="14.25">
      <c r="A39" s="1842"/>
      <c r="C39" s="251"/>
      <c r="D39" s="302" t="s">
        <v>799</v>
      </c>
      <c r="E39" s="360" t="s">
        <v>1048</v>
      </c>
      <c r="F39" s="352"/>
      <c r="G39" s="361"/>
      <c r="H39" s="352" t="s">
        <v>306</v>
      </c>
      <c r="I39" s="2229" t="s">
        <v>1061</v>
      </c>
      <c r="L39" s="310" t="s">
        <v>1049</v>
      </c>
    </row>
    <row customHeight="1" ht="15">
      <c r="A40" s="1842" t="s">
        <v>108</v>
      </c>
      <c r="C40" s="251"/>
      <c r="D40" s="264"/>
      <c r="E40" s="358" t="s">
        <v>322</v>
      </c>
      <c r="F40" s="354"/>
      <c r="G40" s="354"/>
      <c r="H40" s="355"/>
      <c r="I40" s="2231"/>
    </row>
    <row s="9806" customFormat="1" customHeight="1" ht="3">
      <c r="A41" s="1842"/>
      <c r="K41" s="350"/>
      <c r="L41" s="350"/>
    </row>
    <row customHeight="1" ht="24.75">
      <c r="D42" s="1840" t="s">
        <v>719</v>
      </c>
      <c r="E42" s="2319" t="str">
        <f>"Информация размещается в случае, если организация осуществляет услуги по подключению (технологическому присоединению) к системе "&amp;TEMPLATE_SPHERE_RUS&amp;"."</f>
        <v>Информация размещается в случае, если организация осуществляет услуги по подключению (технологическому присоединению) к системе горячего водоснабжения.</v>
      </c>
      <c r="F42" s="2319"/>
      <c r="G42" s="2319"/>
      <c r="H42" s="2319"/>
      <c r="I42" s="2319"/>
    </row>
  </sheetData>
  <sheetProtection formatColumns="0" formatRows="0" autoFilter="0" sort="0" insertRows="0" insertColumns="1" deleteRows="0" deleteColumns="0"/>
  <mergeCells count="17">
    <mergeCell ref="E42:I42"/>
    <mergeCell ref="E32:H32"/>
    <mergeCell ref="E35:H35"/>
    <mergeCell ref="E38:H38"/>
    <mergeCell ref="I33:I34"/>
    <mergeCell ref="I36:I37"/>
    <mergeCell ref="I39:I40"/>
    <mergeCell ref="I29:I30"/>
    <mergeCell ref="E31:H31"/>
    <mergeCell ref="D14:H14"/>
    <mergeCell ref="D18:H18"/>
    <mergeCell ref="I18:I19"/>
    <mergeCell ref="E21:H21"/>
    <mergeCell ref="E25:H25"/>
    <mergeCell ref="I26:I27"/>
    <mergeCell ref="E28:H28"/>
    <mergeCell ref="D15:H15"/>
  </mergeCells>
  <dataValidations count="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2"/>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G10 G39">
      <formula1>"a"</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23:H24 H2 H26">
      <formula1>900</formula1>
    </dataValidation>
    <dataValidation type="textLength" operator="lessThanOrEqual" allowBlank="1" showInputMessage="1" showErrorMessage="1" errorTitle="Ошибка" error="Допускается ввод не более 900 символов!" sqref="I23:I24 I33 G36 I39 I26 E29 G33 E36 I29 E33 I36 G23 E26 I10 E23 G29 E10 G8 E2 I2 I4 G4 E4 E6 I6 G6 E8 I8 E39">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DF8B62B-A6D7-D1D3-A193-41A90E2F7759}" mc:Ignorable="x14ac xr xr2 xr3">
  <sheetPr>
    <tabColor theme="6" tint="0.4"/>
  </sheetPr>
  <dimension ref="A1:AG317"/>
  <sheetViews>
    <sheetView topLeftCell="A1" showGridLines="0" zoomScale="90" workbookViewId="0">
      <selection activeCell="A1" sqref="A1"/>
    </sheetView>
  </sheetViews>
  <sheetFormatPr defaultColWidth="10.57421875" customHeight="1" defaultRowHeight="14.25"/>
  <cols>
    <col min="1" max="2" style="9845" width="25.140625" hidden="1" customWidth="1"/>
    <col min="3" max="3" style="9846" width="9.140625" hidden="1" customWidth="1"/>
    <col min="4" max="4" style="8805" width="3.7109375" customWidth="1"/>
    <col min="5" max="5" style="9847" width="6.28125" customWidth="1"/>
    <col min="6" max="6" style="9847" width="46.7109375" customWidth="1"/>
    <col min="7" max="7" style="9847" width="35.7109375" customWidth="1"/>
    <col min="8" max="8" style="9847" width="3.7109375" customWidth="1"/>
    <col min="9" max="10" style="9847" width="11.7109375" customWidth="1"/>
    <col min="11" max="12" style="9847" width="35.7109375" customWidth="1"/>
    <col min="13" max="13" style="9847" width="84.8515625" customWidth="1"/>
    <col min="14" max="14" style="9847" width="10.57421875"/>
    <col min="15" max="16" style="9848" width="10.57421875"/>
    <col min="17" max="33" style="9847" width="10.57421875"/>
  </cols>
  <sheetData>
    <row s="8849" customFormat="1" customHeight="1" ht="14.25" hidden="1">
      <c r="A1" s="1938"/>
      <c r="B1" s="1938"/>
      <c r="C1" s="523"/>
      <c r="D1" s="498"/>
      <c r="N1" s="1795">
        <f>_xlfn.IFERROR(MATCH("метод экономически обоснованных расходов (затрат)",OFFER_METHOD,0),0)</f>
        <v>0</v>
      </c>
      <c r="O1" s="1783"/>
      <c r="P1" s="1783"/>
      <c r="T1" s="985"/>
      <c r="AG1" s="409"/>
    </row>
    <row s="8849" customFormat="1" customHeight="1" ht="18.75" hidden="1">
      <c r="A2" s="1939" t="s">
        <v>152</v>
      </c>
      <c r="B2" s="1939" t="s">
        <v>153</v>
      </c>
      <c r="C2" s="523"/>
      <c r="D2" s="498"/>
      <c r="E2" s="1186"/>
      <c r="F2" s="1186"/>
      <c r="G2" s="2482" t="str">
        <f>INDEX(PT_DIFFERENTIATION_NTAR,MATCH(B2,PT_DIFFERENTIATION_NTAR_ID,0))</f>
        <v/>
      </c>
      <c r="H2" s="2024"/>
      <c r="I2" s="1898"/>
      <c r="J2" s="1932"/>
      <c r="K2" s="2025"/>
      <c r="L2" s="2024" t="s">
        <v>306</v>
      </c>
      <c r="M2" s="2035"/>
      <c r="N2" s="488"/>
      <c r="O2" s="1783"/>
      <c r="P2" s="1783"/>
    </row>
    <row s="8849" customFormat="1" customHeight="1" ht="18.75" hidden="1">
      <c r="A3" s="1939"/>
      <c r="B3" s="1939"/>
      <c r="C3" s="523" t="s">
        <v>1062</v>
      </c>
      <c r="D3" s="498"/>
      <c r="E3" s="1186"/>
      <c r="F3" s="1186"/>
      <c r="G3" s="2482"/>
      <c r="H3" s="1659"/>
      <c r="I3" s="805" t="s">
        <v>1063</v>
      </c>
      <c r="J3" s="725"/>
      <c r="K3" s="1659"/>
      <c r="L3" s="368"/>
      <c r="M3" s="2035"/>
      <c r="N3" s="488"/>
      <c r="O3" s="1783"/>
      <c r="P3" s="1783"/>
    </row>
    <row s="8849" customFormat="1" customHeight="1" ht="14.25" hidden="1">
      <c r="A4" s="1938"/>
      <c r="B4" s="1938"/>
      <c r="C4" s="523"/>
      <c r="D4" s="498"/>
      <c r="N4" s="1795">
        <f>_xlfn.IFERROR(MATCH("метод экономически обоснованных расходов (затрат)",OFFER_METHOD,0),0)</f>
        <v>0</v>
      </c>
      <c r="O4" s="1783"/>
      <c r="P4" s="1783"/>
      <c r="T4" s="985"/>
      <c r="AG4" s="409"/>
    </row>
    <row s="8849" customFormat="1" customHeight="1" ht="18.75" hidden="1">
      <c r="A5" s="1939" t="s">
        <v>152</v>
      </c>
      <c r="B5" s="1939" t="s">
        <v>153</v>
      </c>
      <c r="C5" s="523"/>
      <c r="D5" s="498"/>
      <c r="E5" s="1186"/>
      <c r="F5" s="1186"/>
      <c r="G5" s="2482" t="str">
        <f>INDEX(PT_DIFFERENTIATION_NTAR,MATCH(B5,PT_DIFFERENTIATION_NTAR_ID,0))</f>
        <v/>
      </c>
      <c r="H5" s="2024"/>
      <c r="I5" s="1898"/>
      <c r="J5" s="1932"/>
      <c r="K5" s="1937"/>
      <c r="L5" s="2024" t="s">
        <v>306</v>
      </c>
      <c r="M5" s="2035"/>
      <c r="N5" s="488"/>
      <c r="O5" s="1783"/>
      <c r="P5" s="1783"/>
    </row>
    <row s="8849" customFormat="1" customHeight="1" ht="18.75" hidden="1">
      <c r="A6" s="1939"/>
      <c r="B6" s="1939"/>
      <c r="C6" s="523" t="s">
        <v>1064</v>
      </c>
      <c r="D6" s="498"/>
      <c r="E6" s="1186"/>
      <c r="F6" s="1186"/>
      <c r="G6" s="2482"/>
      <c r="H6" s="1659"/>
      <c r="I6" s="805" t="s">
        <v>1063</v>
      </c>
      <c r="J6" s="725"/>
      <c r="K6" s="1659"/>
      <c r="L6" s="368"/>
      <c r="M6" s="2035"/>
      <c r="N6" s="488"/>
      <c r="O6" s="1783"/>
      <c r="P6" s="1783"/>
    </row>
    <row s="8849" customFormat="1" customHeight="1" ht="14.25" hidden="1">
      <c r="A7" s="1938"/>
      <c r="B7" s="1938"/>
      <c r="C7" s="523"/>
      <c r="D7" s="498"/>
      <c r="N7" s="1795">
        <f>_xlfn.IFERROR(MATCH("метод экономически обоснованных расходов (затрат)",OFFER_METHOD,0),0)</f>
        <v>0</v>
      </c>
      <c r="O7" s="1783"/>
      <c r="P7" s="1783"/>
      <c r="T7" s="985"/>
      <c r="AG7" s="409"/>
    </row>
    <row s="8849" customFormat="1" customHeight="1" ht="56.25" hidden="1">
      <c r="A8" s="1939"/>
      <c r="B8" s="1939"/>
      <c r="C8" s="523"/>
      <c r="D8" s="498"/>
      <c r="E8" s="1186"/>
      <c r="F8" s="1186"/>
      <c r="G8" s="1186"/>
      <c r="H8" s="1930"/>
      <c r="I8" s="1898"/>
      <c r="J8" s="1932"/>
      <c r="K8" s="2025"/>
      <c r="L8" s="1930" t="s">
        <v>306</v>
      </c>
      <c r="M8" s="2035"/>
      <c r="N8" s="488"/>
      <c r="O8" s="1783"/>
      <c r="P8" s="1783"/>
    </row>
    <row customHeight="1" ht="14.25" hidden="1">
      <c r="T9" s="551"/>
      <c r="AG9" s="409"/>
    </row>
    <row s="8849" customFormat="1" customHeight="1" ht="56.25" hidden="1">
      <c r="A10" s="1939"/>
      <c r="B10" s="1939"/>
      <c r="C10" s="523"/>
      <c r="D10" s="498"/>
      <c r="E10" s="1186"/>
      <c r="F10" s="1186"/>
      <c r="G10" s="1186"/>
      <c r="H10" s="1929"/>
      <c r="I10" s="1898"/>
      <c r="J10" s="1932"/>
      <c r="K10" s="1937"/>
      <c r="L10" s="1930" t="s">
        <v>306</v>
      </c>
      <c r="M10" s="2035"/>
      <c r="N10" s="488"/>
      <c r="O10" s="1783"/>
      <c r="P10" s="1783"/>
    </row>
    <row customHeight="1" ht="14.25" hidden="1"/>
    <row customHeight="1" ht="14.25" hidden="1"/>
    <row customHeight="1" ht="6">
      <c r="D13" s="530"/>
      <c r="E13" s="517"/>
      <c r="F13" s="517"/>
      <c r="G13" s="517"/>
      <c r="H13" s="517"/>
      <c r="I13" s="517"/>
      <c r="J13" s="517"/>
      <c r="K13" s="517"/>
      <c r="L13" s="239"/>
      <c r="M13" s="239"/>
    </row>
    <row customHeight="1" ht="14.25">
      <c r="D14" s="530"/>
      <c r="E14" s="2521" t="str">
        <f>"Форма "&amp;IF(TEMPLATE_SPHERE="HEAT","18","12")&amp;". Информация о предложении "&amp;IF(TEMPLATE_SPHERE="HEAT","регулируемой организации","организации "&amp;TEMPLATE_SPHERE_RUS)&amp;" об установлении "&amp;IF(TEMPLATE_SPHERE="HEAT","цен (тарифов)","тарифов")&amp;" в сфере "&amp;TEMPLATE_SPHERE_RUS&amp;" на очередной"&amp;IF(TEMPLATE_SPHERE="HEAT"," расчетный","")&amp;" период регулирования"</f>
        <v>Форма 12. Информация о предложении организации горячего водоснабжения об установлении тарифов в сфере горячего водоснабжения на очередной период регулирования</v>
      </c>
      <c r="F14" s="2521"/>
      <c r="G14" s="2521"/>
      <c r="H14" s="2521"/>
      <c r="I14" s="2521"/>
      <c r="J14" s="2521"/>
      <c r="K14" s="2521"/>
      <c r="L14" s="2521"/>
      <c r="M14" s="374"/>
    </row>
    <row customHeight="1" ht="6">
      <c r="D15" s="530"/>
      <c r="E15" s="517"/>
      <c r="F15" s="543"/>
      <c r="G15" s="543"/>
      <c r="H15" s="543"/>
      <c r="I15" s="543"/>
      <c r="J15" s="543"/>
      <c r="K15" s="543"/>
      <c r="L15" s="476"/>
      <c r="M15" s="347"/>
    </row>
    <row customHeight="1" ht="18.75">
      <c r="D16" s="530"/>
      <c r="E16" s="517"/>
      <c r="F16" s="459" t="str">
        <f>"Дата подачи заявления об "&amp;IF(TITLE_DATE_PR_CHANGE="","утверждении","изменении")&amp;" тарифов"</f>
        <v>Дата подачи заявления об утверждении тарифов</v>
      </c>
      <c r="G16" s="2312" t="str">
        <f>IF(TITLE_DATE_PR_CHANGE="",IF(TITLE_DATE_PR="","",TITLE_DATE_PR),TITLE_DATE_PR_CHANGE)</f>
        <v>45279</v>
      </c>
      <c r="H16" s="2312"/>
      <c r="I16" s="2312"/>
      <c r="J16" s="2312"/>
      <c r="K16" s="2312"/>
      <c r="L16" s="2312"/>
      <c r="M16" s="552"/>
      <c r="N16" s="480"/>
    </row>
    <row customHeight="1" ht="18.75">
      <c r="D17" s="530"/>
      <c r="E17" s="517"/>
      <c r="F17" s="459" t="str">
        <f>"Номер подачи заявления об "&amp;IF(TITLE_DATE_PR_CHANGE="","утверждении","изменении")&amp;" тарифов"</f>
        <v>Номер подачи заявления об утверждении тарифов</v>
      </c>
      <c r="G17" s="2313" t="str">
        <f>IF(TITLE_NUMBER_PR_CHANGE="",IF(TITLE_NUMBER_PR="","",TITLE_NUMBER_PR),TITLE_NUMBER_PR_CHANGE)</f>
        <v>877</v>
      </c>
      <c r="H17" s="2313"/>
      <c r="I17" s="2313"/>
      <c r="J17" s="2313"/>
      <c r="K17" s="2313"/>
      <c r="L17" s="2313"/>
      <c r="M17" s="552"/>
      <c r="N17" s="480"/>
    </row>
    <row customHeight="1" ht="14.25">
      <c r="D18" s="530"/>
      <c r="E18" s="517"/>
      <c r="F18" s="543"/>
      <c r="G18" s="543"/>
      <c r="H18" s="543"/>
      <c r="I18" s="543"/>
      <c r="J18" s="543"/>
      <c r="K18" s="543"/>
      <c r="L18" s="906"/>
      <c r="M18" s="347"/>
    </row>
    <row customHeight="1" ht="21">
      <c r="D19" s="530"/>
      <c r="E19" s="2275" t="s">
        <v>300</v>
      </c>
      <c r="F19" s="2275"/>
      <c r="G19" s="2275"/>
      <c r="H19" s="2275"/>
      <c r="I19" s="2275"/>
      <c r="J19" s="2275"/>
      <c r="K19" s="2275"/>
      <c r="L19" s="2275"/>
      <c r="M19" s="2518" t="s">
        <v>301</v>
      </c>
    </row>
    <row customHeight="1" ht="21">
      <c r="D20" s="530"/>
      <c r="E20" s="2342" t="s">
        <v>85</v>
      </c>
      <c r="F20" s="2286" t="s">
        <v>119</v>
      </c>
      <c r="G20" s="2286" t="s">
        <v>120</v>
      </c>
      <c r="H20" s="2486" t="s">
        <v>1065</v>
      </c>
      <c r="I20" s="2490"/>
      <c r="J20" s="2487"/>
      <c r="K20" s="2286" t="s">
        <v>303</v>
      </c>
      <c r="L20" s="2286" t="s">
        <v>390</v>
      </c>
      <c r="M20" s="2518"/>
    </row>
    <row customHeight="1" ht="21">
      <c r="D21" s="530"/>
      <c r="E21" s="2344"/>
      <c r="F21" s="2287"/>
      <c r="G21" s="2287"/>
      <c r="H21" s="2281" t="s">
        <v>1066</v>
      </c>
      <c r="I21" s="2297"/>
      <c r="J21" s="263" t="s">
        <v>1067</v>
      </c>
      <c r="K21" s="2287"/>
      <c r="L21" s="2287"/>
      <c r="M21" s="2518"/>
    </row>
    <row customHeight="1" ht="12">
      <c r="D22" s="530"/>
      <c r="E22" s="435"/>
      <c r="F22" s="435"/>
      <c r="G22" s="435"/>
      <c r="H22" s="2523"/>
      <c r="I22" s="2523"/>
      <c r="J22" s="435"/>
      <c r="K22" s="435"/>
      <c r="L22" s="435"/>
      <c r="M22" s="435"/>
    </row>
    <row customHeight="1" ht="18.75">
      <c r="A23" s="1939"/>
      <c r="B23" s="1939"/>
      <c r="D23" s="530"/>
      <c r="E23" s="2026" t="s">
        <v>106</v>
      </c>
      <c r="F23" s="2524" t="str">
        <f>"Предлагаемый метод регулирования"&amp;IF(TEMPLATE_SPHERE="HEAT"," в сфере "&amp;TEMPLATE_SPHERE_RUS,"")</f>
        <v>Предлагаемый метод регулирования</v>
      </c>
      <c r="G23" s="2525"/>
      <c r="H23" s="2520"/>
      <c r="I23" s="2520"/>
      <c r="J23" s="2520"/>
      <c r="K23" s="2525" t="s">
        <v>306</v>
      </c>
      <c r="L23" s="2520"/>
      <c r="M23" s="1928"/>
      <c r="N23" s="488"/>
    </row>
    <row customHeight="1" ht="60.75" hidden="1">
      <c r="A24" s="1939" t="s">
        <v>152</v>
      </c>
      <c r="B24" s="1939" t="s">
        <v>153</v>
      </c>
      <c r="D24" s="2522"/>
      <c r="E24" s="2270"/>
      <c r="F24" s="2526" t="str">
        <f>INDEX(PT_DIFFERENTIATION_VTAR,MATCH(A24,PT_DIFFERENTIATION_VTAR_ID,0))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4" s="2482" t="str">
        <f>INDEX(PT_DIFFERENTIATION_NTAR,MATCH(B24,PT_DIFFERENTIATION_NTAR_ID,0))</f>
        <v/>
      </c>
      <c r="H24" s="2022"/>
      <c r="I24" s="1898"/>
      <c r="J24" s="1932"/>
      <c r="K24" s="2025"/>
      <c r="L24" s="1927" t="s">
        <v>306</v>
      </c>
      <c r="M24" s="2229"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"&amp;"Значение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"&amp;"Даты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f>
        <v>Значение в колонке «Вид тарифа» выбирается из перечня видов тарифов в сфере горячего водоснабжения, предусмотренных законодательством в сфере водоснабжения и водоотведения.
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v>
      </c>
      <c r="N24" s="488"/>
    </row>
    <row s="8849" customFormat="1" customHeight="1" ht="18.75" hidden="1">
      <c r="A25" s="1939"/>
      <c r="B25" s="1939"/>
      <c r="C25" s="523" t="s">
        <v>1062</v>
      </c>
      <c r="D25" s="2522"/>
      <c r="E25" s="2270"/>
      <c r="F25" s="2526"/>
      <c r="G25" s="2482"/>
      <c r="H25" s="1659"/>
      <c r="I25" s="805" t="s">
        <v>1063</v>
      </c>
      <c r="J25" s="725"/>
      <c r="K25" s="1659"/>
      <c r="L25" s="368"/>
      <c r="M25" s="2230"/>
      <c r="N25" s="488"/>
      <c r="O25" s="1783"/>
      <c r="P25" s="1783"/>
    </row>
    <row customHeight="1" ht="0.75" hidden="1">
      <c r="A26" s="1939"/>
      <c r="B26" s="1939"/>
      <c r="C26" s="523" t="s">
        <v>1068</v>
      </c>
      <c r="D26" s="2522"/>
      <c r="E26" s="2270"/>
      <c r="F26" s="2436"/>
      <c r="G26" s="554"/>
      <c r="H26" s="1659"/>
      <c r="I26" s="549"/>
      <c r="J26" s="503"/>
      <c r="K26" s="1659"/>
      <c r="L26" s="355"/>
      <c r="M26" s="2230"/>
      <c r="N26" s="488"/>
    </row>
    <row s="8849" customFormat="1" customHeight="1" ht="45" hidden="1">
      <c r="A27" s="1939" t="s">
        <v>158</v>
      </c>
      <c r="B27" s="1939" t="s">
        <v>159</v>
      </c>
      <c r="C27" s="523"/>
      <c r="D27" s="2527"/>
      <c r="E27" s="2528"/>
      <c r="F27" s="2529" t="str">
        <f>INDEX(PT_DIFFERENTIATION_VTAR,MATCH(A27,PT_DIFFERENTIATION_VTAR_ID,0))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G27" s="2482" t="str">
        <f>INDEX(PT_DIFFERENTIATION_NTAR,MATCH(B27,PT_DIFFERENTIATION_NTAR_ID,0))</f>
        <v/>
      </c>
      <c r="H27" s="2022"/>
      <c r="I27" s="1898"/>
      <c r="J27" s="1932"/>
      <c r="K27" s="2025"/>
      <c r="L27" s="2022" t="s">
        <v>306</v>
      </c>
      <c r="M27" s="2230"/>
      <c r="N27" s="488"/>
      <c r="O27" s="1783"/>
      <c r="P27" s="1783"/>
    </row>
    <row s="8849" customFormat="1" customHeight="1" ht="18.75" hidden="1">
      <c r="A28" s="1939"/>
      <c r="B28" s="1939"/>
      <c r="C28" s="523" t="s">
        <v>1062</v>
      </c>
      <c r="D28" s="2527"/>
      <c r="E28" s="2528"/>
      <c r="F28" s="2529"/>
      <c r="G28" s="2482"/>
      <c r="H28" s="1659"/>
      <c r="I28" s="805" t="s">
        <v>1063</v>
      </c>
      <c r="J28" s="725"/>
      <c r="K28" s="1659"/>
      <c r="L28" s="368"/>
      <c r="M28" s="2230"/>
      <c r="N28" s="488"/>
      <c r="O28" s="1783"/>
      <c r="P28" s="1783"/>
    </row>
    <row s="8849" customFormat="1" customHeight="1" ht="0.75" hidden="1">
      <c r="A29" s="1939"/>
      <c r="B29" s="1939"/>
      <c r="C29" s="523" t="s">
        <v>1068</v>
      </c>
      <c r="D29" s="2527"/>
      <c r="E29" s="2270"/>
      <c r="F29" s="2436"/>
      <c r="G29" s="554"/>
      <c r="H29" s="1659"/>
      <c r="I29" s="805"/>
      <c r="J29" s="725"/>
      <c r="K29" s="1659"/>
      <c r="L29" s="368"/>
      <c r="M29" s="2230"/>
      <c r="N29" s="488"/>
      <c r="O29" s="1783"/>
      <c r="P29" s="1783"/>
    </row>
    <row s="8849" customFormat="1" customHeight="1" ht="45" hidden="1">
      <c r="A30" s="1939" t="s">
        <v>164</v>
      </c>
      <c r="B30" s="1939" t="s">
        <v>165</v>
      </c>
      <c r="C30" s="523"/>
      <c r="D30" s="2527"/>
      <c r="E30" s="2270"/>
      <c r="F30" s="2436" t="str">
        <f>INDEX(PT_DIFFERENTIATION_VTAR,MATCH(A30,PT_DIFFERENTIATION_VTAR_ID,0))</f>
        <v>Тарифы на теплоноситель, поставляемый теплоснабжающими организациями потребителям, другим теплоснабжающим организациям</v>
      </c>
      <c r="G30" s="2482" t="str">
        <f>INDEX(PT_DIFFERENTIATION_NTAR,MATCH(B30,PT_DIFFERENTIATION_NTAR_ID,0))</f>
        <v/>
      </c>
      <c r="H30" s="2022"/>
      <c r="I30" s="1898"/>
      <c r="J30" s="1932"/>
      <c r="K30" s="2025"/>
      <c r="L30" s="2022" t="s">
        <v>306</v>
      </c>
      <c r="M30" s="2230"/>
      <c r="N30" s="488"/>
      <c r="O30" s="1783"/>
      <c r="P30" s="1783"/>
    </row>
    <row s="8849" customFormat="1" customHeight="1" ht="18.75" hidden="1">
      <c r="A31" s="1939"/>
      <c r="B31" s="1939"/>
      <c r="C31" s="523" t="s">
        <v>1062</v>
      </c>
      <c r="D31" s="2527"/>
      <c r="E31" s="2270"/>
      <c r="F31" s="2436"/>
      <c r="G31" s="2482"/>
      <c r="H31" s="1659"/>
      <c r="I31" s="805" t="s">
        <v>1063</v>
      </c>
      <c r="J31" s="725"/>
      <c r="K31" s="1659"/>
      <c r="L31" s="368"/>
      <c r="M31" s="2230"/>
      <c r="N31" s="488"/>
      <c r="O31" s="1783"/>
      <c r="P31" s="1783"/>
    </row>
    <row s="8849" customFormat="1" customHeight="1" ht="0.75" hidden="1">
      <c r="A32" s="1939"/>
      <c r="B32" s="1939"/>
      <c r="C32" s="523" t="s">
        <v>1068</v>
      </c>
      <c r="D32" s="2527"/>
      <c r="E32" s="2270"/>
      <c r="F32" s="2436"/>
      <c r="G32" s="554"/>
      <c r="H32" s="1659"/>
      <c r="I32" s="805"/>
      <c r="J32" s="725"/>
      <c r="K32" s="1659"/>
      <c r="L32" s="368"/>
      <c r="M32" s="2230"/>
      <c r="N32" s="488"/>
      <c r="O32" s="1783"/>
      <c r="P32" s="1783"/>
    </row>
    <row s="8849" customFormat="1" customHeight="1" ht="45" hidden="1">
      <c r="A33" s="1939" t="s">
        <v>170</v>
      </c>
      <c r="B33" s="1939" t="s">
        <v>171</v>
      </c>
      <c r="C33" s="523"/>
      <c r="D33" s="2527"/>
      <c r="E33" s="2270"/>
      <c r="F33" s="2436" t="str">
        <f>INDEX(PT_DIFFERENTIATION_VTAR,MATCH(A33,PT_DIFFERENTIATION_VTAR_ID,0))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33" s="2482" t="str">
        <f>INDEX(PT_DIFFERENTIATION_NTAR,MATCH(B33,PT_DIFFERENTIATION_NTAR_ID,0))</f>
        <v/>
      </c>
      <c r="H33" s="2022"/>
      <c r="I33" s="1898"/>
      <c r="J33" s="1932"/>
      <c r="K33" s="2025"/>
      <c r="L33" s="2022" t="s">
        <v>306</v>
      </c>
      <c r="M33" s="2230"/>
      <c r="N33" s="488"/>
      <c r="O33" s="1783"/>
      <c r="P33" s="1783"/>
    </row>
    <row s="8849" customFormat="1" customHeight="1" ht="18.75" hidden="1">
      <c r="A34" s="1939"/>
      <c r="B34" s="1939"/>
      <c r="C34" s="523" t="s">
        <v>1062</v>
      </c>
      <c r="D34" s="2527"/>
      <c r="E34" s="2270"/>
      <c r="F34" s="2436"/>
      <c r="G34" s="2482"/>
      <c r="H34" s="1659"/>
      <c r="I34" s="805" t="s">
        <v>1063</v>
      </c>
      <c r="J34" s="725"/>
      <c r="K34" s="1659"/>
      <c r="L34" s="368"/>
      <c r="M34" s="2230"/>
      <c r="N34" s="488"/>
      <c r="O34" s="1783"/>
      <c r="P34" s="1783"/>
    </row>
    <row s="8849" customFormat="1" customHeight="1" ht="0.75" hidden="1">
      <c r="A35" s="1939"/>
      <c r="B35" s="1939"/>
      <c r="C35" s="523" t="s">
        <v>1068</v>
      </c>
      <c r="D35" s="2527"/>
      <c r="E35" s="2270"/>
      <c r="F35" s="2436"/>
      <c r="G35" s="554"/>
      <c r="H35" s="1659"/>
      <c r="I35" s="805"/>
      <c r="J35" s="725"/>
      <c r="K35" s="1659"/>
      <c r="L35" s="368"/>
      <c r="M35" s="2230"/>
      <c r="N35" s="488"/>
      <c r="O35" s="1783"/>
      <c r="P35" s="1783"/>
    </row>
    <row s="8849" customFormat="1" customHeight="1" ht="18.75" hidden="1">
      <c r="A36" s="1939" t="s">
        <v>176</v>
      </c>
      <c r="B36" s="1939" t="s">
        <v>177</v>
      </c>
      <c r="C36" s="523"/>
      <c r="D36" s="2527"/>
      <c r="E36" s="2270"/>
      <c r="F36" s="2436" t="str">
        <f>INDEX(PT_DIFFERENTIATION_VTAR,MATCH(A36,PT_DIFFERENTIATION_VTAR_ID,0))</f>
        <v>Тарифы на услуги по передаче тепловой энергии</v>
      </c>
      <c r="G36" s="2482" t="str">
        <f>INDEX(PT_DIFFERENTIATION_NTAR,MATCH(B36,PT_DIFFERENTIATION_NTAR_ID,0))</f>
        <v/>
      </c>
      <c r="H36" s="2022"/>
      <c r="I36" s="1898"/>
      <c r="J36" s="1932"/>
      <c r="K36" s="2025"/>
      <c r="L36" s="2022" t="s">
        <v>306</v>
      </c>
      <c r="M36" s="2230"/>
      <c r="N36" s="488"/>
      <c r="O36" s="1783"/>
      <c r="P36" s="1783"/>
    </row>
    <row s="8849" customFormat="1" customHeight="1" ht="18.75" hidden="1">
      <c r="A37" s="1939"/>
      <c r="B37" s="1939"/>
      <c r="C37" s="523" t="s">
        <v>1062</v>
      </c>
      <c r="D37" s="2527"/>
      <c r="E37" s="2270"/>
      <c r="F37" s="2436"/>
      <c r="G37" s="2482"/>
      <c r="H37" s="1659"/>
      <c r="I37" s="805" t="s">
        <v>1063</v>
      </c>
      <c r="J37" s="725"/>
      <c r="K37" s="1659"/>
      <c r="L37" s="368"/>
      <c r="M37" s="2230"/>
      <c r="N37" s="488"/>
      <c r="O37" s="1783"/>
      <c r="P37" s="1783"/>
    </row>
    <row s="8849" customFormat="1" customHeight="1" ht="0.75" hidden="1">
      <c r="A38" s="1939"/>
      <c r="B38" s="1939"/>
      <c r="C38" s="523" t="s">
        <v>1068</v>
      </c>
      <c r="D38" s="2527"/>
      <c r="E38" s="2270"/>
      <c r="F38" s="2436"/>
      <c r="G38" s="554"/>
      <c r="H38" s="1659"/>
      <c r="I38" s="805"/>
      <c r="J38" s="725"/>
      <c r="K38" s="1659"/>
      <c r="L38" s="368"/>
      <c r="M38" s="2230"/>
      <c r="N38" s="488"/>
      <c r="O38" s="1783"/>
      <c r="P38" s="1783"/>
    </row>
    <row s="8849" customFormat="1" customHeight="1" ht="18.75" hidden="1">
      <c r="A39" s="1939" t="s">
        <v>182</v>
      </c>
      <c r="B39" s="1939" t="s">
        <v>183</v>
      </c>
      <c r="C39" s="523"/>
      <c r="D39" s="2527"/>
      <c r="E39" s="2270"/>
      <c r="F39" s="2436" t="str">
        <f>INDEX(PT_DIFFERENTIATION_VTAR,MATCH(A39,PT_DIFFERENTIATION_VTAR_ID,0))</f>
        <v>Тарифы на услуги по передаче теплоносителя</v>
      </c>
      <c r="G39" s="2482" t="str">
        <f>INDEX(PT_DIFFERENTIATION_NTAR,MATCH(B39,PT_DIFFERENTIATION_NTAR_ID,0))</f>
        <v/>
      </c>
      <c r="H39" s="2022"/>
      <c r="I39" s="1898"/>
      <c r="J39" s="1932"/>
      <c r="K39" s="2025"/>
      <c r="L39" s="2022" t="s">
        <v>306</v>
      </c>
      <c r="M39" s="2230"/>
      <c r="N39" s="488"/>
      <c r="O39" s="1783"/>
      <c r="P39" s="1783"/>
    </row>
    <row s="8849" customFormat="1" customHeight="1" ht="18.75" hidden="1">
      <c r="A40" s="1939"/>
      <c r="B40" s="1939"/>
      <c r="C40" s="523" t="s">
        <v>1062</v>
      </c>
      <c r="D40" s="2527"/>
      <c r="E40" s="2270"/>
      <c r="F40" s="2436"/>
      <c r="G40" s="2482"/>
      <c r="H40" s="1659"/>
      <c r="I40" s="805" t="s">
        <v>1063</v>
      </c>
      <c r="J40" s="725"/>
      <c r="K40" s="1659"/>
      <c r="L40" s="368"/>
      <c r="M40" s="2230"/>
      <c r="N40" s="488"/>
      <c r="O40" s="1783"/>
      <c r="P40" s="1783"/>
    </row>
    <row s="8849" customFormat="1" customHeight="1" ht="0.75" hidden="1">
      <c r="A41" s="1939"/>
      <c r="B41" s="1939"/>
      <c r="C41" s="523" t="s">
        <v>1068</v>
      </c>
      <c r="D41" s="2527"/>
      <c r="E41" s="2270"/>
      <c r="F41" s="2436"/>
      <c r="G41" s="554"/>
      <c r="H41" s="1659"/>
      <c r="I41" s="805"/>
      <c r="J41" s="725"/>
      <c r="K41" s="1659"/>
      <c r="L41" s="368"/>
      <c r="M41" s="2230"/>
      <c r="N41" s="488"/>
      <c r="O41" s="1783"/>
      <c r="P41" s="1783"/>
    </row>
    <row s="8849" customFormat="1" customHeight="1" ht="18.75" hidden="1">
      <c r="A42" s="1939" t="s">
        <v>188</v>
      </c>
      <c r="B42" s="1939" t="s">
        <v>189</v>
      </c>
      <c r="C42" s="523"/>
      <c r="D42" s="2527"/>
      <c r="E42" s="2270"/>
      <c r="F42" s="2436" t="str">
        <f>INDEX(PT_DIFFERENTIATION_VTAR,MATCH(A42,PT_DIFFERENTIATION_VTAR_ID,0))</f>
        <v>Плата за услуги по поддержанию резервной тепловой мощности при отсутствии потребления тепловой энергии</v>
      </c>
      <c r="G42" s="2482" t="str">
        <f>INDEX(PT_DIFFERENTIATION_NTAR,MATCH(B42,PT_DIFFERENTIATION_NTAR_ID,0))</f>
        <v/>
      </c>
      <c r="H42" s="2022"/>
      <c r="I42" s="1898"/>
      <c r="J42" s="1932"/>
      <c r="K42" s="2025"/>
      <c r="L42" s="2022" t="s">
        <v>306</v>
      </c>
      <c r="M42" s="2230"/>
      <c r="N42" s="488"/>
      <c r="O42" s="1783"/>
      <c r="P42" s="1783"/>
    </row>
    <row s="8849" customFormat="1" customHeight="1" ht="18.75" hidden="1">
      <c r="A43" s="1939"/>
      <c r="B43" s="1939"/>
      <c r="C43" s="523" t="s">
        <v>1062</v>
      </c>
      <c r="D43" s="2527"/>
      <c r="E43" s="2270"/>
      <c r="F43" s="2436"/>
      <c r="G43" s="2482"/>
      <c r="H43" s="1659"/>
      <c r="I43" s="805" t="s">
        <v>1063</v>
      </c>
      <c r="J43" s="725"/>
      <c r="K43" s="1659"/>
      <c r="L43" s="368"/>
      <c r="M43" s="2230"/>
      <c r="N43" s="488"/>
      <c r="O43" s="1783"/>
      <c r="P43" s="1783"/>
    </row>
    <row s="8849" customFormat="1" customHeight="1" ht="0.75" hidden="1">
      <c r="A44" s="1939"/>
      <c r="B44" s="1939"/>
      <c r="C44" s="523" t="s">
        <v>1068</v>
      </c>
      <c r="D44" s="2527"/>
      <c r="E44" s="2270"/>
      <c r="F44" s="2436"/>
      <c r="G44" s="554"/>
      <c r="H44" s="1659"/>
      <c r="I44" s="805"/>
      <c r="J44" s="725"/>
      <c r="K44" s="1659"/>
      <c r="L44" s="368"/>
      <c r="M44" s="2230"/>
      <c r="N44" s="488"/>
      <c r="O44" s="1783"/>
      <c r="P44" s="1783"/>
    </row>
    <row s="8849" customFormat="1" customHeight="1" ht="18.75" hidden="1">
      <c r="A45" s="1939" t="s">
        <v>194</v>
      </c>
      <c r="B45" s="1939" t="s">
        <v>195</v>
      </c>
      <c r="C45" s="523"/>
      <c r="D45" s="2527"/>
      <c r="E45" s="2270"/>
      <c r="F45" s="2436" t="str">
        <f>INDEX(PT_DIFFERENTIATION_VTAR,MATCH(A45,PT_DIFFERENTIATION_VTAR_ID,0))</f>
        <v>Плата за подключение (технологическое присоединение) к системе теплоснабжения</v>
      </c>
      <c r="G45" s="2482" t="str">
        <f>INDEX(PT_DIFFERENTIATION_NTAR,MATCH(B45,PT_DIFFERENTIATION_NTAR_ID,0))</f>
        <v/>
      </c>
      <c r="H45" s="2022"/>
      <c r="I45" s="1898"/>
      <c r="J45" s="1932"/>
      <c r="K45" s="2025"/>
      <c r="L45" s="2022" t="s">
        <v>306</v>
      </c>
      <c r="M45" s="2230"/>
      <c r="N45" s="488"/>
      <c r="O45" s="1783"/>
      <c r="P45" s="1783"/>
    </row>
    <row s="8849" customFormat="1" customHeight="1" ht="18.75" hidden="1">
      <c r="A46" s="1939"/>
      <c r="B46" s="1939"/>
      <c r="C46" s="523" t="s">
        <v>1062</v>
      </c>
      <c r="D46" s="2527"/>
      <c r="E46" s="2270"/>
      <c r="F46" s="2436"/>
      <c r="G46" s="2482"/>
      <c r="H46" s="1659"/>
      <c r="I46" s="805" t="s">
        <v>1063</v>
      </c>
      <c r="J46" s="725"/>
      <c r="K46" s="1659"/>
      <c r="L46" s="368"/>
      <c r="M46" s="2230"/>
      <c r="N46" s="488"/>
      <c r="O46" s="1783"/>
      <c r="P46" s="1783"/>
    </row>
    <row s="8849" customFormat="1" customHeight="1" ht="0.75" hidden="1">
      <c r="A47" s="1939"/>
      <c r="B47" s="1939"/>
      <c r="C47" s="523" t="s">
        <v>1068</v>
      </c>
      <c r="D47" s="2527"/>
      <c r="E47" s="2270"/>
      <c r="F47" s="2436"/>
      <c r="G47" s="554"/>
      <c r="H47" s="1659"/>
      <c r="I47" s="805"/>
      <c r="J47" s="725"/>
      <c r="K47" s="1659"/>
      <c r="L47" s="368"/>
      <c r="M47" s="2230"/>
      <c r="N47" s="488"/>
      <c r="O47" s="1783"/>
      <c r="P47" s="1783"/>
    </row>
    <row s="8849" customFormat="1" customHeight="1" ht="18.75" hidden="1">
      <c r="A48" s="1939" t="s">
        <v>220</v>
      </c>
      <c r="B48" s="1939" t="s">
        <v>221</v>
      </c>
      <c r="C48" s="523"/>
      <c r="D48" s="2527"/>
      <c r="E48" s="2270"/>
      <c r="F48" s="2436" t="str">
        <f>INDEX(PT_DIFFERENTIATION_VTAR,MATCH(A48,PT_DIFFERENTIATION_VTAR_ID,0))</f>
        <v>Тариф на питьевую воду (питьевое водоснабжение)</v>
      </c>
      <c r="G48" s="2482" t="str">
        <f>INDEX(PT_DIFFERENTIATION_NTAR,MATCH(B48,PT_DIFFERENTIATION_NTAR_ID,0))</f>
        <v/>
      </c>
      <c r="H48" s="2022"/>
      <c r="I48" s="1898"/>
      <c r="J48" s="1932"/>
      <c r="K48" s="2025"/>
      <c r="L48" s="2022" t="s">
        <v>306</v>
      </c>
      <c r="M48" s="2230"/>
      <c r="N48" s="488"/>
      <c r="O48" s="1783"/>
      <c r="P48" s="1783"/>
    </row>
    <row s="8849" customFormat="1" customHeight="1" ht="18.75" hidden="1">
      <c r="A49" s="1939"/>
      <c r="B49" s="1939"/>
      <c r="C49" s="523" t="s">
        <v>1062</v>
      </c>
      <c r="D49" s="2527"/>
      <c r="E49" s="2270"/>
      <c r="F49" s="2436"/>
      <c r="G49" s="2482"/>
      <c r="H49" s="1659"/>
      <c r="I49" s="805" t="s">
        <v>1063</v>
      </c>
      <c r="J49" s="725"/>
      <c r="K49" s="1659"/>
      <c r="L49" s="368"/>
      <c r="M49" s="2230"/>
      <c r="N49" s="488"/>
      <c r="O49" s="1783"/>
      <c r="P49" s="1783"/>
    </row>
    <row s="8849" customFormat="1" customHeight="1" ht="0.75" hidden="1">
      <c r="A50" s="1939"/>
      <c r="B50" s="1939"/>
      <c r="C50" s="523" t="s">
        <v>1068</v>
      </c>
      <c r="D50" s="2527"/>
      <c r="E50" s="2270"/>
      <c r="F50" s="2436"/>
      <c r="G50" s="554"/>
      <c r="H50" s="1659"/>
      <c r="I50" s="805"/>
      <c r="J50" s="725"/>
      <c r="K50" s="1659"/>
      <c r="L50" s="368"/>
      <c r="M50" s="2230"/>
      <c r="N50" s="488"/>
      <c r="O50" s="1783"/>
      <c r="P50" s="1783"/>
    </row>
    <row s="8849" customFormat="1" customHeight="1" ht="18.75" hidden="1">
      <c r="A51" s="1939" t="s">
        <v>225</v>
      </c>
      <c r="B51" s="1939" t="s">
        <v>226</v>
      </c>
      <c r="C51" s="523"/>
      <c r="D51" s="2527"/>
      <c r="E51" s="2270"/>
      <c r="F51" s="2436" t="str">
        <f>INDEX(PT_DIFFERENTIATION_VTAR,MATCH(A51,PT_DIFFERENTIATION_VTAR_ID,0))</f>
        <v>Тариф на техническую воду</v>
      </c>
      <c r="G51" s="2482" t="str">
        <f>INDEX(PT_DIFFERENTIATION_NTAR,MATCH(B51,PT_DIFFERENTIATION_NTAR_ID,0))</f>
        <v/>
      </c>
      <c r="H51" s="2022"/>
      <c r="I51" s="1898"/>
      <c r="J51" s="1932"/>
      <c r="K51" s="2025"/>
      <c r="L51" s="2022" t="s">
        <v>306</v>
      </c>
      <c r="M51" s="2230"/>
      <c r="N51" s="488"/>
      <c r="O51" s="1783"/>
      <c r="P51" s="1783"/>
    </row>
    <row s="8849" customFormat="1" customHeight="1" ht="18.75" hidden="1">
      <c r="A52" s="1939"/>
      <c r="B52" s="1939"/>
      <c r="C52" s="523" t="s">
        <v>1062</v>
      </c>
      <c r="D52" s="2527"/>
      <c r="E52" s="2270"/>
      <c r="F52" s="2436"/>
      <c r="G52" s="2482"/>
      <c r="H52" s="1659"/>
      <c r="I52" s="805" t="s">
        <v>1063</v>
      </c>
      <c r="J52" s="725"/>
      <c r="K52" s="1659"/>
      <c r="L52" s="368"/>
      <c r="M52" s="2230"/>
      <c r="N52" s="488"/>
      <c r="O52" s="1783"/>
      <c r="P52" s="1783"/>
    </row>
    <row s="8849" customFormat="1" customHeight="1" ht="0.75" hidden="1">
      <c r="A53" s="1939"/>
      <c r="B53" s="1939"/>
      <c r="C53" s="523" t="s">
        <v>1068</v>
      </c>
      <c r="D53" s="2527"/>
      <c r="E53" s="2270"/>
      <c r="F53" s="2436"/>
      <c r="G53" s="554"/>
      <c r="H53" s="1659"/>
      <c r="I53" s="805"/>
      <c r="J53" s="725"/>
      <c r="K53" s="1659"/>
      <c r="L53" s="368"/>
      <c r="M53" s="2230"/>
      <c r="N53" s="488"/>
      <c r="O53" s="1783"/>
      <c r="P53" s="1783"/>
    </row>
    <row s="8849" customFormat="1" customHeight="1" ht="18.75" hidden="1">
      <c r="A54" s="1939" t="s">
        <v>230</v>
      </c>
      <c r="B54" s="1939" t="s">
        <v>231</v>
      </c>
      <c r="C54" s="523"/>
      <c r="D54" s="2527"/>
      <c r="E54" s="2270"/>
      <c r="F54" s="2436" t="str">
        <f>INDEX(PT_DIFFERENTIATION_VTAR,MATCH(A54,PT_DIFFERENTIATION_VTAR_ID,0))</f>
        <v>Тариф на транспортировку воды</v>
      </c>
      <c r="G54" s="2482" t="str">
        <f>INDEX(PT_DIFFERENTIATION_NTAR,MATCH(B54,PT_DIFFERENTIATION_NTAR_ID,0))</f>
        <v/>
      </c>
      <c r="H54" s="2022"/>
      <c r="I54" s="1898"/>
      <c r="J54" s="1932"/>
      <c r="K54" s="2025"/>
      <c r="L54" s="2022" t="s">
        <v>306</v>
      </c>
      <c r="M54" s="2230"/>
      <c r="N54" s="488"/>
      <c r="O54" s="1783"/>
      <c r="P54" s="1783"/>
    </row>
    <row s="8849" customFormat="1" customHeight="1" ht="18.75" hidden="1">
      <c r="A55" s="1939"/>
      <c r="B55" s="1939"/>
      <c r="C55" s="523" t="s">
        <v>1062</v>
      </c>
      <c r="D55" s="2527"/>
      <c r="E55" s="2270"/>
      <c r="F55" s="2436"/>
      <c r="G55" s="2482"/>
      <c r="H55" s="1659"/>
      <c r="I55" s="805" t="s">
        <v>1063</v>
      </c>
      <c r="J55" s="725"/>
      <c r="K55" s="1659"/>
      <c r="L55" s="368"/>
      <c r="M55" s="2230"/>
      <c r="N55" s="488"/>
      <c r="O55" s="1783"/>
      <c r="P55" s="1783"/>
    </row>
    <row s="8849" customFormat="1" customHeight="1" ht="0.75" hidden="1">
      <c r="A56" s="1939"/>
      <c r="B56" s="1939"/>
      <c r="C56" s="523" t="s">
        <v>1068</v>
      </c>
      <c r="D56" s="2527"/>
      <c r="E56" s="2270"/>
      <c r="F56" s="2436"/>
      <c r="G56" s="554"/>
      <c r="H56" s="1659"/>
      <c r="I56" s="805"/>
      <c r="J56" s="725"/>
      <c r="K56" s="1659"/>
      <c r="L56" s="368"/>
      <c r="M56" s="2230"/>
      <c r="N56" s="488"/>
      <c r="O56" s="1783"/>
      <c r="P56" s="1783"/>
    </row>
    <row s="8849" customFormat="1" customHeight="1" ht="18.75" hidden="1">
      <c r="A57" s="1939" t="s">
        <v>235</v>
      </c>
      <c r="B57" s="1939" t="s">
        <v>236</v>
      </c>
      <c r="C57" s="523"/>
      <c r="D57" s="2527"/>
      <c r="E57" s="2270"/>
      <c r="F57" s="2436" t="str">
        <f>INDEX(PT_DIFFERENTIATION_VTAR,MATCH(A57,PT_DIFFERENTIATION_VTAR_ID,0))</f>
        <v>Тариф на подвоз воды</v>
      </c>
      <c r="G57" s="2482" t="str">
        <f>INDEX(PT_DIFFERENTIATION_NTAR,MATCH(B57,PT_DIFFERENTIATION_NTAR_ID,0))</f>
        <v/>
      </c>
      <c r="H57" s="2022"/>
      <c r="I57" s="1898"/>
      <c r="J57" s="1932"/>
      <c r="K57" s="2025"/>
      <c r="L57" s="2022" t="s">
        <v>306</v>
      </c>
      <c r="M57" s="2230"/>
      <c r="N57" s="488"/>
      <c r="O57" s="1783"/>
      <c r="P57" s="1783"/>
    </row>
    <row s="8849" customFormat="1" customHeight="1" ht="18.75" hidden="1">
      <c r="A58" s="1939"/>
      <c r="B58" s="1939"/>
      <c r="C58" s="523" t="s">
        <v>1062</v>
      </c>
      <c r="D58" s="2527"/>
      <c r="E58" s="2270"/>
      <c r="F58" s="2436"/>
      <c r="G58" s="2482"/>
      <c r="H58" s="1659"/>
      <c r="I58" s="805" t="s">
        <v>1063</v>
      </c>
      <c r="J58" s="725"/>
      <c r="K58" s="1659"/>
      <c r="L58" s="368"/>
      <c r="M58" s="2230"/>
      <c r="N58" s="488"/>
      <c r="O58" s="1783"/>
      <c r="P58" s="1783"/>
    </row>
    <row s="8849" customFormat="1" customHeight="1" ht="0.75" hidden="1">
      <c r="A59" s="1939"/>
      <c r="B59" s="1939"/>
      <c r="C59" s="523" t="s">
        <v>1068</v>
      </c>
      <c r="D59" s="2527"/>
      <c r="E59" s="2270"/>
      <c r="F59" s="2436"/>
      <c r="G59" s="554"/>
      <c r="H59" s="1659"/>
      <c r="I59" s="805"/>
      <c r="J59" s="725"/>
      <c r="K59" s="1659"/>
      <c r="L59" s="368"/>
      <c r="M59" s="2230"/>
      <c r="N59" s="488"/>
      <c r="O59" s="1783"/>
      <c r="P59" s="1783"/>
    </row>
    <row s="8849" customFormat="1" customHeight="1" ht="18.75" hidden="1">
      <c r="A60" s="1939" t="s">
        <v>240</v>
      </c>
      <c r="B60" s="1939" t="s">
        <v>241</v>
      </c>
      <c r="C60" s="523"/>
      <c r="D60" s="2527"/>
      <c r="E60" s="2270"/>
      <c r="F60" s="2436" t="str">
        <f>INDEX(PT_DIFFERENTIATION_VTAR,MATCH(A60,PT_DIFFERENTIATION_VTAR_ID,0))</f>
        <v>Тариф на подключение (технологическое присоединение) к централизованной системе холодного водоснабжения</v>
      </c>
      <c r="G60" s="2482" t="str">
        <f>INDEX(PT_DIFFERENTIATION_NTAR,MATCH(B60,PT_DIFFERENTIATION_NTAR_ID,0))</f>
        <v/>
      </c>
      <c r="H60" s="2022"/>
      <c r="I60" s="1898"/>
      <c r="J60" s="1932"/>
      <c r="K60" s="2025"/>
      <c r="L60" s="2022" t="s">
        <v>306</v>
      </c>
      <c r="M60" s="2230"/>
      <c r="N60" s="488"/>
      <c r="O60" s="1783"/>
      <c r="P60" s="1783"/>
    </row>
    <row s="8849" customFormat="1" customHeight="1" ht="18.75" hidden="1">
      <c r="A61" s="1939"/>
      <c r="B61" s="1939"/>
      <c r="C61" s="523" t="s">
        <v>1062</v>
      </c>
      <c r="D61" s="2527"/>
      <c r="E61" s="2270"/>
      <c r="F61" s="2436"/>
      <c r="G61" s="2482"/>
      <c r="H61" s="1659"/>
      <c r="I61" s="805" t="s">
        <v>1063</v>
      </c>
      <c r="J61" s="725"/>
      <c r="K61" s="1659"/>
      <c r="L61" s="368"/>
      <c r="M61" s="2230"/>
      <c r="N61" s="488"/>
      <c r="O61" s="1783"/>
      <c r="P61" s="1783"/>
    </row>
    <row s="8849" customFormat="1" customHeight="1" ht="0.75" hidden="1">
      <c r="A62" s="1939"/>
      <c r="B62" s="1939"/>
      <c r="C62" s="523" t="s">
        <v>1068</v>
      </c>
      <c r="D62" s="2527"/>
      <c r="E62" s="2270"/>
      <c r="F62" s="2436"/>
      <c r="G62" s="554"/>
      <c r="H62" s="1659"/>
      <c r="I62" s="805"/>
      <c r="J62" s="725"/>
      <c r="K62" s="1659"/>
      <c r="L62" s="368"/>
      <c r="M62" s="2230"/>
      <c r="N62" s="488"/>
      <c r="O62" s="1783"/>
      <c r="P62" s="1783"/>
    </row>
    <row s="8849" customFormat="1" customHeight="1" ht="18.75" hidden="1">
      <c r="A63" s="1939" t="s">
        <v>247</v>
      </c>
      <c r="B63" s="1939" t="s">
        <v>248</v>
      </c>
      <c r="C63" s="523"/>
      <c r="D63" s="2527"/>
      <c r="E63" s="2270"/>
      <c r="F63" s="2436" t="str">
        <f>INDEX(PT_DIFFERENTIATION_VTAR,MATCH(A63,PT_DIFFERENTIATION_VTAR_ID,0))</f>
        <v>Тариф на горячую воду (горячее водоснабжение)</v>
      </c>
      <c r="G63" s="2482" t="str">
        <f>INDEX(PT_DIFFERENTIATION_NTAR,MATCH(B63,PT_DIFFERENTIATION_NTAR_ID,0))</f>
        <v>Тариф на горячую воду, поставляемую с использованием закрытой системы горячего водоснабжения АО "Теплокоммунэнерго" (ИНН 6165199445)</v>
      </c>
      <c r="H63" s="2022"/>
      <c r="I63" s="1898"/>
      <c r="J63" s="1932"/>
      <c r="K63" s="2025"/>
      <c r="L63" s="2022" t="s">
        <v>306</v>
      </c>
      <c r="M63" s="2230"/>
      <c r="N63" s="488"/>
      <c r="O63" s="1783"/>
      <c r="P63" s="1783"/>
    </row>
    <row s="8849" customFormat="1" customHeight="1" ht="18.75" hidden="1">
      <c r="A64" s="1939"/>
      <c r="B64" s="1939"/>
      <c r="C64" s="523" t="s">
        <v>1062</v>
      </c>
      <c r="D64" s="2527"/>
      <c r="E64" s="2270"/>
      <c r="F64" s="2436"/>
      <c r="G64" s="2482"/>
      <c r="H64" s="1659"/>
      <c r="I64" s="805" t="s">
        <v>1063</v>
      </c>
      <c r="J64" s="725"/>
      <c r="K64" s="1659"/>
      <c r="L64" s="368"/>
      <c r="M64" s="2230"/>
      <c r="N64" s="488"/>
      <c r="O64" s="1783"/>
      <c r="P64" s="1783"/>
    </row>
    <row s="8849" customFormat="1" customHeight="1" ht="0.75" hidden="1">
      <c r="A65" s="1939"/>
      <c r="B65" s="1939"/>
      <c r="C65" s="523" t="s">
        <v>1068</v>
      </c>
      <c r="D65" s="2527"/>
      <c r="E65" s="2270"/>
      <c r="F65" s="2436"/>
      <c r="G65" s="554"/>
      <c r="H65" s="1659"/>
      <c r="I65" s="805"/>
      <c r="J65" s="725"/>
      <c r="K65" s="1659"/>
      <c r="L65" s="368"/>
      <c r="M65" s="2230"/>
      <c r="N65" s="488"/>
      <c r="O65" s="1783"/>
      <c r="P65" s="1783"/>
    </row>
    <row s="8849" customFormat="1" customHeight="1" ht="18.75" hidden="1">
      <c r="A66" s="1939" t="s">
        <v>255</v>
      </c>
      <c r="B66" s="1939" t="s">
        <v>256</v>
      </c>
      <c r="C66" s="523"/>
      <c r="D66" s="2527"/>
      <c r="E66" s="2270"/>
      <c r="F66" s="2436" t="str">
        <f>INDEX(PT_DIFFERENTIATION_VTAR,MATCH(A66,PT_DIFFERENTIATION_VTAR_ID,0))</f>
        <v>Тариф на транспортировку горячей воды</v>
      </c>
      <c r="G66" s="2482" t="str">
        <f>INDEX(PT_DIFFERENTIATION_NTAR,MATCH(B66,PT_DIFFERENTIATION_NTAR_ID,0))</f>
        <v/>
      </c>
      <c r="H66" s="2022"/>
      <c r="I66" s="1898"/>
      <c r="J66" s="1932"/>
      <c r="K66" s="2025"/>
      <c r="L66" s="2022" t="s">
        <v>306</v>
      </c>
      <c r="M66" s="2230"/>
      <c r="N66" s="488"/>
      <c r="O66" s="1783"/>
      <c r="P66" s="1783"/>
    </row>
    <row s="8849" customFormat="1" customHeight="1" ht="18.75" hidden="1">
      <c r="A67" s="1939"/>
      <c r="B67" s="1939"/>
      <c r="C67" s="523" t="s">
        <v>1062</v>
      </c>
      <c r="D67" s="2527"/>
      <c r="E67" s="2270"/>
      <c r="F67" s="2436"/>
      <c r="G67" s="2482"/>
      <c r="H67" s="1659"/>
      <c r="I67" s="805" t="s">
        <v>1063</v>
      </c>
      <c r="J67" s="725"/>
      <c r="K67" s="1659"/>
      <c r="L67" s="368"/>
      <c r="M67" s="2230"/>
      <c r="N67" s="488"/>
      <c r="O67" s="1783"/>
      <c r="P67" s="1783"/>
    </row>
    <row s="8849" customFormat="1" customHeight="1" ht="0.75" hidden="1">
      <c r="A68" s="1939"/>
      <c r="B68" s="1939"/>
      <c r="C68" s="523" t="s">
        <v>1068</v>
      </c>
      <c r="D68" s="2527"/>
      <c r="E68" s="2270"/>
      <c r="F68" s="2436"/>
      <c r="G68" s="554"/>
      <c r="H68" s="1659"/>
      <c r="I68" s="805"/>
      <c r="J68" s="725"/>
      <c r="K68" s="1659"/>
      <c r="L68" s="368"/>
      <c r="M68" s="2230"/>
      <c r="N68" s="488"/>
      <c r="O68" s="1783"/>
      <c r="P68" s="1783"/>
    </row>
    <row s="8849" customFormat="1" customHeight="1" ht="18.75" hidden="1">
      <c r="A69" s="1939" t="s">
        <v>260</v>
      </c>
      <c r="B69" s="1939" t="s">
        <v>261</v>
      </c>
      <c r="C69" s="523"/>
      <c r="D69" s="2527"/>
      <c r="E69" s="2270"/>
      <c r="F69" s="2436" t="str">
        <f>INDEX(PT_DIFFERENTIATION_VTAR,MATCH(A69,PT_DIFFERENTIATION_VTAR_ID,0))</f>
        <v>Тариф на подключение (технологическое присоединение) к централизованной системе горячего водоснабжения</v>
      </c>
      <c r="G69" s="2482" t="str">
        <f>INDEX(PT_DIFFERENTIATION_NTAR,MATCH(B69,PT_DIFFERENTIATION_NTAR_ID,0))</f>
        <v/>
      </c>
      <c r="H69" s="2022"/>
      <c r="I69" s="1898"/>
      <c r="J69" s="1932"/>
      <c r="K69" s="2025"/>
      <c r="L69" s="2022" t="s">
        <v>306</v>
      </c>
      <c r="M69" s="2230"/>
      <c r="N69" s="488"/>
      <c r="O69" s="1783"/>
      <c r="P69" s="1783"/>
    </row>
    <row s="8849" customFormat="1" customHeight="1" ht="18.75" hidden="1">
      <c r="A70" s="1939"/>
      <c r="B70" s="1939"/>
      <c r="C70" s="523" t="s">
        <v>1062</v>
      </c>
      <c r="D70" s="2527"/>
      <c r="E70" s="2270"/>
      <c r="F70" s="2436"/>
      <c r="G70" s="2482"/>
      <c r="H70" s="1659"/>
      <c r="I70" s="805" t="s">
        <v>1063</v>
      </c>
      <c r="J70" s="725"/>
      <c r="K70" s="1659"/>
      <c r="L70" s="368"/>
      <c r="M70" s="2230"/>
      <c r="N70" s="488"/>
      <c r="O70" s="1783"/>
      <c r="P70" s="1783"/>
    </row>
    <row s="8849" customFormat="1" customHeight="1" ht="0.75" hidden="1">
      <c r="A71" s="1939"/>
      <c r="B71" s="1939"/>
      <c r="C71" s="523" t="s">
        <v>1068</v>
      </c>
      <c r="D71" s="2527"/>
      <c r="E71" s="2270"/>
      <c r="F71" s="2436"/>
      <c r="G71" s="554"/>
      <c r="H71" s="1659"/>
      <c r="I71" s="805"/>
      <c r="J71" s="725"/>
      <c r="K71" s="1659"/>
      <c r="L71" s="368"/>
      <c r="M71" s="2230"/>
      <c r="N71" s="488"/>
      <c r="O71" s="1783"/>
      <c r="P71" s="1783"/>
    </row>
    <row s="8849" customFormat="1" customHeight="1" ht="18.75" hidden="1">
      <c r="A72" s="1939" t="s">
        <v>265</v>
      </c>
      <c r="B72" s="1939" t="s">
        <v>266</v>
      </c>
      <c r="C72" s="523"/>
      <c r="D72" s="2527"/>
      <c r="E72" s="2270"/>
      <c r="F72" s="2436" t="str">
        <f>INDEX(PT_DIFFERENTIATION_VTAR,MATCH(A72,PT_DIFFERENTIATION_VTAR_ID,0))</f>
        <v>Тариф на водоотведение</v>
      </c>
      <c r="G72" s="2482" t="str">
        <f>INDEX(PT_DIFFERENTIATION_NTAR,MATCH(B72,PT_DIFFERENTIATION_NTAR_ID,0))</f>
        <v/>
      </c>
      <c r="H72" s="2022"/>
      <c r="I72" s="1898"/>
      <c r="J72" s="1932"/>
      <c r="K72" s="2025"/>
      <c r="L72" s="2022" t="s">
        <v>306</v>
      </c>
      <c r="M72" s="2230"/>
      <c r="N72" s="488"/>
      <c r="O72" s="1783"/>
      <c r="P72" s="1783"/>
    </row>
    <row s="8849" customFormat="1" customHeight="1" ht="18.75" hidden="1">
      <c r="A73" s="1939"/>
      <c r="B73" s="1939"/>
      <c r="C73" s="523" t="s">
        <v>1062</v>
      </c>
      <c r="D73" s="2527"/>
      <c r="E73" s="2270"/>
      <c r="F73" s="2436"/>
      <c r="G73" s="2482"/>
      <c r="H73" s="1659"/>
      <c r="I73" s="805" t="s">
        <v>1063</v>
      </c>
      <c r="J73" s="725"/>
      <c r="K73" s="1659"/>
      <c r="L73" s="368"/>
      <c r="M73" s="2230"/>
      <c r="N73" s="488"/>
      <c r="O73" s="1783"/>
      <c r="P73" s="1783"/>
    </row>
    <row s="8849" customFormat="1" customHeight="1" ht="0.75" hidden="1">
      <c r="A74" s="1939"/>
      <c r="B74" s="1939"/>
      <c r="C74" s="523" t="s">
        <v>1068</v>
      </c>
      <c r="D74" s="2527"/>
      <c r="E74" s="2270"/>
      <c r="F74" s="2436"/>
      <c r="G74" s="554"/>
      <c r="H74" s="1659"/>
      <c r="I74" s="805"/>
      <c r="J74" s="725"/>
      <c r="K74" s="1659"/>
      <c r="L74" s="368"/>
      <c r="M74" s="2230"/>
      <c r="N74" s="488"/>
      <c r="O74" s="1783"/>
      <c r="P74" s="1783"/>
    </row>
    <row s="8849" customFormat="1" customHeight="1" ht="18.75" hidden="1">
      <c r="A75" s="1939" t="s">
        <v>270</v>
      </c>
      <c r="B75" s="1939" t="s">
        <v>271</v>
      </c>
      <c r="C75" s="523"/>
      <c r="D75" s="2527"/>
      <c r="E75" s="2270"/>
      <c r="F75" s="2436" t="str">
        <f>INDEX(PT_DIFFERENTIATION_VTAR,MATCH(A75,PT_DIFFERENTIATION_VTAR_ID,0))</f>
        <v>Тариф на транспортировку сточных вод</v>
      </c>
      <c r="G75" s="2482" t="str">
        <f>INDEX(PT_DIFFERENTIATION_NTAR,MATCH(B75,PT_DIFFERENTIATION_NTAR_ID,0))</f>
        <v/>
      </c>
      <c r="H75" s="2022"/>
      <c r="I75" s="1898"/>
      <c r="J75" s="1932"/>
      <c r="K75" s="2025"/>
      <c r="L75" s="2022" t="s">
        <v>306</v>
      </c>
      <c r="M75" s="2230"/>
      <c r="N75" s="488"/>
      <c r="O75" s="1783"/>
      <c r="P75" s="1783"/>
    </row>
    <row s="8849" customFormat="1" customHeight="1" ht="18.75" hidden="1">
      <c r="A76" s="1939"/>
      <c r="B76" s="1939"/>
      <c r="C76" s="523" t="s">
        <v>1062</v>
      </c>
      <c r="D76" s="2527"/>
      <c r="E76" s="2270"/>
      <c r="F76" s="2436"/>
      <c r="G76" s="2482"/>
      <c r="H76" s="1659"/>
      <c r="I76" s="805" t="s">
        <v>1063</v>
      </c>
      <c r="J76" s="725"/>
      <c r="K76" s="1659"/>
      <c r="L76" s="368"/>
      <c r="M76" s="2230"/>
      <c r="N76" s="488"/>
      <c r="O76" s="1783"/>
      <c r="P76" s="1783"/>
    </row>
    <row s="8849" customFormat="1" customHeight="1" ht="0.75" hidden="1">
      <c r="A77" s="1939"/>
      <c r="B77" s="1939"/>
      <c r="C77" s="523" t="s">
        <v>1068</v>
      </c>
      <c r="D77" s="2527"/>
      <c r="E77" s="2270"/>
      <c r="F77" s="2436"/>
      <c r="G77" s="554"/>
      <c r="H77" s="1659"/>
      <c r="I77" s="805"/>
      <c r="J77" s="725"/>
      <c r="K77" s="1659"/>
      <c r="L77" s="368"/>
      <c r="M77" s="2230"/>
      <c r="N77" s="488"/>
      <c r="O77" s="1783"/>
      <c r="P77" s="1783"/>
    </row>
    <row s="8849" customFormat="1" customHeight="1" ht="18.75" hidden="1">
      <c r="A78" s="1939" t="s">
        <v>275</v>
      </c>
      <c r="B78" s="1939" t="s">
        <v>276</v>
      </c>
      <c r="C78" s="523"/>
      <c r="D78" s="2527"/>
      <c r="E78" s="2270"/>
      <c r="F78" s="2436" t="str">
        <f>INDEX(PT_DIFFERENTIATION_VTAR,MATCH(A78,PT_DIFFERENTIATION_VTAR_ID,0))</f>
        <v>Тариф на подключение (технологическое присоединение) к централизованной системе водоотведения</v>
      </c>
      <c r="G78" s="2482" t="str">
        <f>INDEX(PT_DIFFERENTIATION_NTAR,MATCH(B78,PT_DIFFERENTIATION_NTAR_ID,0))</f>
        <v/>
      </c>
      <c r="H78" s="2022"/>
      <c r="I78" s="1898"/>
      <c r="J78" s="1932"/>
      <c r="K78" s="2025"/>
      <c r="L78" s="2022" t="s">
        <v>306</v>
      </c>
      <c r="M78" s="2230"/>
      <c r="N78" s="488"/>
      <c r="O78" s="1783"/>
      <c r="P78" s="1783"/>
    </row>
    <row s="8849" customFormat="1" customHeight="1" ht="18.75" hidden="1">
      <c r="A79" s="1939"/>
      <c r="B79" s="1939"/>
      <c r="C79" s="523" t="s">
        <v>1062</v>
      </c>
      <c r="D79" s="2527"/>
      <c r="E79" s="2270"/>
      <c r="F79" s="2436"/>
      <c r="G79" s="2482"/>
      <c r="H79" s="1659"/>
      <c r="I79" s="805" t="s">
        <v>1063</v>
      </c>
      <c r="J79" s="725"/>
      <c r="K79" s="1659"/>
      <c r="L79" s="368"/>
      <c r="M79" s="2230"/>
      <c r="N79" s="488"/>
      <c r="O79" s="1783"/>
      <c r="P79" s="1783"/>
    </row>
    <row s="8849" customFormat="1" customHeight="1" ht="0.75">
      <c r="A80" s="1939"/>
      <c r="B80" s="1939"/>
      <c r="C80" s="523" t="s">
        <v>1068</v>
      </c>
      <c r="D80" s="2527"/>
      <c r="E80" s="2270"/>
      <c r="F80" s="2436"/>
      <c r="G80" s="554"/>
      <c r="H80" s="1659"/>
      <c r="I80" s="805"/>
      <c r="J80" s="725"/>
      <c r="K80" s="1659"/>
      <c r="L80" s="368"/>
      <c r="M80" s="2230"/>
      <c r="N80" s="488"/>
      <c r="O80" s="1783"/>
      <c r="P80" s="1783"/>
    </row>
    <row customHeight="1" ht="18.75">
      <c r="A81" s="1939"/>
      <c r="B81" s="1939"/>
      <c r="D81" s="530"/>
      <c r="E81" s="302" t="s">
        <v>107</v>
      </c>
      <c r="F81" s="2519" t="str">
        <f>"Долгосрочные параметры регулирования (в случае если их установление предусмотрено выбранным методом регулирования тарифов в сфере "&amp;TEMPLATE_SPHERE_RUS&amp;")"</f>
        <v>Долгосрочные параметры регулирования (в случае если их установление предусмотрено выбранным методом регулирования тарифов в сфере горячего водоснабжения)</v>
      </c>
      <c r="G81" s="2519"/>
      <c r="H81" s="2519"/>
      <c r="I81" s="2519"/>
      <c r="J81" s="2519"/>
      <c r="K81" s="2519"/>
      <c r="L81" s="2519"/>
      <c r="M81" s="451"/>
      <c r="N81" s="488"/>
    </row>
    <row customHeight="1" ht="33.75">
      <c r="A82" s="1939"/>
      <c r="B82" s="1939"/>
      <c r="D82" s="530"/>
      <c r="E82" s="553"/>
      <c r="F82" s="352" t="s">
        <v>306</v>
      </c>
      <c r="G82" s="352" t="s">
        <v>306</v>
      </c>
      <c r="H82" s="2281" t="s">
        <v>306</v>
      </c>
      <c r="I82" s="2297"/>
      <c r="J82" s="352" t="s">
        <v>306</v>
      </c>
      <c r="K82" s="352" t="s">
        <v>306</v>
      </c>
      <c r="L82" s="555"/>
      <c r="M82" s="499" t="s">
        <v>1069</v>
      </c>
      <c r="N82" s="488"/>
    </row>
    <row customHeight="1" ht="18.75">
      <c r="A83" s="1939"/>
      <c r="B83" s="1939"/>
      <c r="D83" s="530"/>
      <c r="E83" s="302" t="s">
        <v>87</v>
      </c>
      <c r="F83" s="2519" t="s">
        <v>1070</v>
      </c>
      <c r="G83" s="2519"/>
      <c r="H83" s="2519"/>
      <c r="I83" s="2519"/>
      <c r="J83" s="2519"/>
      <c r="K83" s="2519"/>
      <c r="L83" s="2519"/>
      <c r="M83" s="451"/>
      <c r="N83" s="488"/>
    </row>
    <row s="8849" customFormat="1" customHeight="1" ht="60.75" hidden="1">
      <c r="A84" s="1939" t="s">
        <v>152</v>
      </c>
      <c r="B84" s="1939" t="s">
        <v>153</v>
      </c>
      <c r="C84" s="523"/>
      <c r="D84" s="2527"/>
      <c r="E84" s="2270"/>
      <c r="F84" s="2436" t="str">
        <f>INDEX(PT_DIFFERENTIATION_VTAR,MATCH(A84,PT_DIFFERENTIATION_VTAR_ID,0))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84" s="2482" t="str">
        <f>INDEX(PT_DIFFERENTIATION_NTAR,MATCH(B84,PT_DIFFERENTIATION_NTAR_ID,0))</f>
        <v/>
      </c>
      <c r="H84" s="2022"/>
      <c r="I84" s="1898"/>
      <c r="J84" s="1932"/>
      <c r="K84" s="1937"/>
      <c r="L84" s="2022" t="s">
        <v>306</v>
      </c>
      <c r="M84" s="2229"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горячего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v>
      </c>
      <c r="N84" s="488"/>
      <c r="O84" s="1783"/>
      <c r="P84" s="1783"/>
    </row>
    <row s="8849" customFormat="1" customHeight="1" ht="18.75" hidden="1">
      <c r="A85" s="1939"/>
      <c r="B85" s="1939"/>
      <c r="C85" s="523" t="s">
        <v>1064</v>
      </c>
      <c r="D85" s="2527"/>
      <c r="E85" s="2270"/>
      <c r="F85" s="2436"/>
      <c r="G85" s="2482"/>
      <c r="H85" s="1659"/>
      <c r="I85" s="805" t="s">
        <v>1063</v>
      </c>
      <c r="J85" s="725"/>
      <c r="K85" s="1659"/>
      <c r="L85" s="368"/>
      <c r="M85" s="2230"/>
      <c r="N85" s="488"/>
      <c r="O85" s="1783"/>
      <c r="P85" s="1783"/>
    </row>
    <row s="8849" customFormat="1" customHeight="1" ht="0.75" hidden="1">
      <c r="A86" s="1939"/>
      <c r="B86" s="1939"/>
      <c r="C86" s="523" t="s">
        <v>1071</v>
      </c>
      <c r="D86" s="2527"/>
      <c r="E86" s="2270"/>
      <c r="F86" s="2436"/>
      <c r="G86" s="554"/>
      <c r="H86" s="1659"/>
      <c r="I86" s="805"/>
      <c r="J86" s="725"/>
      <c r="K86" s="1659"/>
      <c r="L86" s="368"/>
      <c r="M86" s="2230"/>
      <c r="N86" s="488"/>
      <c r="O86" s="1783"/>
      <c r="P86" s="1783"/>
    </row>
    <row s="8849" customFormat="1" customHeight="1" ht="45" hidden="1">
      <c r="A87" s="1939" t="s">
        <v>158</v>
      </c>
      <c r="B87" s="1939" t="s">
        <v>159</v>
      </c>
      <c r="C87" s="523"/>
      <c r="D87" s="2527"/>
      <c r="E87" s="2270"/>
      <c r="F87" s="2436" t="str">
        <f>INDEX(PT_DIFFERENTIATION_VTAR,MATCH(A87,PT_DIFFERENTIATION_VTAR_ID,0))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G87" s="2482" t="str">
        <f>INDEX(PT_DIFFERENTIATION_NTAR,MATCH(B87,PT_DIFFERENTIATION_NTAR_ID,0))</f>
        <v/>
      </c>
      <c r="H87" s="2022"/>
      <c r="I87" s="1898"/>
      <c r="J87" s="1932"/>
      <c r="K87" s="1937"/>
      <c r="L87" s="2022" t="s">
        <v>306</v>
      </c>
      <c r="M87" s="2231"/>
      <c r="N87" s="488"/>
      <c r="O87" s="1783"/>
      <c r="P87" s="1783"/>
    </row>
    <row s="8849" customFormat="1" customHeight="1" ht="18.75" hidden="1">
      <c r="A88" s="1939"/>
      <c r="B88" s="1939"/>
      <c r="C88" s="523" t="s">
        <v>1064</v>
      </c>
      <c r="D88" s="2527"/>
      <c r="E88" s="2270"/>
      <c r="F88" s="2436"/>
      <c r="G88" s="2482"/>
      <c r="H88" s="1659"/>
      <c r="I88" s="805" t="s">
        <v>1063</v>
      </c>
      <c r="J88" s="725"/>
      <c r="K88" s="1659"/>
      <c r="L88" s="368"/>
      <c r="M88" s="2021"/>
      <c r="N88" s="488"/>
      <c r="O88" s="1783"/>
      <c r="P88" s="1783"/>
    </row>
    <row s="8849" customFormat="1" customHeight="1" ht="0.75" hidden="1">
      <c r="A89" s="1939"/>
      <c r="B89" s="1939"/>
      <c r="C89" s="523" t="s">
        <v>1071</v>
      </c>
      <c r="D89" s="2527"/>
      <c r="E89" s="2270"/>
      <c r="F89" s="2436"/>
      <c r="G89" s="554"/>
      <c r="H89" s="1659"/>
      <c r="I89" s="805"/>
      <c r="J89" s="725"/>
      <c r="K89" s="1659"/>
      <c r="L89" s="368"/>
      <c r="M89" s="495"/>
      <c r="N89" s="488"/>
      <c r="O89" s="1783"/>
      <c r="P89" s="1783"/>
    </row>
    <row s="8849" customFormat="1" customHeight="1" ht="45" hidden="1">
      <c r="A90" s="1939" t="s">
        <v>164</v>
      </c>
      <c r="B90" s="1939" t="s">
        <v>165</v>
      </c>
      <c r="C90" s="523"/>
      <c r="D90" s="2527"/>
      <c r="E90" s="2270"/>
      <c r="F90" s="2436" t="str">
        <f>INDEX(PT_DIFFERENTIATION_VTAR,MATCH(A90,PT_DIFFERENTIATION_VTAR_ID,0))</f>
        <v>Тарифы на теплоноситель, поставляемый теплоснабжающими организациями потребителям, другим теплоснабжающим организациям</v>
      </c>
      <c r="G90" s="2482" t="str">
        <f>INDEX(PT_DIFFERENTIATION_NTAR,MATCH(B90,PT_DIFFERENTIATION_NTAR_ID,0))</f>
        <v/>
      </c>
      <c r="H90" s="2022"/>
      <c r="I90" s="1898"/>
      <c r="J90" s="1932"/>
      <c r="K90" s="1937"/>
      <c r="L90" s="2022" t="s">
        <v>306</v>
      </c>
      <c r="M90" s="495"/>
      <c r="N90" s="488"/>
      <c r="O90" s="1783"/>
      <c r="P90" s="1783"/>
    </row>
    <row s="8849" customFormat="1" customHeight="1" ht="18.75" hidden="1">
      <c r="A91" s="1939"/>
      <c r="B91" s="1939"/>
      <c r="C91" s="523" t="s">
        <v>1064</v>
      </c>
      <c r="D91" s="2527"/>
      <c r="E91" s="2270"/>
      <c r="F91" s="2436"/>
      <c r="G91" s="2482"/>
      <c r="H91" s="1659"/>
      <c r="I91" s="805" t="s">
        <v>1063</v>
      </c>
      <c r="J91" s="725"/>
      <c r="K91" s="1659"/>
      <c r="L91" s="368"/>
      <c r="M91" s="495"/>
      <c r="N91" s="488"/>
      <c r="O91" s="1783"/>
      <c r="P91" s="1783"/>
    </row>
    <row s="8849" customFormat="1" customHeight="1" ht="0.75" hidden="1">
      <c r="A92" s="1939"/>
      <c r="B92" s="1939"/>
      <c r="C92" s="523" t="s">
        <v>1071</v>
      </c>
      <c r="D92" s="2527"/>
      <c r="E92" s="2270"/>
      <c r="F92" s="2436"/>
      <c r="G92" s="554"/>
      <c r="H92" s="1659"/>
      <c r="I92" s="805"/>
      <c r="J92" s="725"/>
      <c r="K92" s="1659"/>
      <c r="L92" s="368"/>
      <c r="M92" s="495"/>
      <c r="N92" s="488"/>
      <c r="O92" s="1783"/>
      <c r="P92" s="1783"/>
    </row>
    <row s="8849" customFormat="1" customHeight="1" ht="45" hidden="1">
      <c r="A93" s="1939" t="s">
        <v>170</v>
      </c>
      <c r="B93" s="1939" t="s">
        <v>171</v>
      </c>
      <c r="C93" s="523"/>
      <c r="D93" s="2527"/>
      <c r="E93" s="2270"/>
      <c r="F93" s="2436" t="str">
        <f>INDEX(PT_DIFFERENTIATION_VTAR,MATCH(A93,PT_DIFFERENTIATION_VTAR_ID,0))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93" s="2482" t="str">
        <f>INDEX(PT_DIFFERENTIATION_NTAR,MATCH(B93,PT_DIFFERENTIATION_NTAR_ID,0))</f>
        <v/>
      </c>
      <c r="H93" s="2022"/>
      <c r="I93" s="1898"/>
      <c r="J93" s="1932"/>
      <c r="K93" s="1937"/>
      <c r="L93" s="2022" t="s">
        <v>306</v>
      </c>
      <c r="M93" s="495"/>
      <c r="N93" s="488"/>
      <c r="O93" s="1783"/>
      <c r="P93" s="1783"/>
    </row>
    <row s="8849" customFormat="1" customHeight="1" ht="18.75" hidden="1">
      <c r="A94" s="1939"/>
      <c r="B94" s="1939"/>
      <c r="C94" s="523" t="s">
        <v>1064</v>
      </c>
      <c r="D94" s="2527"/>
      <c r="E94" s="2270"/>
      <c r="F94" s="2436"/>
      <c r="G94" s="2482"/>
      <c r="H94" s="1659"/>
      <c r="I94" s="805" t="s">
        <v>1063</v>
      </c>
      <c r="J94" s="725"/>
      <c r="K94" s="1659"/>
      <c r="L94" s="368"/>
      <c r="M94" s="495"/>
      <c r="N94" s="488"/>
      <c r="O94" s="1783"/>
      <c r="P94" s="1783"/>
    </row>
    <row s="8849" customFormat="1" customHeight="1" ht="0.75" hidden="1">
      <c r="A95" s="1939"/>
      <c r="B95" s="1939"/>
      <c r="C95" s="523" t="s">
        <v>1071</v>
      </c>
      <c r="D95" s="2527"/>
      <c r="E95" s="2270"/>
      <c r="F95" s="2436"/>
      <c r="G95" s="554"/>
      <c r="H95" s="1659"/>
      <c r="I95" s="805"/>
      <c r="J95" s="725"/>
      <c r="K95" s="1659"/>
      <c r="L95" s="368"/>
      <c r="M95" s="495"/>
      <c r="N95" s="488"/>
      <c r="O95" s="1783"/>
      <c r="P95" s="1783"/>
    </row>
    <row s="8849" customFormat="1" customHeight="1" ht="18.75" hidden="1">
      <c r="A96" s="1939" t="s">
        <v>176</v>
      </c>
      <c r="B96" s="1939" t="s">
        <v>177</v>
      </c>
      <c r="C96" s="523"/>
      <c r="D96" s="2527"/>
      <c r="E96" s="2270"/>
      <c r="F96" s="2436" t="str">
        <f>INDEX(PT_DIFFERENTIATION_VTAR,MATCH(A96,PT_DIFFERENTIATION_VTAR_ID,0))</f>
        <v>Тарифы на услуги по передаче тепловой энергии</v>
      </c>
      <c r="G96" s="2482" t="str">
        <f>INDEX(PT_DIFFERENTIATION_NTAR,MATCH(B96,PT_DIFFERENTIATION_NTAR_ID,0))</f>
        <v/>
      </c>
      <c r="H96" s="2022"/>
      <c r="I96" s="1898"/>
      <c r="J96" s="1932"/>
      <c r="K96" s="1937"/>
      <c r="L96" s="2022" t="s">
        <v>306</v>
      </c>
      <c r="M96" s="495"/>
      <c r="N96" s="488"/>
      <c r="O96" s="1783"/>
      <c r="P96" s="1783"/>
    </row>
    <row s="8849" customFormat="1" customHeight="1" ht="18.75" hidden="1">
      <c r="A97" s="1939"/>
      <c r="B97" s="1939"/>
      <c r="C97" s="523" t="s">
        <v>1064</v>
      </c>
      <c r="D97" s="2527"/>
      <c r="E97" s="2270"/>
      <c r="F97" s="2436"/>
      <c r="G97" s="2482"/>
      <c r="H97" s="1659"/>
      <c r="I97" s="805" t="s">
        <v>1063</v>
      </c>
      <c r="J97" s="725"/>
      <c r="K97" s="1659"/>
      <c r="L97" s="368"/>
      <c r="M97" s="495"/>
      <c r="N97" s="488"/>
      <c r="O97" s="1783"/>
      <c r="P97" s="1783"/>
    </row>
    <row s="8849" customFormat="1" customHeight="1" ht="0.75" hidden="1">
      <c r="A98" s="1939"/>
      <c r="B98" s="1939"/>
      <c r="C98" s="523" t="s">
        <v>1071</v>
      </c>
      <c r="D98" s="2527"/>
      <c r="E98" s="2270"/>
      <c r="F98" s="2436"/>
      <c r="G98" s="554"/>
      <c r="H98" s="1659"/>
      <c r="I98" s="805"/>
      <c r="J98" s="725"/>
      <c r="K98" s="1659"/>
      <c r="L98" s="368"/>
      <c r="M98" s="495"/>
      <c r="N98" s="488"/>
      <c r="O98" s="1783"/>
      <c r="P98" s="1783"/>
    </row>
    <row s="8849" customFormat="1" customHeight="1" ht="18.75" hidden="1">
      <c r="A99" s="1939" t="s">
        <v>182</v>
      </c>
      <c r="B99" s="1939" t="s">
        <v>183</v>
      </c>
      <c r="C99" s="523"/>
      <c r="D99" s="2527"/>
      <c r="E99" s="2270"/>
      <c r="F99" s="2436" t="str">
        <f>INDEX(PT_DIFFERENTIATION_VTAR,MATCH(A99,PT_DIFFERENTIATION_VTAR_ID,0))</f>
        <v>Тарифы на услуги по передаче теплоносителя</v>
      </c>
      <c r="G99" s="2482" t="str">
        <f>INDEX(PT_DIFFERENTIATION_NTAR,MATCH(B99,PT_DIFFERENTIATION_NTAR_ID,0))</f>
        <v/>
      </c>
      <c r="H99" s="2022"/>
      <c r="I99" s="1898"/>
      <c r="J99" s="1932"/>
      <c r="K99" s="1937"/>
      <c r="L99" s="2022" t="s">
        <v>306</v>
      </c>
      <c r="M99" s="495"/>
      <c r="N99" s="488"/>
      <c r="O99" s="1783"/>
      <c r="P99" s="1783"/>
    </row>
    <row s="8849" customFormat="1" customHeight="1" ht="18.75" hidden="1">
      <c r="A100" s="1939"/>
      <c r="B100" s="1939"/>
      <c r="C100" s="523" t="s">
        <v>1064</v>
      </c>
      <c r="D100" s="2527"/>
      <c r="E100" s="2270"/>
      <c r="F100" s="2436"/>
      <c r="G100" s="2482"/>
      <c r="H100" s="1659"/>
      <c r="I100" s="805" t="s">
        <v>1063</v>
      </c>
      <c r="J100" s="725"/>
      <c r="K100" s="1659"/>
      <c r="L100" s="368"/>
      <c r="M100" s="495"/>
      <c r="N100" s="488"/>
      <c r="O100" s="1783"/>
      <c r="P100" s="1783"/>
    </row>
    <row s="8849" customFormat="1" customHeight="1" ht="0.75" hidden="1">
      <c r="A101" s="1939"/>
      <c r="B101" s="1939"/>
      <c r="C101" s="523" t="s">
        <v>1071</v>
      </c>
      <c r="D101" s="2527"/>
      <c r="E101" s="2270"/>
      <c r="F101" s="2436"/>
      <c r="G101" s="554"/>
      <c r="H101" s="1659"/>
      <c r="I101" s="805"/>
      <c r="J101" s="725"/>
      <c r="K101" s="1659"/>
      <c r="L101" s="368"/>
      <c r="M101" s="495"/>
      <c r="N101" s="488"/>
      <c r="O101" s="1783"/>
      <c r="P101" s="1783"/>
    </row>
    <row s="8849" customFormat="1" customHeight="1" ht="18.75" hidden="1">
      <c r="A102" s="1939" t="s">
        <v>188</v>
      </c>
      <c r="B102" s="1939" t="s">
        <v>189</v>
      </c>
      <c r="C102" s="523"/>
      <c r="D102" s="2527"/>
      <c r="E102" s="2270"/>
      <c r="F102" s="2436" t="str">
        <f>INDEX(PT_DIFFERENTIATION_VTAR,MATCH(A102,PT_DIFFERENTIATION_VTAR_ID,0))</f>
        <v>Плата за услуги по поддержанию резервной тепловой мощности при отсутствии потребления тепловой энергии</v>
      </c>
      <c r="G102" s="2482" t="str">
        <f>INDEX(PT_DIFFERENTIATION_NTAR,MATCH(B102,PT_DIFFERENTIATION_NTAR_ID,0))</f>
        <v/>
      </c>
      <c r="H102" s="2022"/>
      <c r="I102" s="1898"/>
      <c r="J102" s="1932"/>
      <c r="K102" s="1937"/>
      <c r="L102" s="2022" t="s">
        <v>306</v>
      </c>
      <c r="M102" s="495"/>
      <c r="N102" s="488"/>
      <c r="O102" s="1783"/>
      <c r="P102" s="1783"/>
    </row>
    <row s="8849" customFormat="1" customHeight="1" ht="18.75" hidden="1">
      <c r="A103" s="1939"/>
      <c r="B103" s="1939"/>
      <c r="C103" s="523" t="s">
        <v>1064</v>
      </c>
      <c r="D103" s="2527"/>
      <c r="E103" s="2270"/>
      <c r="F103" s="2436"/>
      <c r="G103" s="2482"/>
      <c r="H103" s="1659"/>
      <c r="I103" s="805" t="s">
        <v>1063</v>
      </c>
      <c r="J103" s="725"/>
      <c r="K103" s="1659"/>
      <c r="L103" s="368"/>
      <c r="M103" s="495"/>
      <c r="N103" s="488"/>
      <c r="O103" s="1783"/>
      <c r="P103" s="1783"/>
    </row>
    <row s="8849" customFormat="1" customHeight="1" ht="0.75" hidden="1">
      <c r="A104" s="1939"/>
      <c r="B104" s="1939"/>
      <c r="C104" s="523" t="s">
        <v>1071</v>
      </c>
      <c r="D104" s="2527"/>
      <c r="E104" s="2270"/>
      <c r="F104" s="2436"/>
      <c r="G104" s="554"/>
      <c r="H104" s="1659"/>
      <c r="I104" s="805"/>
      <c r="J104" s="725"/>
      <c r="K104" s="1659"/>
      <c r="L104" s="368"/>
      <c r="M104" s="495"/>
      <c r="N104" s="488"/>
      <c r="O104" s="1783"/>
      <c r="P104" s="1783"/>
    </row>
    <row s="8849" customFormat="1" customHeight="1" ht="18.75" hidden="1">
      <c r="A105" s="1939" t="s">
        <v>194</v>
      </c>
      <c r="B105" s="1939" t="s">
        <v>195</v>
      </c>
      <c r="C105" s="523"/>
      <c r="D105" s="2527"/>
      <c r="E105" s="2270"/>
      <c r="F105" s="2436" t="str">
        <f>INDEX(PT_DIFFERENTIATION_VTAR,MATCH(A105,PT_DIFFERENTIATION_VTAR_ID,0))</f>
        <v>Плата за подключение (технологическое присоединение) к системе теплоснабжения</v>
      </c>
      <c r="G105" s="2482" t="str">
        <f>INDEX(PT_DIFFERENTIATION_NTAR,MATCH(B105,PT_DIFFERENTIATION_NTAR_ID,0))</f>
        <v/>
      </c>
      <c r="H105" s="2022"/>
      <c r="I105" s="1898"/>
      <c r="J105" s="1932"/>
      <c r="K105" s="1937"/>
      <c r="L105" s="2022" t="s">
        <v>306</v>
      </c>
      <c r="M105" s="495"/>
      <c r="N105" s="488"/>
      <c r="O105" s="1783"/>
      <c r="P105" s="1783"/>
    </row>
    <row s="8849" customFormat="1" customHeight="1" ht="18.75" hidden="1">
      <c r="A106" s="1939"/>
      <c r="B106" s="1939"/>
      <c r="C106" s="523" t="s">
        <v>1064</v>
      </c>
      <c r="D106" s="2527"/>
      <c r="E106" s="2270"/>
      <c r="F106" s="2436"/>
      <c r="G106" s="2482"/>
      <c r="H106" s="1659"/>
      <c r="I106" s="805" t="s">
        <v>1063</v>
      </c>
      <c r="J106" s="725"/>
      <c r="K106" s="1659"/>
      <c r="L106" s="368"/>
      <c r="M106" s="495"/>
      <c r="N106" s="488"/>
      <c r="O106" s="1783"/>
      <c r="P106" s="1783"/>
    </row>
    <row s="8849" customFormat="1" customHeight="1" ht="0.75" hidden="1">
      <c r="A107" s="1939"/>
      <c r="B107" s="1939"/>
      <c r="C107" s="523" t="s">
        <v>1071</v>
      </c>
      <c r="D107" s="2527"/>
      <c r="E107" s="2270"/>
      <c r="F107" s="2436"/>
      <c r="G107" s="554"/>
      <c r="H107" s="1659"/>
      <c r="I107" s="805"/>
      <c r="J107" s="725"/>
      <c r="K107" s="1659"/>
      <c r="L107" s="368"/>
      <c r="M107" s="495"/>
      <c r="N107" s="488"/>
      <c r="O107" s="1783"/>
      <c r="P107" s="1783"/>
    </row>
    <row s="8849" customFormat="1" customHeight="1" ht="18.75" hidden="1">
      <c r="A108" s="1939" t="s">
        <v>220</v>
      </c>
      <c r="B108" s="1939" t="s">
        <v>221</v>
      </c>
      <c r="C108" s="523"/>
      <c r="D108" s="2527"/>
      <c r="E108" s="2270"/>
      <c r="F108" s="2436" t="str">
        <f>INDEX(PT_DIFFERENTIATION_VTAR,MATCH(A108,PT_DIFFERENTIATION_VTAR_ID,0))</f>
        <v>Тариф на питьевую воду (питьевое водоснабжение)</v>
      </c>
      <c r="G108" s="2482" t="str">
        <f>INDEX(PT_DIFFERENTIATION_NTAR,MATCH(B108,PT_DIFFERENTIATION_NTAR_ID,0))</f>
        <v/>
      </c>
      <c r="H108" s="2022"/>
      <c r="I108" s="1898"/>
      <c r="J108" s="1932"/>
      <c r="K108" s="1937"/>
      <c r="L108" s="2022" t="s">
        <v>306</v>
      </c>
      <c r="M108" s="495"/>
      <c r="N108" s="488"/>
      <c r="O108" s="1783"/>
      <c r="P108" s="1783"/>
    </row>
    <row s="8849" customFormat="1" customHeight="1" ht="18.75" hidden="1">
      <c r="A109" s="1939"/>
      <c r="B109" s="1939"/>
      <c r="C109" s="523" t="s">
        <v>1064</v>
      </c>
      <c r="D109" s="2527"/>
      <c r="E109" s="2270"/>
      <c r="F109" s="2436"/>
      <c r="G109" s="2482"/>
      <c r="H109" s="1659"/>
      <c r="I109" s="805" t="s">
        <v>1063</v>
      </c>
      <c r="J109" s="725"/>
      <c r="K109" s="1659"/>
      <c r="L109" s="368"/>
      <c r="M109" s="495"/>
      <c r="N109" s="488"/>
      <c r="O109" s="1783"/>
      <c r="P109" s="1783"/>
    </row>
    <row s="8849" customFormat="1" customHeight="1" ht="0.75" hidden="1">
      <c r="A110" s="1939"/>
      <c r="B110" s="1939"/>
      <c r="C110" s="523" t="s">
        <v>1071</v>
      </c>
      <c r="D110" s="2527"/>
      <c r="E110" s="2270"/>
      <c r="F110" s="2436"/>
      <c r="G110" s="554"/>
      <c r="H110" s="1659"/>
      <c r="I110" s="805"/>
      <c r="J110" s="725"/>
      <c r="K110" s="1659"/>
      <c r="L110" s="368"/>
      <c r="M110" s="495"/>
      <c r="N110" s="488"/>
      <c r="O110" s="1783"/>
      <c r="P110" s="1783"/>
    </row>
    <row s="8849" customFormat="1" customHeight="1" ht="18.75" hidden="1">
      <c r="A111" s="1939" t="s">
        <v>225</v>
      </c>
      <c r="B111" s="1939" t="s">
        <v>226</v>
      </c>
      <c r="C111" s="523"/>
      <c r="D111" s="2527"/>
      <c r="E111" s="2270"/>
      <c r="F111" s="2436" t="str">
        <f>INDEX(PT_DIFFERENTIATION_VTAR,MATCH(A111,PT_DIFFERENTIATION_VTAR_ID,0))</f>
        <v>Тариф на техническую воду</v>
      </c>
      <c r="G111" s="2482" t="str">
        <f>INDEX(PT_DIFFERENTIATION_NTAR,MATCH(B111,PT_DIFFERENTIATION_NTAR_ID,0))</f>
        <v/>
      </c>
      <c r="H111" s="2022"/>
      <c r="I111" s="1898"/>
      <c r="J111" s="1932"/>
      <c r="K111" s="1937"/>
      <c r="L111" s="2022" t="s">
        <v>306</v>
      </c>
      <c r="M111" s="495"/>
      <c r="N111" s="488"/>
      <c r="O111" s="1783"/>
      <c r="P111" s="1783"/>
    </row>
    <row s="8849" customFormat="1" customHeight="1" ht="18.75" hidden="1">
      <c r="A112" s="1939"/>
      <c r="B112" s="1939"/>
      <c r="C112" s="523" t="s">
        <v>1064</v>
      </c>
      <c r="D112" s="2527"/>
      <c r="E112" s="2270"/>
      <c r="F112" s="2436"/>
      <c r="G112" s="2482"/>
      <c r="H112" s="1659"/>
      <c r="I112" s="805" t="s">
        <v>1063</v>
      </c>
      <c r="J112" s="725"/>
      <c r="K112" s="1659"/>
      <c r="L112" s="368"/>
      <c r="M112" s="495"/>
      <c r="N112" s="488"/>
      <c r="O112" s="1783"/>
      <c r="P112" s="1783"/>
    </row>
    <row s="8849" customFormat="1" customHeight="1" ht="0.75" hidden="1">
      <c r="A113" s="1939"/>
      <c r="B113" s="1939"/>
      <c r="C113" s="523" t="s">
        <v>1071</v>
      </c>
      <c r="D113" s="2527"/>
      <c r="E113" s="2270"/>
      <c r="F113" s="2436"/>
      <c r="G113" s="554"/>
      <c r="H113" s="1659"/>
      <c r="I113" s="805"/>
      <c r="J113" s="725"/>
      <c r="K113" s="1659"/>
      <c r="L113" s="368"/>
      <c r="M113" s="495"/>
      <c r="N113" s="488"/>
      <c r="O113" s="1783"/>
      <c r="P113" s="1783"/>
    </row>
    <row s="8849" customFormat="1" customHeight="1" ht="18.75" hidden="1">
      <c r="A114" s="1939" t="s">
        <v>230</v>
      </c>
      <c r="B114" s="1939" t="s">
        <v>231</v>
      </c>
      <c r="C114" s="523"/>
      <c r="D114" s="2527"/>
      <c r="E114" s="2270"/>
      <c r="F114" s="2436" t="str">
        <f>INDEX(PT_DIFFERENTIATION_VTAR,MATCH(A114,PT_DIFFERENTIATION_VTAR_ID,0))</f>
        <v>Тариф на транспортировку воды</v>
      </c>
      <c r="G114" s="2482" t="str">
        <f>INDEX(PT_DIFFERENTIATION_NTAR,MATCH(B114,PT_DIFFERENTIATION_NTAR_ID,0))</f>
        <v/>
      </c>
      <c r="H114" s="2022"/>
      <c r="I114" s="1898"/>
      <c r="J114" s="1932"/>
      <c r="K114" s="1937"/>
      <c r="L114" s="2022" t="s">
        <v>306</v>
      </c>
      <c r="M114" s="495"/>
      <c r="N114" s="488"/>
      <c r="O114" s="1783"/>
      <c r="P114" s="1783"/>
    </row>
    <row s="8849" customFormat="1" customHeight="1" ht="18.75" hidden="1">
      <c r="A115" s="1939"/>
      <c r="B115" s="1939"/>
      <c r="C115" s="523" t="s">
        <v>1064</v>
      </c>
      <c r="D115" s="2527"/>
      <c r="E115" s="2270"/>
      <c r="F115" s="2436"/>
      <c r="G115" s="2482"/>
      <c r="H115" s="1659"/>
      <c r="I115" s="805" t="s">
        <v>1063</v>
      </c>
      <c r="J115" s="725"/>
      <c r="K115" s="1659"/>
      <c r="L115" s="368"/>
      <c r="M115" s="495"/>
      <c r="N115" s="488"/>
      <c r="O115" s="1783"/>
      <c r="P115" s="1783"/>
    </row>
    <row s="8849" customFormat="1" customHeight="1" ht="0.75" hidden="1">
      <c r="A116" s="1939"/>
      <c r="B116" s="1939"/>
      <c r="C116" s="523" t="s">
        <v>1071</v>
      </c>
      <c r="D116" s="2527"/>
      <c r="E116" s="2270"/>
      <c r="F116" s="2436"/>
      <c r="G116" s="554"/>
      <c r="H116" s="1659"/>
      <c r="I116" s="805"/>
      <c r="J116" s="725"/>
      <c r="K116" s="1659"/>
      <c r="L116" s="368"/>
      <c r="M116" s="495"/>
      <c r="N116" s="488"/>
      <c r="O116" s="1783"/>
      <c r="P116" s="1783"/>
    </row>
    <row s="8849" customFormat="1" customHeight="1" ht="18.75" hidden="1">
      <c r="A117" s="1939" t="s">
        <v>235</v>
      </c>
      <c r="B117" s="1939" t="s">
        <v>236</v>
      </c>
      <c r="C117" s="523"/>
      <c r="D117" s="2527"/>
      <c r="E117" s="2270"/>
      <c r="F117" s="2436" t="str">
        <f>INDEX(PT_DIFFERENTIATION_VTAR,MATCH(A117,PT_DIFFERENTIATION_VTAR_ID,0))</f>
        <v>Тариф на подвоз воды</v>
      </c>
      <c r="G117" s="2482" t="str">
        <f>INDEX(PT_DIFFERENTIATION_NTAR,MATCH(B117,PT_DIFFERENTIATION_NTAR_ID,0))</f>
        <v/>
      </c>
      <c r="H117" s="2022"/>
      <c r="I117" s="1898"/>
      <c r="J117" s="1932"/>
      <c r="K117" s="1937"/>
      <c r="L117" s="2022" t="s">
        <v>306</v>
      </c>
      <c r="M117" s="495"/>
      <c r="N117" s="488"/>
      <c r="O117" s="1783"/>
      <c r="P117" s="1783"/>
    </row>
    <row s="8849" customFormat="1" customHeight="1" ht="18.75" hidden="1">
      <c r="A118" s="1939"/>
      <c r="B118" s="1939"/>
      <c r="C118" s="523" t="s">
        <v>1064</v>
      </c>
      <c r="D118" s="2527"/>
      <c r="E118" s="2270"/>
      <c r="F118" s="2436"/>
      <c r="G118" s="2482"/>
      <c r="H118" s="1659"/>
      <c r="I118" s="805" t="s">
        <v>1063</v>
      </c>
      <c r="J118" s="725"/>
      <c r="K118" s="1659"/>
      <c r="L118" s="368"/>
      <c r="M118" s="495"/>
      <c r="N118" s="488"/>
      <c r="O118" s="1783"/>
      <c r="P118" s="1783"/>
    </row>
    <row s="8849" customFormat="1" customHeight="1" ht="0.75" hidden="1">
      <c r="A119" s="1939"/>
      <c r="B119" s="1939"/>
      <c r="C119" s="523" t="s">
        <v>1071</v>
      </c>
      <c r="D119" s="2527"/>
      <c r="E119" s="2270"/>
      <c r="F119" s="2436"/>
      <c r="G119" s="554"/>
      <c r="H119" s="1659"/>
      <c r="I119" s="805"/>
      <c r="J119" s="725"/>
      <c r="K119" s="1659"/>
      <c r="L119" s="368"/>
      <c r="M119" s="495"/>
      <c r="N119" s="488"/>
      <c r="O119" s="1783"/>
      <c r="P119" s="1783"/>
    </row>
    <row s="8849" customFormat="1" customHeight="1" ht="18.75" hidden="1">
      <c r="A120" s="1939" t="s">
        <v>240</v>
      </c>
      <c r="B120" s="1939" t="s">
        <v>241</v>
      </c>
      <c r="C120" s="523"/>
      <c r="D120" s="2527"/>
      <c r="E120" s="2270"/>
      <c r="F120" s="2436" t="str">
        <f>INDEX(PT_DIFFERENTIATION_VTAR,MATCH(A120,PT_DIFFERENTIATION_VTAR_ID,0))</f>
        <v>Тариф на подключение (технологическое присоединение) к централизованной системе холодного водоснабжения</v>
      </c>
      <c r="G120" s="2482" t="str">
        <f>INDEX(PT_DIFFERENTIATION_NTAR,MATCH(B120,PT_DIFFERENTIATION_NTAR_ID,0))</f>
        <v/>
      </c>
      <c r="H120" s="2022"/>
      <c r="I120" s="1898"/>
      <c r="J120" s="1932"/>
      <c r="K120" s="1937"/>
      <c r="L120" s="2022" t="s">
        <v>306</v>
      </c>
      <c r="M120" s="495"/>
      <c r="N120" s="488"/>
      <c r="O120" s="1783"/>
      <c r="P120" s="1783"/>
    </row>
    <row s="8849" customFormat="1" customHeight="1" ht="18.75" hidden="1">
      <c r="A121" s="1939"/>
      <c r="B121" s="1939"/>
      <c r="C121" s="523" t="s">
        <v>1064</v>
      </c>
      <c r="D121" s="2527"/>
      <c r="E121" s="2270"/>
      <c r="F121" s="2436"/>
      <c r="G121" s="2482"/>
      <c r="H121" s="1659"/>
      <c r="I121" s="805" t="s">
        <v>1063</v>
      </c>
      <c r="J121" s="725"/>
      <c r="K121" s="1659"/>
      <c r="L121" s="368"/>
      <c r="M121" s="495"/>
      <c r="N121" s="488"/>
      <c r="O121" s="1783"/>
      <c r="P121" s="1783"/>
    </row>
    <row s="8849" customFormat="1" customHeight="1" ht="0.75" hidden="1">
      <c r="A122" s="1939"/>
      <c r="B122" s="1939"/>
      <c r="C122" s="523" t="s">
        <v>1071</v>
      </c>
      <c r="D122" s="2527"/>
      <c r="E122" s="2270"/>
      <c r="F122" s="2436"/>
      <c r="G122" s="554"/>
      <c r="H122" s="1659"/>
      <c r="I122" s="805"/>
      <c r="J122" s="725"/>
      <c r="K122" s="1659"/>
      <c r="L122" s="368"/>
      <c r="M122" s="495"/>
      <c r="N122" s="488"/>
      <c r="O122" s="1783"/>
      <c r="P122" s="1783"/>
    </row>
    <row s="8849" customFormat="1" customHeight="1" ht="18.75" hidden="1">
      <c r="A123" s="1939" t="s">
        <v>247</v>
      </c>
      <c r="B123" s="1939" t="s">
        <v>248</v>
      </c>
      <c r="C123" s="523"/>
      <c r="D123" s="2527"/>
      <c r="E123" s="2270"/>
      <c r="F123" s="2436" t="str">
        <f>INDEX(PT_DIFFERENTIATION_VTAR,MATCH(A123,PT_DIFFERENTIATION_VTAR_ID,0))</f>
        <v>Тариф на горячую воду (горячее водоснабжение)</v>
      </c>
      <c r="G123" s="2482" t="str">
        <f>INDEX(PT_DIFFERENTIATION_NTAR,MATCH(B123,PT_DIFFERENTIATION_NTAR_ID,0))</f>
        <v>Тариф на горячую воду, поставляемую с использованием закрытой системы горячего водоснабжения АО "Теплокоммунэнерго" (ИНН 6165199445)</v>
      </c>
      <c r="H123" s="2022"/>
      <c r="I123" s="1898"/>
      <c r="J123" s="1932"/>
      <c r="K123" s="1937"/>
      <c r="L123" s="2022" t="s">
        <v>306</v>
      </c>
      <c r="M123" s="495"/>
      <c r="N123" s="488"/>
      <c r="O123" s="1783"/>
      <c r="P123" s="1783"/>
    </row>
    <row s="8849" customFormat="1" customHeight="1" ht="18.75" hidden="1">
      <c r="A124" s="1939"/>
      <c r="B124" s="1939"/>
      <c r="C124" s="523" t="s">
        <v>1064</v>
      </c>
      <c r="D124" s="2527"/>
      <c r="E124" s="2270"/>
      <c r="F124" s="2436"/>
      <c r="G124" s="2482"/>
      <c r="H124" s="1659"/>
      <c r="I124" s="805" t="s">
        <v>1063</v>
      </c>
      <c r="J124" s="725"/>
      <c r="K124" s="1659"/>
      <c r="L124" s="368"/>
      <c r="M124" s="495"/>
      <c r="N124" s="488"/>
      <c r="O124" s="1783"/>
      <c r="P124" s="1783"/>
    </row>
    <row s="8849" customFormat="1" customHeight="1" ht="0.75" hidden="1">
      <c r="A125" s="1939"/>
      <c r="B125" s="1939"/>
      <c r="C125" s="523" t="s">
        <v>1071</v>
      </c>
      <c r="D125" s="2527"/>
      <c r="E125" s="2270"/>
      <c r="F125" s="2436"/>
      <c r="G125" s="554"/>
      <c r="H125" s="1659"/>
      <c r="I125" s="805"/>
      <c r="J125" s="725"/>
      <c r="K125" s="1659"/>
      <c r="L125" s="368"/>
      <c r="M125" s="495"/>
      <c r="N125" s="488"/>
      <c r="O125" s="1783"/>
      <c r="P125" s="1783"/>
    </row>
    <row s="8849" customFormat="1" customHeight="1" ht="18.75" hidden="1">
      <c r="A126" s="1939" t="s">
        <v>255</v>
      </c>
      <c r="B126" s="1939" t="s">
        <v>256</v>
      </c>
      <c r="C126" s="523"/>
      <c r="D126" s="2527"/>
      <c r="E126" s="2270"/>
      <c r="F126" s="2436" t="str">
        <f>INDEX(PT_DIFFERENTIATION_VTAR,MATCH(A126,PT_DIFFERENTIATION_VTAR_ID,0))</f>
        <v>Тариф на транспортировку горячей воды</v>
      </c>
      <c r="G126" s="2482" t="str">
        <f>INDEX(PT_DIFFERENTIATION_NTAR,MATCH(B126,PT_DIFFERENTIATION_NTAR_ID,0))</f>
        <v/>
      </c>
      <c r="H126" s="2022"/>
      <c r="I126" s="1898"/>
      <c r="J126" s="1932"/>
      <c r="K126" s="1937"/>
      <c r="L126" s="2022" t="s">
        <v>306</v>
      </c>
      <c r="M126" s="495"/>
      <c r="N126" s="488"/>
      <c r="O126" s="1783"/>
      <c r="P126" s="1783"/>
    </row>
    <row s="8849" customFormat="1" customHeight="1" ht="18.75" hidden="1">
      <c r="A127" s="1939"/>
      <c r="B127" s="1939"/>
      <c r="C127" s="523" t="s">
        <v>1064</v>
      </c>
      <c r="D127" s="2527"/>
      <c r="E127" s="2270"/>
      <c r="F127" s="2436"/>
      <c r="G127" s="2482"/>
      <c r="H127" s="1659"/>
      <c r="I127" s="805" t="s">
        <v>1063</v>
      </c>
      <c r="J127" s="725"/>
      <c r="K127" s="1659"/>
      <c r="L127" s="368"/>
      <c r="M127" s="495"/>
      <c r="N127" s="488"/>
      <c r="O127" s="1783"/>
      <c r="P127" s="1783"/>
    </row>
    <row s="8849" customFormat="1" customHeight="1" ht="0.75" hidden="1">
      <c r="A128" s="1939"/>
      <c r="B128" s="1939"/>
      <c r="C128" s="523" t="s">
        <v>1071</v>
      </c>
      <c r="D128" s="2527"/>
      <c r="E128" s="2270"/>
      <c r="F128" s="2436"/>
      <c r="G128" s="554"/>
      <c r="H128" s="1659"/>
      <c r="I128" s="805"/>
      <c r="J128" s="725"/>
      <c r="K128" s="1659"/>
      <c r="L128" s="368"/>
      <c r="M128" s="495"/>
      <c r="N128" s="488"/>
      <c r="O128" s="1783"/>
      <c r="P128" s="1783"/>
    </row>
    <row s="8849" customFormat="1" customHeight="1" ht="18.75" hidden="1">
      <c r="A129" s="1939" t="s">
        <v>260</v>
      </c>
      <c r="B129" s="1939" t="s">
        <v>261</v>
      </c>
      <c r="C129" s="523"/>
      <c r="D129" s="2527"/>
      <c r="E129" s="2270"/>
      <c r="F129" s="2436" t="str">
        <f>INDEX(PT_DIFFERENTIATION_VTAR,MATCH(A129,PT_DIFFERENTIATION_VTAR_ID,0))</f>
        <v>Тариф на подключение (технологическое присоединение) к централизованной системе горячего водоснабжения</v>
      </c>
      <c r="G129" s="2482" t="str">
        <f>INDEX(PT_DIFFERENTIATION_NTAR,MATCH(B129,PT_DIFFERENTIATION_NTAR_ID,0))</f>
        <v/>
      </c>
      <c r="H129" s="2022"/>
      <c r="I129" s="1898"/>
      <c r="J129" s="1932"/>
      <c r="K129" s="1937"/>
      <c r="L129" s="2022" t="s">
        <v>306</v>
      </c>
      <c r="M129" s="495"/>
      <c r="N129" s="488"/>
      <c r="O129" s="1783"/>
      <c r="P129" s="1783"/>
    </row>
    <row s="8849" customFormat="1" customHeight="1" ht="18.75" hidden="1">
      <c r="A130" s="1939"/>
      <c r="B130" s="1939"/>
      <c r="C130" s="523" t="s">
        <v>1064</v>
      </c>
      <c r="D130" s="2527"/>
      <c r="E130" s="2270"/>
      <c r="F130" s="2436"/>
      <c r="G130" s="2482"/>
      <c r="H130" s="1659"/>
      <c r="I130" s="805" t="s">
        <v>1063</v>
      </c>
      <c r="J130" s="725"/>
      <c r="K130" s="1659"/>
      <c r="L130" s="368"/>
      <c r="M130" s="495"/>
      <c r="N130" s="488"/>
      <c r="O130" s="1783"/>
      <c r="P130" s="1783"/>
    </row>
    <row s="8849" customFormat="1" customHeight="1" ht="0.75" hidden="1">
      <c r="A131" s="1939"/>
      <c r="B131" s="1939"/>
      <c r="C131" s="523" t="s">
        <v>1071</v>
      </c>
      <c r="D131" s="2527"/>
      <c r="E131" s="2270"/>
      <c r="F131" s="2436"/>
      <c r="G131" s="554"/>
      <c r="H131" s="1659"/>
      <c r="I131" s="805"/>
      <c r="J131" s="725"/>
      <c r="K131" s="1659"/>
      <c r="L131" s="368"/>
      <c r="M131" s="495"/>
      <c r="N131" s="488"/>
      <c r="O131" s="1783"/>
      <c r="P131" s="1783"/>
    </row>
    <row s="8849" customFormat="1" customHeight="1" ht="18.75" hidden="1">
      <c r="A132" s="1939" t="s">
        <v>265</v>
      </c>
      <c r="B132" s="1939" t="s">
        <v>266</v>
      </c>
      <c r="C132" s="523"/>
      <c r="D132" s="2527"/>
      <c r="E132" s="2270"/>
      <c r="F132" s="2436" t="str">
        <f>INDEX(PT_DIFFERENTIATION_VTAR,MATCH(A132,PT_DIFFERENTIATION_VTAR_ID,0))</f>
        <v>Тариф на водоотведение</v>
      </c>
      <c r="G132" s="2482" t="str">
        <f>INDEX(PT_DIFFERENTIATION_NTAR,MATCH(B132,PT_DIFFERENTIATION_NTAR_ID,0))</f>
        <v/>
      </c>
      <c r="H132" s="2022"/>
      <c r="I132" s="1898"/>
      <c r="J132" s="1932"/>
      <c r="K132" s="1937"/>
      <c r="L132" s="2022" t="s">
        <v>306</v>
      </c>
      <c r="M132" s="495"/>
      <c r="N132" s="488"/>
      <c r="O132" s="1783"/>
      <c r="P132" s="1783"/>
    </row>
    <row s="8849" customFormat="1" customHeight="1" ht="18.75" hidden="1">
      <c r="A133" s="1939"/>
      <c r="B133" s="1939"/>
      <c r="C133" s="523" t="s">
        <v>1064</v>
      </c>
      <c r="D133" s="2527"/>
      <c r="E133" s="2270"/>
      <c r="F133" s="2436"/>
      <c r="G133" s="2482"/>
      <c r="H133" s="1659"/>
      <c r="I133" s="805" t="s">
        <v>1063</v>
      </c>
      <c r="J133" s="725"/>
      <c r="K133" s="1659"/>
      <c r="L133" s="368"/>
      <c r="M133" s="495"/>
      <c r="N133" s="488"/>
      <c r="O133" s="1783"/>
      <c r="P133" s="1783"/>
    </row>
    <row s="8849" customFormat="1" customHeight="1" ht="0.75" hidden="1">
      <c r="A134" s="1939"/>
      <c r="B134" s="1939"/>
      <c r="C134" s="523" t="s">
        <v>1071</v>
      </c>
      <c r="D134" s="2527"/>
      <c r="E134" s="2270"/>
      <c r="F134" s="2436"/>
      <c r="G134" s="554"/>
      <c r="H134" s="1659"/>
      <c r="I134" s="805"/>
      <c r="J134" s="725"/>
      <c r="K134" s="1659"/>
      <c r="L134" s="368"/>
      <c r="M134" s="495"/>
      <c r="N134" s="488"/>
      <c r="O134" s="1783"/>
      <c r="P134" s="1783"/>
    </row>
    <row s="8849" customFormat="1" customHeight="1" ht="18.75" hidden="1">
      <c r="A135" s="1939" t="s">
        <v>270</v>
      </c>
      <c r="B135" s="1939" t="s">
        <v>271</v>
      </c>
      <c r="C135" s="523"/>
      <c r="D135" s="2527"/>
      <c r="E135" s="2270"/>
      <c r="F135" s="2436" t="str">
        <f>INDEX(PT_DIFFERENTIATION_VTAR,MATCH(A135,PT_DIFFERENTIATION_VTAR_ID,0))</f>
        <v>Тариф на транспортировку сточных вод</v>
      </c>
      <c r="G135" s="2482" t="str">
        <f>INDEX(PT_DIFFERENTIATION_NTAR,MATCH(B135,PT_DIFFERENTIATION_NTAR_ID,0))</f>
        <v/>
      </c>
      <c r="H135" s="2022"/>
      <c r="I135" s="1898"/>
      <c r="J135" s="1932"/>
      <c r="K135" s="1937"/>
      <c r="L135" s="2022" t="s">
        <v>306</v>
      </c>
      <c r="M135" s="495"/>
      <c r="N135" s="488"/>
      <c r="O135" s="1783"/>
      <c r="P135" s="1783"/>
    </row>
    <row s="8849" customFormat="1" customHeight="1" ht="18.75" hidden="1">
      <c r="A136" s="1939"/>
      <c r="B136" s="1939"/>
      <c r="C136" s="523" t="s">
        <v>1064</v>
      </c>
      <c r="D136" s="2527"/>
      <c r="E136" s="2270"/>
      <c r="F136" s="2436"/>
      <c r="G136" s="2482"/>
      <c r="H136" s="1659"/>
      <c r="I136" s="805" t="s">
        <v>1063</v>
      </c>
      <c r="J136" s="725"/>
      <c r="K136" s="1659"/>
      <c r="L136" s="368"/>
      <c r="M136" s="495"/>
      <c r="N136" s="488"/>
      <c r="O136" s="1783"/>
      <c r="P136" s="1783"/>
    </row>
    <row s="8849" customFormat="1" customHeight="1" ht="0.75" hidden="1">
      <c r="A137" s="1939"/>
      <c r="B137" s="1939"/>
      <c r="C137" s="523" t="s">
        <v>1071</v>
      </c>
      <c r="D137" s="2527"/>
      <c r="E137" s="2270"/>
      <c r="F137" s="2436"/>
      <c r="G137" s="554"/>
      <c r="H137" s="1659"/>
      <c r="I137" s="805"/>
      <c r="J137" s="725"/>
      <c r="K137" s="1659"/>
      <c r="L137" s="368"/>
      <c r="M137" s="495"/>
      <c r="N137" s="488"/>
      <c r="O137" s="1783"/>
      <c r="P137" s="1783"/>
    </row>
    <row s="8849" customFormat="1" customHeight="1" ht="18.75" hidden="1">
      <c r="A138" s="1939" t="s">
        <v>275</v>
      </c>
      <c r="B138" s="1939" t="s">
        <v>276</v>
      </c>
      <c r="C138" s="523"/>
      <c r="D138" s="2527"/>
      <c r="E138" s="2270"/>
      <c r="F138" s="2436" t="str">
        <f>INDEX(PT_DIFFERENTIATION_VTAR,MATCH(A138,PT_DIFFERENTIATION_VTAR_ID,0))</f>
        <v>Тариф на подключение (технологическое присоединение) к централизованной системе водоотведения</v>
      </c>
      <c r="G138" s="2482" t="str">
        <f>INDEX(PT_DIFFERENTIATION_NTAR,MATCH(B138,PT_DIFFERENTIATION_NTAR_ID,0))</f>
        <v/>
      </c>
      <c r="H138" s="2022"/>
      <c r="I138" s="1898"/>
      <c r="J138" s="1932"/>
      <c r="K138" s="1937"/>
      <c r="L138" s="2022" t="s">
        <v>306</v>
      </c>
      <c r="M138" s="495"/>
      <c r="N138" s="488"/>
      <c r="O138" s="1783"/>
      <c r="P138" s="1783"/>
    </row>
    <row s="8849" customFormat="1" customHeight="1" ht="18.75" hidden="1">
      <c r="A139" s="1939"/>
      <c r="B139" s="1939"/>
      <c r="C139" s="523" t="s">
        <v>1064</v>
      </c>
      <c r="D139" s="2527"/>
      <c r="E139" s="2270"/>
      <c r="F139" s="2436"/>
      <c r="G139" s="2482"/>
      <c r="H139" s="1659"/>
      <c r="I139" s="805" t="s">
        <v>1063</v>
      </c>
      <c r="J139" s="725"/>
      <c r="K139" s="1659"/>
      <c r="L139" s="368"/>
      <c r="M139" s="495"/>
      <c r="N139" s="488"/>
      <c r="O139" s="1783"/>
      <c r="P139" s="1783"/>
    </row>
    <row s="8849" customFormat="1" customHeight="1" ht="0.75">
      <c r="A140" s="1939"/>
      <c r="B140" s="1939"/>
      <c r="C140" s="523" t="s">
        <v>1071</v>
      </c>
      <c r="D140" s="2527"/>
      <c r="E140" s="2270"/>
      <c r="F140" s="2436"/>
      <c r="G140" s="554"/>
      <c r="H140" s="1659"/>
      <c r="I140" s="805"/>
      <c r="J140" s="725"/>
      <c r="K140" s="1659"/>
      <c r="L140" s="368"/>
      <c r="M140" s="495"/>
      <c r="N140" s="488"/>
      <c r="O140" s="1783"/>
      <c r="P140" s="1783"/>
    </row>
    <row customHeight="1" ht="18.75">
      <c r="A141" s="1939"/>
      <c r="B141" s="1939"/>
      <c r="D141" s="530"/>
      <c r="E141" s="302" t="s">
        <v>88</v>
      </c>
      <c r="F141" s="2519" t="str">
        <f>"Годовой объем "&amp;IF(TEMPLATE_SPHERE="HEAT","полезного отпуска тепловой энергии (теплоносителя)",IF(TEMPLATE_SPHERE="VOTV","принятых сточных вод","отпущенной "&amp;IF(TEMPLATE_SPHERE="COLDVSNA","потребителям воды","в сеть горячей воды")))</f>
        <v>Годовой объем отпущенной в сеть горячей воды</v>
      </c>
      <c r="G141" s="2519"/>
      <c r="H141" s="2519"/>
      <c r="I141" s="2519"/>
      <c r="J141" s="2519"/>
      <c r="K141" s="2519"/>
      <c r="L141" s="2519"/>
      <c r="M141" s="451"/>
      <c r="N141" s="488"/>
    </row>
    <row s="8849" customFormat="1" customHeight="1" ht="60.75" hidden="1">
      <c r="A142" s="1939" t="s">
        <v>152</v>
      </c>
      <c r="B142" s="1939" t="s">
        <v>153</v>
      </c>
      <c r="C142" s="523"/>
      <c r="D142" s="2527"/>
      <c r="E142" s="2270"/>
      <c r="F142" s="2436" t="str">
        <f>INDEX(PT_DIFFERENTIATION_VTAR,MATCH(A142,PT_DIFFERENTIATION_VTAR_ID,0))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142" s="2482" t="str">
        <f>INDEX(PT_DIFFERENTIATION_NTAR,MATCH(B142,PT_DIFFERENTIATION_NTAR_ID,0))</f>
        <v/>
      </c>
      <c r="H142" s="2022"/>
      <c r="I142" s="1898"/>
      <c r="J142" s="1932"/>
      <c r="K142" s="1937"/>
      <c r="L142" s="2022" t="s">
        <v>306</v>
      </c>
      <c r="M142" s="2229"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годового объема "&amp;IF(TEMPLATE_SPHERE="HEAT","полезного отпуска тепловой энергии (теплоносителя)","отпущенной потребителям воды")&amp;" указывается в колонке «Информация» в тыс. "&amp;IF(TEMPLATE_SPHERE="HEAT","Гкал","куб. м.")&amp;"
В случае дифференциации "&amp;IF(TEMPLATE_SPHERE="HEAT","полезного отпуска тепловой энергии (теплоносителя)","отпущенной потребителям воды")&amp;"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горячего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годового объема отпущенной потребителям воды указывается в колонке «Информация» в тыс. куб. м.
В случае дифференциации отпущенной потребителям воды по видам тарифов и (или) по срокам действия тарифов информация указывается в отдельных строках.</v>
      </c>
      <c r="N142" s="488"/>
      <c r="O142" s="1783"/>
      <c r="P142" s="1783"/>
    </row>
    <row s="8849" customFormat="1" customHeight="1" ht="18.75" hidden="1">
      <c r="A143" s="1939"/>
      <c r="B143" s="1939"/>
      <c r="C143" s="523" t="s">
        <v>1064</v>
      </c>
      <c r="D143" s="2527"/>
      <c r="E143" s="2270"/>
      <c r="F143" s="2436"/>
      <c r="G143" s="2482"/>
      <c r="H143" s="1659"/>
      <c r="I143" s="805" t="s">
        <v>1063</v>
      </c>
      <c r="J143" s="725"/>
      <c r="K143" s="1659"/>
      <c r="L143" s="368"/>
      <c r="M143" s="2230"/>
      <c r="N143" s="488"/>
      <c r="O143" s="1783"/>
      <c r="P143" s="1783"/>
    </row>
    <row s="8849" customFormat="1" customHeight="1" ht="0.75" hidden="1">
      <c r="A144" s="1939"/>
      <c r="B144" s="1939"/>
      <c r="C144" s="523" t="s">
        <v>1071</v>
      </c>
      <c r="D144" s="2527"/>
      <c r="E144" s="2270"/>
      <c r="F144" s="2436"/>
      <c r="G144" s="554"/>
      <c r="H144" s="1659"/>
      <c r="I144" s="805"/>
      <c r="J144" s="725"/>
      <c r="K144" s="1659"/>
      <c r="L144" s="368"/>
      <c r="M144" s="2230"/>
      <c r="N144" s="488"/>
      <c r="O144" s="1783"/>
      <c r="P144" s="1783"/>
    </row>
    <row s="8849" customFormat="1" customHeight="1" ht="45" hidden="1">
      <c r="A145" s="1939" t="s">
        <v>158</v>
      </c>
      <c r="B145" s="1939" t="s">
        <v>159</v>
      </c>
      <c r="C145" s="523"/>
      <c r="D145" s="2527"/>
      <c r="E145" s="2270"/>
      <c r="F145" s="2436" t="str">
        <f>INDEX(PT_DIFFERENTIATION_VTAR,MATCH(A145,PT_DIFFERENTIATION_VTAR_ID,0))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G145" s="2482" t="str">
        <f>INDEX(PT_DIFFERENTIATION_NTAR,MATCH(B145,PT_DIFFERENTIATION_NTAR_ID,0))</f>
        <v/>
      </c>
      <c r="H145" s="2022"/>
      <c r="I145" s="1898"/>
      <c r="J145" s="1932"/>
      <c r="K145" s="1937"/>
      <c r="L145" s="2022" t="s">
        <v>306</v>
      </c>
      <c r="M145" s="2231"/>
      <c r="N145" s="488"/>
      <c r="O145" s="1783"/>
      <c r="P145" s="1783"/>
    </row>
    <row s="8849" customFormat="1" customHeight="1" ht="18.75" hidden="1">
      <c r="A146" s="1939"/>
      <c r="B146" s="1939"/>
      <c r="C146" s="523" t="s">
        <v>1064</v>
      </c>
      <c r="D146" s="2527"/>
      <c r="E146" s="2270"/>
      <c r="F146" s="2436"/>
      <c r="G146" s="2482"/>
      <c r="H146" s="1659"/>
      <c r="I146" s="805" t="s">
        <v>1063</v>
      </c>
      <c r="J146" s="725"/>
      <c r="K146" s="1659"/>
      <c r="L146" s="368"/>
      <c r="M146" s="2021"/>
      <c r="N146" s="488"/>
      <c r="O146" s="1783"/>
      <c r="P146" s="1783"/>
    </row>
    <row s="8849" customFormat="1" customHeight="1" ht="0.75" hidden="1">
      <c r="A147" s="1939"/>
      <c r="B147" s="1939"/>
      <c r="C147" s="523" t="s">
        <v>1071</v>
      </c>
      <c r="D147" s="2527"/>
      <c r="E147" s="2270"/>
      <c r="F147" s="2436"/>
      <c r="G147" s="554"/>
      <c r="H147" s="1659"/>
      <c r="I147" s="805"/>
      <c r="J147" s="725"/>
      <c r="K147" s="1659"/>
      <c r="L147" s="368"/>
      <c r="M147" s="495"/>
      <c r="N147" s="488"/>
      <c r="O147" s="1783"/>
      <c r="P147" s="1783"/>
    </row>
    <row s="8849" customFormat="1" customHeight="1" ht="45" hidden="1">
      <c r="A148" s="1939" t="s">
        <v>164</v>
      </c>
      <c r="B148" s="1939" t="s">
        <v>165</v>
      </c>
      <c r="C148" s="523"/>
      <c r="D148" s="2527"/>
      <c r="E148" s="2270"/>
      <c r="F148" s="2436" t="str">
        <f>INDEX(PT_DIFFERENTIATION_VTAR,MATCH(A148,PT_DIFFERENTIATION_VTAR_ID,0))</f>
        <v>Тарифы на теплоноситель, поставляемый теплоснабжающими организациями потребителям, другим теплоснабжающим организациям</v>
      </c>
      <c r="G148" s="2482" t="str">
        <f>INDEX(PT_DIFFERENTIATION_NTAR,MATCH(B148,PT_DIFFERENTIATION_NTAR_ID,0))</f>
        <v/>
      </c>
      <c r="H148" s="2022"/>
      <c r="I148" s="1898"/>
      <c r="J148" s="1932"/>
      <c r="K148" s="1937"/>
      <c r="L148" s="2022" t="s">
        <v>306</v>
      </c>
      <c r="M148" s="495"/>
      <c r="N148" s="488"/>
      <c r="O148" s="1783"/>
      <c r="P148" s="1783"/>
    </row>
    <row s="8849" customFormat="1" customHeight="1" ht="18.75" hidden="1">
      <c r="A149" s="1939"/>
      <c r="B149" s="1939"/>
      <c r="C149" s="523" t="s">
        <v>1064</v>
      </c>
      <c r="D149" s="2527"/>
      <c r="E149" s="2270"/>
      <c r="F149" s="2436"/>
      <c r="G149" s="2482"/>
      <c r="H149" s="1659"/>
      <c r="I149" s="805" t="s">
        <v>1063</v>
      </c>
      <c r="J149" s="725"/>
      <c r="K149" s="1659"/>
      <c r="L149" s="368"/>
      <c r="M149" s="495"/>
      <c r="N149" s="488"/>
      <c r="O149" s="1783"/>
      <c r="P149" s="1783"/>
    </row>
    <row s="8849" customFormat="1" customHeight="1" ht="0.75" hidden="1">
      <c r="A150" s="1939"/>
      <c r="B150" s="1939"/>
      <c r="C150" s="523" t="s">
        <v>1071</v>
      </c>
      <c r="D150" s="2527"/>
      <c r="E150" s="2270"/>
      <c r="F150" s="2436"/>
      <c r="G150" s="554"/>
      <c r="H150" s="1659"/>
      <c r="I150" s="805"/>
      <c r="J150" s="725"/>
      <c r="K150" s="1659"/>
      <c r="L150" s="368"/>
      <c r="M150" s="495"/>
      <c r="N150" s="488"/>
      <c r="O150" s="1783"/>
      <c r="P150" s="1783"/>
    </row>
    <row s="8849" customFormat="1" customHeight="1" ht="45" hidden="1">
      <c r="A151" s="1939" t="s">
        <v>170</v>
      </c>
      <c r="B151" s="1939" t="s">
        <v>171</v>
      </c>
      <c r="C151" s="523"/>
      <c r="D151" s="2527"/>
      <c r="E151" s="2270"/>
      <c r="F151" s="2436" t="str">
        <f>INDEX(PT_DIFFERENTIATION_VTAR,MATCH(A151,PT_DIFFERENTIATION_VTAR_ID,0))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151" s="2482" t="str">
        <f>INDEX(PT_DIFFERENTIATION_NTAR,MATCH(B151,PT_DIFFERENTIATION_NTAR_ID,0))</f>
        <v/>
      </c>
      <c r="H151" s="2022"/>
      <c r="I151" s="1898"/>
      <c r="J151" s="1932"/>
      <c r="K151" s="1937"/>
      <c r="L151" s="2022" t="s">
        <v>306</v>
      </c>
      <c r="M151" s="495"/>
      <c r="N151" s="488"/>
      <c r="O151" s="1783"/>
      <c r="P151" s="1783"/>
    </row>
    <row s="8849" customFormat="1" customHeight="1" ht="18.75" hidden="1">
      <c r="A152" s="1939"/>
      <c r="B152" s="1939"/>
      <c r="C152" s="523" t="s">
        <v>1064</v>
      </c>
      <c r="D152" s="2527"/>
      <c r="E152" s="2270"/>
      <c r="F152" s="2436"/>
      <c r="G152" s="2482"/>
      <c r="H152" s="1659"/>
      <c r="I152" s="805" t="s">
        <v>1063</v>
      </c>
      <c r="J152" s="725"/>
      <c r="K152" s="1659"/>
      <c r="L152" s="368"/>
      <c r="M152" s="495"/>
      <c r="N152" s="488"/>
      <c r="O152" s="1783"/>
      <c r="P152" s="1783"/>
    </row>
    <row s="8849" customFormat="1" customHeight="1" ht="0.75" hidden="1">
      <c r="A153" s="1939"/>
      <c r="B153" s="1939"/>
      <c r="C153" s="523" t="s">
        <v>1071</v>
      </c>
      <c r="D153" s="2527"/>
      <c r="E153" s="2270"/>
      <c r="F153" s="2436"/>
      <c r="G153" s="554"/>
      <c r="H153" s="1659"/>
      <c r="I153" s="805"/>
      <c r="J153" s="725"/>
      <c r="K153" s="1659"/>
      <c r="L153" s="368"/>
      <c r="M153" s="495"/>
      <c r="N153" s="488"/>
      <c r="O153" s="1783"/>
      <c r="P153" s="1783"/>
    </row>
    <row s="8849" customFormat="1" customHeight="1" ht="18.75" hidden="1">
      <c r="A154" s="1939" t="s">
        <v>176</v>
      </c>
      <c r="B154" s="1939" t="s">
        <v>177</v>
      </c>
      <c r="C154" s="523"/>
      <c r="D154" s="2527"/>
      <c r="E154" s="2270"/>
      <c r="F154" s="2436" t="str">
        <f>INDEX(PT_DIFFERENTIATION_VTAR,MATCH(A154,PT_DIFFERENTIATION_VTAR_ID,0))</f>
        <v>Тарифы на услуги по передаче тепловой энергии</v>
      </c>
      <c r="G154" s="2482" t="str">
        <f>INDEX(PT_DIFFERENTIATION_NTAR,MATCH(B154,PT_DIFFERENTIATION_NTAR_ID,0))</f>
        <v/>
      </c>
      <c r="H154" s="2022"/>
      <c r="I154" s="1898"/>
      <c r="J154" s="1932"/>
      <c r="K154" s="1937"/>
      <c r="L154" s="2022" t="s">
        <v>306</v>
      </c>
      <c r="M154" s="495"/>
      <c r="N154" s="488"/>
      <c r="O154" s="1783"/>
      <c r="P154" s="1783"/>
    </row>
    <row s="8849" customFormat="1" customHeight="1" ht="18.75" hidden="1">
      <c r="A155" s="1939"/>
      <c r="B155" s="1939"/>
      <c r="C155" s="523" t="s">
        <v>1064</v>
      </c>
      <c r="D155" s="2527"/>
      <c r="E155" s="2270"/>
      <c r="F155" s="2436"/>
      <c r="G155" s="2482"/>
      <c r="H155" s="1659"/>
      <c r="I155" s="805" t="s">
        <v>1063</v>
      </c>
      <c r="J155" s="725"/>
      <c r="K155" s="1659"/>
      <c r="L155" s="368"/>
      <c r="M155" s="495"/>
      <c r="N155" s="488"/>
      <c r="O155" s="1783"/>
      <c r="P155" s="1783"/>
    </row>
    <row s="8849" customFormat="1" customHeight="1" ht="0.75" hidden="1">
      <c r="A156" s="1939"/>
      <c r="B156" s="1939"/>
      <c r="C156" s="523" t="s">
        <v>1071</v>
      </c>
      <c r="D156" s="2527"/>
      <c r="E156" s="2270"/>
      <c r="F156" s="2436"/>
      <c r="G156" s="554"/>
      <c r="H156" s="1659"/>
      <c r="I156" s="805"/>
      <c r="J156" s="725"/>
      <c r="K156" s="1659"/>
      <c r="L156" s="368"/>
      <c r="M156" s="495"/>
      <c r="N156" s="488"/>
      <c r="O156" s="1783"/>
      <c r="P156" s="1783"/>
    </row>
    <row s="8849" customFormat="1" customHeight="1" ht="18.75" hidden="1">
      <c r="A157" s="1939" t="s">
        <v>182</v>
      </c>
      <c r="B157" s="1939" t="s">
        <v>183</v>
      </c>
      <c r="C157" s="523"/>
      <c r="D157" s="2527"/>
      <c r="E157" s="2270"/>
      <c r="F157" s="2436" t="str">
        <f>INDEX(PT_DIFFERENTIATION_VTAR,MATCH(A157,PT_DIFFERENTIATION_VTAR_ID,0))</f>
        <v>Тарифы на услуги по передаче теплоносителя</v>
      </c>
      <c r="G157" s="2482" t="str">
        <f>INDEX(PT_DIFFERENTIATION_NTAR,MATCH(B157,PT_DIFFERENTIATION_NTAR_ID,0))</f>
        <v/>
      </c>
      <c r="H157" s="2022"/>
      <c r="I157" s="1898"/>
      <c r="J157" s="1932"/>
      <c r="K157" s="1937"/>
      <c r="L157" s="2022" t="s">
        <v>306</v>
      </c>
      <c r="M157" s="495"/>
      <c r="N157" s="488"/>
      <c r="O157" s="1783"/>
      <c r="P157" s="1783"/>
    </row>
    <row s="8849" customFormat="1" customHeight="1" ht="18.75" hidden="1">
      <c r="A158" s="1939"/>
      <c r="B158" s="1939"/>
      <c r="C158" s="523" t="s">
        <v>1064</v>
      </c>
      <c r="D158" s="2527"/>
      <c r="E158" s="2270"/>
      <c r="F158" s="2436"/>
      <c r="G158" s="2482"/>
      <c r="H158" s="1659"/>
      <c r="I158" s="805" t="s">
        <v>1063</v>
      </c>
      <c r="J158" s="725"/>
      <c r="K158" s="1659"/>
      <c r="L158" s="368"/>
      <c r="M158" s="495"/>
      <c r="N158" s="488"/>
      <c r="O158" s="1783"/>
      <c r="P158" s="1783"/>
    </row>
    <row s="8849" customFormat="1" customHeight="1" ht="0.75" hidden="1">
      <c r="A159" s="1939"/>
      <c r="B159" s="1939"/>
      <c r="C159" s="523" t="s">
        <v>1071</v>
      </c>
      <c r="D159" s="2527"/>
      <c r="E159" s="2270"/>
      <c r="F159" s="2436"/>
      <c r="G159" s="554"/>
      <c r="H159" s="1659"/>
      <c r="I159" s="805"/>
      <c r="J159" s="725"/>
      <c r="K159" s="1659"/>
      <c r="L159" s="368"/>
      <c r="M159" s="495"/>
      <c r="N159" s="488"/>
      <c r="O159" s="1783"/>
      <c r="P159" s="1783"/>
    </row>
    <row s="8849" customFormat="1" customHeight="1" ht="18.75" hidden="1">
      <c r="A160" s="1939" t="s">
        <v>188</v>
      </c>
      <c r="B160" s="1939" t="s">
        <v>189</v>
      </c>
      <c r="C160" s="523"/>
      <c r="D160" s="2527"/>
      <c r="E160" s="2270"/>
      <c r="F160" s="2436" t="str">
        <f>INDEX(PT_DIFFERENTIATION_VTAR,MATCH(A160,PT_DIFFERENTIATION_VTAR_ID,0))</f>
        <v>Плата за услуги по поддержанию резервной тепловой мощности при отсутствии потребления тепловой энергии</v>
      </c>
      <c r="G160" s="2482" t="str">
        <f>INDEX(PT_DIFFERENTIATION_NTAR,MATCH(B160,PT_DIFFERENTIATION_NTAR_ID,0))</f>
        <v/>
      </c>
      <c r="H160" s="2022"/>
      <c r="I160" s="1898"/>
      <c r="J160" s="1932"/>
      <c r="K160" s="1937"/>
      <c r="L160" s="2022" t="s">
        <v>306</v>
      </c>
      <c r="M160" s="495"/>
      <c r="N160" s="488"/>
      <c r="O160" s="1783"/>
      <c r="P160" s="1783"/>
    </row>
    <row s="8849" customFormat="1" customHeight="1" ht="18.75" hidden="1">
      <c r="A161" s="1939"/>
      <c r="B161" s="1939"/>
      <c r="C161" s="523" t="s">
        <v>1064</v>
      </c>
      <c r="D161" s="2527"/>
      <c r="E161" s="2270"/>
      <c r="F161" s="2436"/>
      <c r="G161" s="2482"/>
      <c r="H161" s="1659"/>
      <c r="I161" s="805" t="s">
        <v>1063</v>
      </c>
      <c r="J161" s="725"/>
      <c r="K161" s="1659"/>
      <c r="L161" s="368"/>
      <c r="M161" s="495"/>
      <c r="N161" s="488"/>
      <c r="O161" s="1783"/>
      <c r="P161" s="1783"/>
    </row>
    <row s="8849" customFormat="1" customHeight="1" ht="0.75" hidden="1">
      <c r="A162" s="1939"/>
      <c r="B162" s="1939"/>
      <c r="C162" s="523" t="s">
        <v>1071</v>
      </c>
      <c r="D162" s="2527"/>
      <c r="E162" s="2270"/>
      <c r="F162" s="2436"/>
      <c r="G162" s="554"/>
      <c r="H162" s="1659"/>
      <c r="I162" s="805"/>
      <c r="J162" s="725"/>
      <c r="K162" s="1659"/>
      <c r="L162" s="368"/>
      <c r="M162" s="495"/>
      <c r="N162" s="488"/>
      <c r="O162" s="1783"/>
      <c r="P162" s="1783"/>
    </row>
    <row s="8849" customFormat="1" customHeight="1" ht="18.75" hidden="1">
      <c r="A163" s="1939" t="s">
        <v>194</v>
      </c>
      <c r="B163" s="1939" t="s">
        <v>195</v>
      </c>
      <c r="C163" s="523"/>
      <c r="D163" s="2527"/>
      <c r="E163" s="2270"/>
      <c r="F163" s="2436" t="str">
        <f>INDEX(PT_DIFFERENTIATION_VTAR,MATCH(A163,PT_DIFFERENTIATION_VTAR_ID,0))</f>
        <v>Плата за подключение (технологическое присоединение) к системе теплоснабжения</v>
      </c>
      <c r="G163" s="2482" t="str">
        <f>INDEX(PT_DIFFERENTIATION_NTAR,MATCH(B163,PT_DIFFERENTIATION_NTAR_ID,0))</f>
        <v/>
      </c>
      <c r="H163" s="2022"/>
      <c r="I163" s="1898"/>
      <c r="J163" s="1932"/>
      <c r="K163" s="1937"/>
      <c r="L163" s="2022" t="s">
        <v>306</v>
      </c>
      <c r="M163" s="495"/>
      <c r="N163" s="488"/>
      <c r="O163" s="1783"/>
      <c r="P163" s="1783"/>
    </row>
    <row s="8849" customFormat="1" customHeight="1" ht="18.75" hidden="1">
      <c r="A164" s="1939"/>
      <c r="B164" s="1939"/>
      <c r="C164" s="523" t="s">
        <v>1064</v>
      </c>
      <c r="D164" s="2527"/>
      <c r="E164" s="2270"/>
      <c r="F164" s="2436"/>
      <c r="G164" s="2482"/>
      <c r="H164" s="1659"/>
      <c r="I164" s="805" t="s">
        <v>1063</v>
      </c>
      <c r="J164" s="725"/>
      <c r="K164" s="1659"/>
      <c r="L164" s="368"/>
      <c r="M164" s="495"/>
      <c r="N164" s="488"/>
      <c r="O164" s="1783"/>
      <c r="P164" s="1783"/>
    </row>
    <row s="8849" customFormat="1" customHeight="1" ht="0.75" hidden="1">
      <c r="A165" s="1939"/>
      <c r="B165" s="1939"/>
      <c r="C165" s="523" t="s">
        <v>1071</v>
      </c>
      <c r="D165" s="2527"/>
      <c r="E165" s="2270"/>
      <c r="F165" s="2436"/>
      <c r="G165" s="554"/>
      <c r="H165" s="1659"/>
      <c r="I165" s="805"/>
      <c r="J165" s="725"/>
      <c r="K165" s="1659"/>
      <c r="L165" s="368"/>
      <c r="M165" s="495"/>
      <c r="N165" s="488"/>
      <c r="O165" s="1783"/>
      <c r="P165" s="1783"/>
    </row>
    <row s="8849" customFormat="1" customHeight="1" ht="18.75" hidden="1">
      <c r="A166" s="1939" t="s">
        <v>220</v>
      </c>
      <c r="B166" s="1939" t="s">
        <v>221</v>
      </c>
      <c r="C166" s="523"/>
      <c r="D166" s="2527"/>
      <c r="E166" s="2270"/>
      <c r="F166" s="2436" t="str">
        <f>INDEX(PT_DIFFERENTIATION_VTAR,MATCH(A166,PT_DIFFERENTIATION_VTAR_ID,0))</f>
        <v>Тариф на питьевую воду (питьевое водоснабжение)</v>
      </c>
      <c r="G166" s="2482" t="str">
        <f>INDEX(PT_DIFFERENTIATION_NTAR,MATCH(B166,PT_DIFFERENTIATION_NTAR_ID,0))</f>
        <v/>
      </c>
      <c r="H166" s="2022"/>
      <c r="I166" s="1898"/>
      <c r="J166" s="1932"/>
      <c r="K166" s="1937"/>
      <c r="L166" s="2022" t="s">
        <v>306</v>
      </c>
      <c r="M166" s="495"/>
      <c r="N166" s="488"/>
      <c r="O166" s="1783"/>
      <c r="P166" s="1783"/>
    </row>
    <row s="8849" customFormat="1" customHeight="1" ht="18.75" hidden="1">
      <c r="A167" s="1939"/>
      <c r="B167" s="1939"/>
      <c r="C167" s="523" t="s">
        <v>1064</v>
      </c>
      <c r="D167" s="2527"/>
      <c r="E167" s="2270"/>
      <c r="F167" s="2436"/>
      <c r="G167" s="2482"/>
      <c r="H167" s="1659"/>
      <c r="I167" s="805" t="s">
        <v>1063</v>
      </c>
      <c r="J167" s="725"/>
      <c r="K167" s="1659"/>
      <c r="L167" s="368"/>
      <c r="M167" s="495"/>
      <c r="N167" s="488"/>
      <c r="O167" s="1783"/>
      <c r="P167" s="1783"/>
    </row>
    <row s="8849" customFormat="1" customHeight="1" ht="0.75" hidden="1">
      <c r="A168" s="1939"/>
      <c r="B168" s="1939"/>
      <c r="C168" s="523" t="s">
        <v>1071</v>
      </c>
      <c r="D168" s="2527"/>
      <c r="E168" s="2270"/>
      <c r="F168" s="2436"/>
      <c r="G168" s="554"/>
      <c r="H168" s="1659"/>
      <c r="I168" s="805"/>
      <c r="J168" s="725"/>
      <c r="K168" s="1659"/>
      <c r="L168" s="368"/>
      <c r="M168" s="495"/>
      <c r="N168" s="488"/>
      <c r="O168" s="1783"/>
      <c r="P168" s="1783"/>
    </row>
    <row s="8849" customFormat="1" customHeight="1" ht="18.75" hidden="1">
      <c r="A169" s="1939" t="s">
        <v>225</v>
      </c>
      <c r="B169" s="1939" t="s">
        <v>226</v>
      </c>
      <c r="C169" s="523"/>
      <c r="D169" s="2527"/>
      <c r="E169" s="2270"/>
      <c r="F169" s="2436" t="str">
        <f>INDEX(PT_DIFFERENTIATION_VTAR,MATCH(A169,PT_DIFFERENTIATION_VTAR_ID,0))</f>
        <v>Тариф на техническую воду</v>
      </c>
      <c r="G169" s="2482" t="str">
        <f>INDEX(PT_DIFFERENTIATION_NTAR,MATCH(B169,PT_DIFFERENTIATION_NTAR_ID,0))</f>
        <v/>
      </c>
      <c r="H169" s="2022"/>
      <c r="I169" s="1898"/>
      <c r="J169" s="1932"/>
      <c r="K169" s="1937"/>
      <c r="L169" s="2022" t="s">
        <v>306</v>
      </c>
      <c r="M169" s="495"/>
      <c r="N169" s="488"/>
      <c r="O169" s="1783"/>
      <c r="P169" s="1783"/>
    </row>
    <row s="8849" customFormat="1" customHeight="1" ht="18.75" hidden="1">
      <c r="A170" s="1939"/>
      <c r="B170" s="1939"/>
      <c r="C170" s="523" t="s">
        <v>1064</v>
      </c>
      <c r="D170" s="2527"/>
      <c r="E170" s="2270"/>
      <c r="F170" s="2436"/>
      <c r="G170" s="2482"/>
      <c r="H170" s="1659"/>
      <c r="I170" s="805" t="s">
        <v>1063</v>
      </c>
      <c r="J170" s="725"/>
      <c r="K170" s="1659"/>
      <c r="L170" s="368"/>
      <c r="M170" s="495"/>
      <c r="N170" s="488"/>
      <c r="O170" s="1783"/>
      <c r="P170" s="1783"/>
    </row>
    <row s="8849" customFormat="1" customHeight="1" ht="0.75" hidden="1">
      <c r="A171" s="1939"/>
      <c r="B171" s="1939"/>
      <c r="C171" s="523" t="s">
        <v>1071</v>
      </c>
      <c r="D171" s="2527"/>
      <c r="E171" s="2270"/>
      <c r="F171" s="2436"/>
      <c r="G171" s="554"/>
      <c r="H171" s="1659"/>
      <c r="I171" s="805"/>
      <c r="J171" s="725"/>
      <c r="K171" s="1659"/>
      <c r="L171" s="368"/>
      <c r="M171" s="495"/>
      <c r="N171" s="488"/>
      <c r="O171" s="1783"/>
      <c r="P171" s="1783"/>
    </row>
    <row s="8849" customFormat="1" customHeight="1" ht="18.75" hidden="1">
      <c r="A172" s="1939" t="s">
        <v>230</v>
      </c>
      <c r="B172" s="1939" t="s">
        <v>231</v>
      </c>
      <c r="C172" s="523"/>
      <c r="D172" s="2527"/>
      <c r="E172" s="2270"/>
      <c r="F172" s="2436" t="str">
        <f>INDEX(PT_DIFFERENTIATION_VTAR,MATCH(A172,PT_DIFFERENTIATION_VTAR_ID,0))</f>
        <v>Тариф на транспортировку воды</v>
      </c>
      <c r="G172" s="2482" t="str">
        <f>INDEX(PT_DIFFERENTIATION_NTAR,MATCH(B172,PT_DIFFERENTIATION_NTAR_ID,0))</f>
        <v/>
      </c>
      <c r="H172" s="2022"/>
      <c r="I172" s="1898"/>
      <c r="J172" s="1932"/>
      <c r="K172" s="1937"/>
      <c r="L172" s="2022" t="s">
        <v>306</v>
      </c>
      <c r="M172" s="495"/>
      <c r="N172" s="488"/>
      <c r="O172" s="1783"/>
      <c r="P172" s="1783"/>
    </row>
    <row s="8849" customFormat="1" customHeight="1" ht="18.75" hidden="1">
      <c r="A173" s="1939"/>
      <c r="B173" s="1939"/>
      <c r="C173" s="523" t="s">
        <v>1064</v>
      </c>
      <c r="D173" s="2527"/>
      <c r="E173" s="2270"/>
      <c r="F173" s="2436"/>
      <c r="G173" s="2482"/>
      <c r="H173" s="1659"/>
      <c r="I173" s="805" t="s">
        <v>1063</v>
      </c>
      <c r="J173" s="725"/>
      <c r="K173" s="1659"/>
      <c r="L173" s="368"/>
      <c r="M173" s="495"/>
      <c r="N173" s="488"/>
      <c r="O173" s="1783"/>
      <c r="P173" s="1783"/>
    </row>
    <row s="8849" customFormat="1" customHeight="1" ht="0.75" hidden="1">
      <c r="A174" s="1939"/>
      <c r="B174" s="1939"/>
      <c r="C174" s="523" t="s">
        <v>1071</v>
      </c>
      <c r="D174" s="2527"/>
      <c r="E174" s="2270"/>
      <c r="F174" s="2436"/>
      <c r="G174" s="554"/>
      <c r="H174" s="1659"/>
      <c r="I174" s="805"/>
      <c r="J174" s="725"/>
      <c r="K174" s="1659"/>
      <c r="L174" s="368"/>
      <c r="M174" s="495"/>
      <c r="N174" s="488"/>
      <c r="O174" s="1783"/>
      <c r="P174" s="1783"/>
    </row>
    <row s="8849" customFormat="1" customHeight="1" ht="18.75" hidden="1">
      <c r="A175" s="1939" t="s">
        <v>235</v>
      </c>
      <c r="B175" s="1939" t="s">
        <v>236</v>
      </c>
      <c r="C175" s="523"/>
      <c r="D175" s="2527"/>
      <c r="E175" s="2270"/>
      <c r="F175" s="2436" t="str">
        <f>INDEX(PT_DIFFERENTIATION_VTAR,MATCH(A175,PT_DIFFERENTIATION_VTAR_ID,0))</f>
        <v>Тариф на подвоз воды</v>
      </c>
      <c r="G175" s="2482" t="str">
        <f>INDEX(PT_DIFFERENTIATION_NTAR,MATCH(B175,PT_DIFFERENTIATION_NTAR_ID,0))</f>
        <v/>
      </c>
      <c r="H175" s="2022"/>
      <c r="I175" s="1898"/>
      <c r="J175" s="1932"/>
      <c r="K175" s="1937"/>
      <c r="L175" s="2022" t="s">
        <v>306</v>
      </c>
      <c r="M175" s="495"/>
      <c r="N175" s="488"/>
      <c r="O175" s="1783"/>
      <c r="P175" s="1783"/>
    </row>
    <row s="8849" customFormat="1" customHeight="1" ht="18.75" hidden="1">
      <c r="A176" s="1939"/>
      <c r="B176" s="1939"/>
      <c r="C176" s="523" t="s">
        <v>1064</v>
      </c>
      <c r="D176" s="2527"/>
      <c r="E176" s="2270"/>
      <c r="F176" s="2436"/>
      <c r="G176" s="2482"/>
      <c r="H176" s="1659"/>
      <c r="I176" s="805" t="s">
        <v>1063</v>
      </c>
      <c r="J176" s="725"/>
      <c r="K176" s="1659"/>
      <c r="L176" s="368"/>
      <c r="M176" s="495"/>
      <c r="N176" s="488"/>
      <c r="O176" s="1783"/>
      <c r="P176" s="1783"/>
    </row>
    <row s="8849" customFormat="1" customHeight="1" ht="0.75" hidden="1">
      <c r="A177" s="1939"/>
      <c r="B177" s="1939"/>
      <c r="C177" s="523" t="s">
        <v>1071</v>
      </c>
      <c r="D177" s="2527"/>
      <c r="E177" s="2270"/>
      <c r="F177" s="2436"/>
      <c r="G177" s="554"/>
      <c r="H177" s="1659"/>
      <c r="I177" s="805"/>
      <c r="J177" s="725"/>
      <c r="K177" s="1659"/>
      <c r="L177" s="368"/>
      <c r="M177" s="495"/>
      <c r="N177" s="488"/>
      <c r="O177" s="1783"/>
      <c r="P177" s="1783"/>
    </row>
    <row s="8849" customFormat="1" customHeight="1" ht="18.75" hidden="1">
      <c r="A178" s="1939" t="s">
        <v>240</v>
      </c>
      <c r="B178" s="1939" t="s">
        <v>241</v>
      </c>
      <c r="C178" s="523"/>
      <c r="D178" s="2527"/>
      <c r="E178" s="2270"/>
      <c r="F178" s="2436" t="str">
        <f>INDEX(PT_DIFFERENTIATION_VTAR,MATCH(A178,PT_DIFFERENTIATION_VTAR_ID,0))</f>
        <v>Тариф на подключение (технологическое присоединение) к централизованной системе холодного водоснабжения</v>
      </c>
      <c r="G178" s="2482" t="str">
        <f>INDEX(PT_DIFFERENTIATION_NTAR,MATCH(B178,PT_DIFFERENTIATION_NTAR_ID,0))</f>
        <v/>
      </c>
      <c r="H178" s="2022"/>
      <c r="I178" s="1898"/>
      <c r="J178" s="1932"/>
      <c r="K178" s="1937"/>
      <c r="L178" s="2022" t="s">
        <v>306</v>
      </c>
      <c r="M178" s="495"/>
      <c r="N178" s="488"/>
      <c r="O178" s="1783"/>
      <c r="P178" s="1783"/>
    </row>
    <row s="8849" customFormat="1" customHeight="1" ht="18.75" hidden="1">
      <c r="A179" s="1939"/>
      <c r="B179" s="1939"/>
      <c r="C179" s="523" t="s">
        <v>1064</v>
      </c>
      <c r="D179" s="2527"/>
      <c r="E179" s="2270"/>
      <c r="F179" s="2436"/>
      <c r="G179" s="2482"/>
      <c r="H179" s="1659"/>
      <c r="I179" s="805" t="s">
        <v>1063</v>
      </c>
      <c r="J179" s="725"/>
      <c r="K179" s="1659"/>
      <c r="L179" s="368"/>
      <c r="M179" s="495"/>
      <c r="N179" s="488"/>
      <c r="O179" s="1783"/>
      <c r="P179" s="1783"/>
    </row>
    <row s="8849" customFormat="1" customHeight="1" ht="0.75" hidden="1">
      <c r="A180" s="1939"/>
      <c r="B180" s="1939"/>
      <c r="C180" s="523" t="s">
        <v>1071</v>
      </c>
      <c r="D180" s="2527"/>
      <c r="E180" s="2270"/>
      <c r="F180" s="2436"/>
      <c r="G180" s="554"/>
      <c r="H180" s="1659"/>
      <c r="I180" s="805"/>
      <c r="J180" s="725"/>
      <c r="K180" s="1659"/>
      <c r="L180" s="368"/>
      <c r="M180" s="495"/>
      <c r="N180" s="488"/>
      <c r="O180" s="1783"/>
      <c r="P180" s="1783"/>
    </row>
    <row s="8849" customFormat="1" customHeight="1" ht="18.75" hidden="1">
      <c r="A181" s="1939" t="s">
        <v>247</v>
      </c>
      <c r="B181" s="1939" t="s">
        <v>248</v>
      </c>
      <c r="C181" s="523"/>
      <c r="D181" s="2527"/>
      <c r="E181" s="2270"/>
      <c r="F181" s="2436" t="str">
        <f>INDEX(PT_DIFFERENTIATION_VTAR,MATCH(A181,PT_DIFFERENTIATION_VTAR_ID,0))</f>
        <v>Тариф на горячую воду (горячее водоснабжение)</v>
      </c>
      <c r="G181" s="2482" t="str">
        <f>INDEX(PT_DIFFERENTIATION_NTAR,MATCH(B181,PT_DIFFERENTIATION_NTAR_ID,0))</f>
        <v>Тариф на горячую воду, поставляемую с использованием закрытой системы горячего водоснабжения АО "Теплокоммунэнерго" (ИНН 6165199445)</v>
      </c>
      <c r="H181" s="2022"/>
      <c r="I181" s="1898"/>
      <c r="J181" s="1932"/>
      <c r="K181" s="1937"/>
      <c r="L181" s="2022" t="s">
        <v>306</v>
      </c>
      <c r="M181" s="495"/>
      <c r="N181" s="488"/>
      <c r="O181" s="1783"/>
      <c r="P181" s="1783"/>
    </row>
    <row s="8849" customFormat="1" customHeight="1" ht="18.75" hidden="1">
      <c r="A182" s="1939"/>
      <c r="B182" s="1939"/>
      <c r="C182" s="523" t="s">
        <v>1064</v>
      </c>
      <c r="D182" s="2527"/>
      <c r="E182" s="2270"/>
      <c r="F182" s="2436"/>
      <c r="G182" s="2482"/>
      <c r="H182" s="1659"/>
      <c r="I182" s="805" t="s">
        <v>1063</v>
      </c>
      <c r="J182" s="725"/>
      <c r="K182" s="1659"/>
      <c r="L182" s="368"/>
      <c r="M182" s="495"/>
      <c r="N182" s="488"/>
      <c r="O182" s="1783"/>
      <c r="P182" s="1783"/>
    </row>
    <row s="8849" customFormat="1" customHeight="1" ht="0.75" hidden="1">
      <c r="A183" s="1939"/>
      <c r="B183" s="1939"/>
      <c r="C183" s="523" t="s">
        <v>1071</v>
      </c>
      <c r="D183" s="2527"/>
      <c r="E183" s="2270"/>
      <c r="F183" s="2436"/>
      <c r="G183" s="554"/>
      <c r="H183" s="1659"/>
      <c r="I183" s="805"/>
      <c r="J183" s="725"/>
      <c r="K183" s="1659"/>
      <c r="L183" s="368"/>
      <c r="M183" s="495"/>
      <c r="N183" s="488"/>
      <c r="O183" s="1783"/>
      <c r="P183" s="1783"/>
    </row>
    <row s="8849" customFormat="1" customHeight="1" ht="18.75" hidden="1">
      <c r="A184" s="1939" t="s">
        <v>255</v>
      </c>
      <c r="B184" s="1939" t="s">
        <v>256</v>
      </c>
      <c r="C184" s="523"/>
      <c r="D184" s="2527"/>
      <c r="E184" s="2270"/>
      <c r="F184" s="2436" t="str">
        <f>INDEX(PT_DIFFERENTIATION_VTAR,MATCH(A184,PT_DIFFERENTIATION_VTAR_ID,0))</f>
        <v>Тариф на транспортировку горячей воды</v>
      </c>
      <c r="G184" s="2482" t="str">
        <f>INDEX(PT_DIFFERENTIATION_NTAR,MATCH(B184,PT_DIFFERENTIATION_NTAR_ID,0))</f>
        <v/>
      </c>
      <c r="H184" s="2022"/>
      <c r="I184" s="1898"/>
      <c r="J184" s="1932"/>
      <c r="K184" s="1937"/>
      <c r="L184" s="2022" t="s">
        <v>306</v>
      </c>
      <c r="M184" s="495"/>
      <c r="N184" s="488"/>
      <c r="O184" s="1783"/>
      <c r="P184" s="1783"/>
    </row>
    <row s="8849" customFormat="1" customHeight="1" ht="18.75" hidden="1">
      <c r="A185" s="1939"/>
      <c r="B185" s="1939"/>
      <c r="C185" s="523" t="s">
        <v>1064</v>
      </c>
      <c r="D185" s="2527"/>
      <c r="E185" s="2270"/>
      <c r="F185" s="2436"/>
      <c r="G185" s="2482"/>
      <c r="H185" s="1659"/>
      <c r="I185" s="805" t="s">
        <v>1063</v>
      </c>
      <c r="J185" s="725"/>
      <c r="K185" s="1659"/>
      <c r="L185" s="368"/>
      <c r="M185" s="495"/>
      <c r="N185" s="488"/>
      <c r="O185" s="1783"/>
      <c r="P185" s="1783"/>
    </row>
    <row s="8849" customFormat="1" customHeight="1" ht="0.75" hidden="1">
      <c r="A186" s="1939"/>
      <c r="B186" s="1939"/>
      <c r="C186" s="523" t="s">
        <v>1071</v>
      </c>
      <c r="D186" s="2527"/>
      <c r="E186" s="2270"/>
      <c r="F186" s="2436"/>
      <c r="G186" s="554"/>
      <c r="H186" s="1659"/>
      <c r="I186" s="805"/>
      <c r="J186" s="725"/>
      <c r="K186" s="1659"/>
      <c r="L186" s="368"/>
      <c r="M186" s="495"/>
      <c r="N186" s="488"/>
      <c r="O186" s="1783"/>
      <c r="P186" s="1783"/>
    </row>
    <row s="8849" customFormat="1" customHeight="1" ht="18.75" hidden="1">
      <c r="A187" s="1939" t="s">
        <v>260</v>
      </c>
      <c r="B187" s="1939" t="s">
        <v>261</v>
      </c>
      <c r="C187" s="523"/>
      <c r="D187" s="2527"/>
      <c r="E187" s="2270"/>
      <c r="F187" s="2436" t="str">
        <f>INDEX(PT_DIFFERENTIATION_VTAR,MATCH(A187,PT_DIFFERENTIATION_VTAR_ID,0))</f>
        <v>Тариф на подключение (технологическое присоединение) к централизованной системе горячего водоснабжения</v>
      </c>
      <c r="G187" s="2482" t="str">
        <f>INDEX(PT_DIFFERENTIATION_NTAR,MATCH(B187,PT_DIFFERENTIATION_NTAR_ID,0))</f>
        <v/>
      </c>
      <c r="H187" s="2022"/>
      <c r="I187" s="1898"/>
      <c r="J187" s="1932"/>
      <c r="K187" s="1937"/>
      <c r="L187" s="2022" t="s">
        <v>306</v>
      </c>
      <c r="M187" s="495"/>
      <c r="N187" s="488"/>
      <c r="O187" s="1783"/>
      <c r="P187" s="1783"/>
    </row>
    <row s="8849" customFormat="1" customHeight="1" ht="18.75" hidden="1">
      <c r="A188" s="1939"/>
      <c r="B188" s="1939"/>
      <c r="C188" s="523" t="s">
        <v>1064</v>
      </c>
      <c r="D188" s="2527"/>
      <c r="E188" s="2270"/>
      <c r="F188" s="2436"/>
      <c r="G188" s="2482"/>
      <c r="H188" s="1659"/>
      <c r="I188" s="805" t="s">
        <v>1063</v>
      </c>
      <c r="J188" s="725"/>
      <c r="K188" s="1659"/>
      <c r="L188" s="368"/>
      <c r="M188" s="495"/>
      <c r="N188" s="488"/>
      <c r="O188" s="1783"/>
      <c r="P188" s="1783"/>
    </row>
    <row s="8849" customFormat="1" customHeight="1" ht="0.75" hidden="1">
      <c r="A189" s="1939"/>
      <c r="B189" s="1939"/>
      <c r="C189" s="523" t="s">
        <v>1071</v>
      </c>
      <c r="D189" s="2527"/>
      <c r="E189" s="2270"/>
      <c r="F189" s="2436"/>
      <c r="G189" s="554"/>
      <c r="H189" s="1659"/>
      <c r="I189" s="805"/>
      <c r="J189" s="725"/>
      <c r="K189" s="1659"/>
      <c r="L189" s="368"/>
      <c r="M189" s="495"/>
      <c r="N189" s="488"/>
      <c r="O189" s="1783"/>
      <c r="P189" s="1783"/>
    </row>
    <row s="8849" customFormat="1" customHeight="1" ht="18.75" hidden="1">
      <c r="A190" s="1939" t="s">
        <v>265</v>
      </c>
      <c r="B190" s="1939" t="s">
        <v>266</v>
      </c>
      <c r="C190" s="523"/>
      <c r="D190" s="2527"/>
      <c r="E190" s="2270"/>
      <c r="F190" s="2436" t="str">
        <f>INDEX(PT_DIFFERENTIATION_VTAR,MATCH(A190,PT_DIFFERENTIATION_VTAR_ID,0))</f>
        <v>Тариф на водоотведение</v>
      </c>
      <c r="G190" s="2482" t="str">
        <f>INDEX(PT_DIFFERENTIATION_NTAR,MATCH(B190,PT_DIFFERENTIATION_NTAR_ID,0))</f>
        <v/>
      </c>
      <c r="H190" s="2022"/>
      <c r="I190" s="1898"/>
      <c r="J190" s="1932"/>
      <c r="K190" s="1937"/>
      <c r="L190" s="2022" t="s">
        <v>306</v>
      </c>
      <c r="M190" s="495"/>
      <c r="N190" s="488"/>
      <c r="O190" s="1783"/>
      <c r="P190" s="1783"/>
    </row>
    <row s="8849" customFormat="1" customHeight="1" ht="18.75" hidden="1">
      <c r="A191" s="1939"/>
      <c r="B191" s="1939"/>
      <c r="C191" s="523" t="s">
        <v>1064</v>
      </c>
      <c r="D191" s="2527"/>
      <c r="E191" s="2270"/>
      <c r="F191" s="2436"/>
      <c r="G191" s="2482"/>
      <c r="H191" s="1659"/>
      <c r="I191" s="805" t="s">
        <v>1063</v>
      </c>
      <c r="J191" s="725"/>
      <c r="K191" s="1659"/>
      <c r="L191" s="368"/>
      <c r="M191" s="495"/>
      <c r="N191" s="488"/>
      <c r="O191" s="1783"/>
      <c r="P191" s="1783"/>
    </row>
    <row s="8849" customFormat="1" customHeight="1" ht="0.75" hidden="1">
      <c r="A192" s="1939"/>
      <c r="B192" s="1939"/>
      <c r="C192" s="523" t="s">
        <v>1071</v>
      </c>
      <c r="D192" s="2527"/>
      <c r="E192" s="2270"/>
      <c r="F192" s="2436"/>
      <c r="G192" s="554"/>
      <c r="H192" s="1659"/>
      <c r="I192" s="805"/>
      <c r="J192" s="725"/>
      <c r="K192" s="1659"/>
      <c r="L192" s="368"/>
      <c r="M192" s="495"/>
      <c r="N192" s="488"/>
      <c r="O192" s="1783"/>
      <c r="P192" s="1783"/>
    </row>
    <row s="8849" customFormat="1" customHeight="1" ht="18.75" hidden="1">
      <c r="A193" s="1939" t="s">
        <v>270</v>
      </c>
      <c r="B193" s="1939" t="s">
        <v>271</v>
      </c>
      <c r="C193" s="523"/>
      <c r="D193" s="2527"/>
      <c r="E193" s="2270"/>
      <c r="F193" s="2436" t="str">
        <f>INDEX(PT_DIFFERENTIATION_VTAR,MATCH(A193,PT_DIFFERENTIATION_VTAR_ID,0))</f>
        <v>Тариф на транспортировку сточных вод</v>
      </c>
      <c r="G193" s="2482" t="str">
        <f>INDEX(PT_DIFFERENTIATION_NTAR,MATCH(B193,PT_DIFFERENTIATION_NTAR_ID,0))</f>
        <v/>
      </c>
      <c r="H193" s="2022"/>
      <c r="I193" s="1898"/>
      <c r="J193" s="1932"/>
      <c r="K193" s="1937"/>
      <c r="L193" s="2022" t="s">
        <v>306</v>
      </c>
      <c r="M193" s="495"/>
      <c r="N193" s="488"/>
      <c r="O193" s="1783"/>
      <c r="P193" s="1783"/>
    </row>
    <row s="8849" customFormat="1" customHeight="1" ht="18.75" hidden="1">
      <c r="A194" s="1939"/>
      <c r="B194" s="1939"/>
      <c r="C194" s="523" t="s">
        <v>1064</v>
      </c>
      <c r="D194" s="2527"/>
      <c r="E194" s="2270"/>
      <c r="F194" s="2436"/>
      <c r="G194" s="2482"/>
      <c r="H194" s="1659"/>
      <c r="I194" s="805" t="s">
        <v>1063</v>
      </c>
      <c r="J194" s="725"/>
      <c r="K194" s="1659"/>
      <c r="L194" s="368"/>
      <c r="M194" s="495"/>
      <c r="N194" s="488"/>
      <c r="O194" s="1783"/>
      <c r="P194" s="1783"/>
    </row>
    <row s="8849" customFormat="1" customHeight="1" ht="0.75" hidden="1">
      <c r="A195" s="1939"/>
      <c r="B195" s="1939"/>
      <c r="C195" s="523" t="s">
        <v>1071</v>
      </c>
      <c r="D195" s="2527"/>
      <c r="E195" s="2270"/>
      <c r="F195" s="2436"/>
      <c r="G195" s="554"/>
      <c r="H195" s="1659"/>
      <c r="I195" s="805"/>
      <c r="J195" s="725"/>
      <c r="K195" s="1659"/>
      <c r="L195" s="368"/>
      <c r="M195" s="495"/>
      <c r="N195" s="488"/>
      <c r="O195" s="1783"/>
      <c r="P195" s="1783"/>
    </row>
    <row s="8849" customFormat="1" customHeight="1" ht="18.75" hidden="1">
      <c r="A196" s="1939" t="s">
        <v>275</v>
      </c>
      <c r="B196" s="1939" t="s">
        <v>276</v>
      </c>
      <c r="C196" s="523"/>
      <c r="D196" s="2527"/>
      <c r="E196" s="2270"/>
      <c r="F196" s="2436" t="str">
        <f>INDEX(PT_DIFFERENTIATION_VTAR,MATCH(A196,PT_DIFFERENTIATION_VTAR_ID,0))</f>
        <v>Тариф на подключение (технологическое присоединение) к централизованной системе водоотведения</v>
      </c>
      <c r="G196" s="2482" t="str">
        <f>INDEX(PT_DIFFERENTIATION_NTAR,MATCH(B196,PT_DIFFERENTIATION_NTAR_ID,0))</f>
        <v/>
      </c>
      <c r="H196" s="2022"/>
      <c r="I196" s="1898"/>
      <c r="J196" s="1932"/>
      <c r="K196" s="1937"/>
      <c r="L196" s="2022" t="s">
        <v>306</v>
      </c>
      <c r="M196" s="495"/>
      <c r="N196" s="488"/>
      <c r="O196" s="1783"/>
      <c r="P196" s="1783"/>
    </row>
    <row s="8849" customFormat="1" customHeight="1" ht="18.75" hidden="1">
      <c r="A197" s="1939"/>
      <c r="B197" s="1939"/>
      <c r="C197" s="523" t="s">
        <v>1064</v>
      </c>
      <c r="D197" s="2527"/>
      <c r="E197" s="2270"/>
      <c r="F197" s="2436"/>
      <c r="G197" s="2482"/>
      <c r="H197" s="1659"/>
      <c r="I197" s="805" t="s">
        <v>1063</v>
      </c>
      <c r="J197" s="725"/>
      <c r="K197" s="1659"/>
      <c r="L197" s="368"/>
      <c r="M197" s="495"/>
      <c r="N197" s="488"/>
      <c r="O197" s="1783"/>
      <c r="P197" s="1783"/>
    </row>
    <row s="8849" customFormat="1" customHeight="1" ht="0.75">
      <c r="A198" s="1939"/>
      <c r="B198" s="1939"/>
      <c r="C198" s="523" t="s">
        <v>1071</v>
      </c>
      <c r="D198" s="2527"/>
      <c r="E198" s="2270"/>
      <c r="F198" s="2436"/>
      <c r="G198" s="554"/>
      <c r="H198" s="1659"/>
      <c r="I198" s="805"/>
      <c r="J198" s="725"/>
      <c r="K198" s="1659"/>
      <c r="L198" s="368"/>
      <c r="M198" s="495"/>
      <c r="N198" s="488"/>
      <c r="O198" s="1783"/>
      <c r="P198" s="1783"/>
    </row>
    <row customHeight="1" ht="26.25">
      <c r="A199" s="1939"/>
      <c r="B199" s="1939"/>
      <c r="D199" s="530"/>
      <c r="E199" s="302" t="s">
        <v>108</v>
      </c>
      <c r="F199" s="2519" t="str">
        <f>IF(TEMPLATE_SPHERE="HEAT","Размер недополученных доходов регулируемой организацией (при их наличии), исчисленный в соответствии с Основами ценообразования в сфере теплоснабжения,"&amp;" утвержденными постановлением Правительства Российской Федерации от 22 октября 2012 г. N 1075 ""О ценообразовании в сфере теплоснабжения""","Размер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f>
        <v>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v>
      </c>
      <c r="G199" s="2519"/>
      <c r="H199" s="2519"/>
      <c r="I199" s="2519"/>
      <c r="J199" s="2519"/>
      <c r="K199" s="2519"/>
      <c r="L199" s="2519"/>
      <c r="M199" s="451"/>
      <c r="N199" s="488"/>
    </row>
    <row s="8849" customFormat="1" customHeight="1" ht="60.75" hidden="1">
      <c r="A200" s="1939" t="s">
        <v>152</v>
      </c>
      <c r="B200" s="1939" t="s">
        <v>153</v>
      </c>
      <c r="C200" s="523"/>
      <c r="D200" s="2527"/>
      <c r="E200" s="2270"/>
      <c r="F200" s="2436" t="str">
        <f>INDEX(PT_DIFFERENTIATION_VTAR,MATCH(A200,PT_DIFFERENTIATION_VTAR_ID,0))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00" s="2482" t="str">
        <f>INDEX(PT_DIFFERENTIATION_NTAR,MATCH(B200,PT_DIFFERENTIATION_NTAR_ID,0))</f>
        <v/>
      </c>
      <c r="H200" s="2022"/>
      <c r="I200" s="1898"/>
      <c r="J200" s="1932"/>
      <c r="K200" s="1937"/>
      <c r="L200" s="2022" t="s">
        <v>306</v>
      </c>
      <c r="M200" s="2229"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"&amp;IF(TEMPLATE_SPHERE="HEAT","регулируемой организацией",TEMPLATE_SPHERE_RUS)&amp;", исчисленных в соответствии с законодательством в сфере "&amp;IF(TEMPLATE_SPHERE="HEAT","теплоснабжения","водоснабжения и водоотведения")&amp;", указывается значение «0».
В случае дифференциации недополученных доходов организацией "&amp;TEMPLATE_SPHERE_RUS&amp;"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горячего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горячего водоснабжения, исчисленных в соответствии с законодательством в сфере водоснабжения и водоотведения, указывается значение «0».
В случае дифференциации недополученных доходов организацией горячего водоснабжения по видам тарифов и/или по срокам действия тарифов информация указывается в отдельных строках.</v>
      </c>
      <c r="N200" s="488"/>
      <c r="O200" s="1783"/>
      <c r="P200" s="1783"/>
    </row>
    <row s="8849" customFormat="1" customHeight="1" ht="18.75" hidden="1">
      <c r="A201" s="1939"/>
      <c r="B201" s="1939"/>
      <c r="C201" s="523" t="s">
        <v>1064</v>
      </c>
      <c r="D201" s="2527"/>
      <c r="E201" s="2270"/>
      <c r="F201" s="2436"/>
      <c r="G201" s="2482"/>
      <c r="H201" s="1659"/>
      <c r="I201" s="805" t="s">
        <v>1063</v>
      </c>
      <c r="J201" s="725"/>
      <c r="K201" s="1659"/>
      <c r="L201" s="368"/>
      <c r="M201" s="2230"/>
      <c r="N201" s="488"/>
      <c r="O201" s="1783"/>
      <c r="P201" s="1783"/>
    </row>
    <row s="8849" customFormat="1" customHeight="1" ht="0.75" hidden="1">
      <c r="A202" s="1939"/>
      <c r="B202" s="1939"/>
      <c r="C202" s="523" t="s">
        <v>1071</v>
      </c>
      <c r="D202" s="2527"/>
      <c r="E202" s="2270"/>
      <c r="F202" s="2436"/>
      <c r="G202" s="554"/>
      <c r="H202" s="1659"/>
      <c r="I202" s="805"/>
      <c r="J202" s="725"/>
      <c r="K202" s="1659"/>
      <c r="L202" s="368"/>
      <c r="M202" s="2230"/>
      <c r="N202" s="488"/>
      <c r="O202" s="1783"/>
      <c r="P202" s="1783"/>
    </row>
    <row s="8849" customFormat="1" customHeight="1" ht="45" hidden="1">
      <c r="A203" s="1939" t="s">
        <v>158</v>
      </c>
      <c r="B203" s="1939" t="s">
        <v>159</v>
      </c>
      <c r="C203" s="523"/>
      <c r="D203" s="2527"/>
      <c r="E203" s="2270"/>
      <c r="F203" s="2436" t="str">
        <f>INDEX(PT_DIFFERENTIATION_VTAR,MATCH(A203,PT_DIFFERENTIATION_VTAR_ID,0))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G203" s="2482" t="str">
        <f>INDEX(PT_DIFFERENTIATION_NTAR,MATCH(B203,PT_DIFFERENTIATION_NTAR_ID,0))</f>
        <v/>
      </c>
      <c r="H203" s="2022"/>
      <c r="I203" s="1898"/>
      <c r="J203" s="1932"/>
      <c r="K203" s="1937"/>
      <c r="L203" s="2022" t="s">
        <v>306</v>
      </c>
      <c r="M203" s="2231"/>
      <c r="N203" s="488"/>
      <c r="O203" s="1783"/>
      <c r="P203" s="1783"/>
    </row>
    <row s="8849" customFormat="1" customHeight="1" ht="18.75" hidden="1">
      <c r="A204" s="1939"/>
      <c r="B204" s="1939"/>
      <c r="C204" s="523" t="s">
        <v>1064</v>
      </c>
      <c r="D204" s="2527"/>
      <c r="E204" s="2270"/>
      <c r="F204" s="2436"/>
      <c r="G204" s="2482"/>
      <c r="H204" s="1659"/>
      <c r="I204" s="805" t="s">
        <v>1063</v>
      </c>
      <c r="J204" s="725"/>
      <c r="K204" s="1659"/>
      <c r="L204" s="368"/>
      <c r="M204" s="2021"/>
      <c r="N204" s="488"/>
      <c r="O204" s="1783"/>
      <c r="P204" s="1783"/>
    </row>
    <row s="8849" customFormat="1" customHeight="1" ht="0.75" hidden="1">
      <c r="A205" s="1939"/>
      <c r="B205" s="1939"/>
      <c r="C205" s="523" t="s">
        <v>1071</v>
      </c>
      <c r="D205" s="2527"/>
      <c r="E205" s="2270"/>
      <c r="F205" s="2436"/>
      <c r="G205" s="554"/>
      <c r="H205" s="1659"/>
      <c r="I205" s="805"/>
      <c r="J205" s="725"/>
      <c r="K205" s="1659"/>
      <c r="L205" s="368"/>
      <c r="M205" s="495"/>
      <c r="N205" s="488"/>
      <c r="O205" s="1783"/>
      <c r="P205" s="1783"/>
    </row>
    <row s="8849" customFormat="1" customHeight="1" ht="45" hidden="1">
      <c r="A206" s="1939" t="s">
        <v>164</v>
      </c>
      <c r="B206" s="1939" t="s">
        <v>165</v>
      </c>
      <c r="C206" s="523"/>
      <c r="D206" s="2527"/>
      <c r="E206" s="2270"/>
      <c r="F206" s="2436" t="str">
        <f>INDEX(PT_DIFFERENTIATION_VTAR,MATCH(A206,PT_DIFFERENTIATION_VTAR_ID,0))</f>
        <v>Тарифы на теплоноситель, поставляемый теплоснабжающими организациями потребителям, другим теплоснабжающим организациям</v>
      </c>
      <c r="G206" s="2482" t="str">
        <f>INDEX(PT_DIFFERENTIATION_NTAR,MATCH(B206,PT_DIFFERENTIATION_NTAR_ID,0))</f>
        <v/>
      </c>
      <c r="H206" s="2022"/>
      <c r="I206" s="1898"/>
      <c r="J206" s="1932"/>
      <c r="K206" s="1937"/>
      <c r="L206" s="2022" t="s">
        <v>306</v>
      </c>
      <c r="M206" s="495"/>
      <c r="N206" s="488"/>
      <c r="O206" s="1783"/>
      <c r="P206" s="1783"/>
    </row>
    <row s="8849" customFormat="1" customHeight="1" ht="18.75" hidden="1">
      <c r="A207" s="1939"/>
      <c r="B207" s="1939"/>
      <c r="C207" s="523" t="s">
        <v>1064</v>
      </c>
      <c r="D207" s="2527"/>
      <c r="E207" s="2270"/>
      <c r="F207" s="2436"/>
      <c r="G207" s="2482"/>
      <c r="H207" s="1659"/>
      <c r="I207" s="805" t="s">
        <v>1063</v>
      </c>
      <c r="J207" s="725"/>
      <c r="K207" s="1659"/>
      <c r="L207" s="368"/>
      <c r="M207" s="495"/>
      <c r="N207" s="488"/>
      <c r="O207" s="1783"/>
      <c r="P207" s="1783"/>
    </row>
    <row s="8849" customFormat="1" customHeight="1" ht="0.75" hidden="1">
      <c r="A208" s="1939"/>
      <c r="B208" s="1939"/>
      <c r="C208" s="523" t="s">
        <v>1071</v>
      </c>
      <c r="D208" s="2527"/>
      <c r="E208" s="2270"/>
      <c r="F208" s="2436"/>
      <c r="G208" s="554"/>
      <c r="H208" s="1659"/>
      <c r="I208" s="805"/>
      <c r="J208" s="725"/>
      <c r="K208" s="1659"/>
      <c r="L208" s="368"/>
      <c r="M208" s="495"/>
      <c r="N208" s="488"/>
      <c r="O208" s="1783"/>
      <c r="P208" s="1783"/>
    </row>
    <row s="8849" customFormat="1" customHeight="1" ht="45" hidden="1">
      <c r="A209" s="1939" t="s">
        <v>170</v>
      </c>
      <c r="B209" s="1939" t="s">
        <v>171</v>
      </c>
      <c r="C209" s="523"/>
      <c r="D209" s="2527"/>
      <c r="E209" s="2270"/>
      <c r="F209" s="2436" t="str">
        <f>INDEX(PT_DIFFERENTIATION_VTAR,MATCH(A209,PT_DIFFERENTIATION_VTAR_ID,0))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09" s="2482" t="str">
        <f>INDEX(PT_DIFFERENTIATION_NTAR,MATCH(B209,PT_DIFFERENTIATION_NTAR_ID,0))</f>
        <v/>
      </c>
      <c r="H209" s="2022"/>
      <c r="I209" s="1898"/>
      <c r="J209" s="1932"/>
      <c r="K209" s="1937"/>
      <c r="L209" s="2022" t="s">
        <v>306</v>
      </c>
      <c r="M209" s="495"/>
      <c r="N209" s="488"/>
      <c r="O209" s="1783"/>
      <c r="P209" s="1783"/>
    </row>
    <row s="8849" customFormat="1" customHeight="1" ht="18.75" hidden="1">
      <c r="A210" s="1939"/>
      <c r="B210" s="1939"/>
      <c r="C210" s="523" t="s">
        <v>1064</v>
      </c>
      <c r="D210" s="2527"/>
      <c r="E210" s="2270"/>
      <c r="F210" s="2436"/>
      <c r="G210" s="2482"/>
      <c r="H210" s="1659"/>
      <c r="I210" s="805" t="s">
        <v>1063</v>
      </c>
      <c r="J210" s="725"/>
      <c r="K210" s="1659"/>
      <c r="L210" s="368"/>
      <c r="M210" s="495"/>
      <c r="N210" s="488"/>
      <c r="O210" s="1783"/>
      <c r="P210" s="1783"/>
    </row>
    <row s="8849" customFormat="1" customHeight="1" ht="0.75" hidden="1">
      <c r="A211" s="1939"/>
      <c r="B211" s="1939"/>
      <c r="C211" s="523" t="s">
        <v>1071</v>
      </c>
      <c r="D211" s="2527"/>
      <c r="E211" s="2270"/>
      <c r="F211" s="2436"/>
      <c r="G211" s="554"/>
      <c r="H211" s="1659"/>
      <c r="I211" s="805"/>
      <c r="J211" s="725"/>
      <c r="K211" s="1659"/>
      <c r="L211" s="368"/>
      <c r="M211" s="495"/>
      <c r="N211" s="488"/>
      <c r="O211" s="1783"/>
      <c r="P211" s="1783"/>
    </row>
    <row s="8849" customFormat="1" customHeight="1" ht="18.75" hidden="1">
      <c r="A212" s="1939" t="s">
        <v>176</v>
      </c>
      <c r="B212" s="1939" t="s">
        <v>177</v>
      </c>
      <c r="C212" s="523"/>
      <c r="D212" s="2527"/>
      <c r="E212" s="2270"/>
      <c r="F212" s="2436" t="str">
        <f>INDEX(PT_DIFFERENTIATION_VTAR,MATCH(A212,PT_DIFFERENTIATION_VTAR_ID,0))</f>
        <v>Тарифы на услуги по передаче тепловой энергии</v>
      </c>
      <c r="G212" s="2482" t="str">
        <f>INDEX(PT_DIFFERENTIATION_NTAR,MATCH(B212,PT_DIFFERENTIATION_NTAR_ID,0))</f>
        <v/>
      </c>
      <c r="H212" s="2022"/>
      <c r="I212" s="1898"/>
      <c r="J212" s="1932"/>
      <c r="K212" s="1937"/>
      <c r="L212" s="2022" t="s">
        <v>306</v>
      </c>
      <c r="M212" s="495"/>
      <c r="N212" s="488"/>
      <c r="O212" s="1783"/>
      <c r="P212" s="1783"/>
    </row>
    <row s="8849" customFormat="1" customHeight="1" ht="18.75" hidden="1">
      <c r="A213" s="1939"/>
      <c r="B213" s="1939"/>
      <c r="C213" s="523" t="s">
        <v>1064</v>
      </c>
      <c r="D213" s="2527"/>
      <c r="E213" s="2270"/>
      <c r="F213" s="2436"/>
      <c r="G213" s="2482"/>
      <c r="H213" s="1659"/>
      <c r="I213" s="805" t="s">
        <v>1063</v>
      </c>
      <c r="J213" s="725"/>
      <c r="K213" s="1659"/>
      <c r="L213" s="368"/>
      <c r="M213" s="495"/>
      <c r="N213" s="488"/>
      <c r="O213" s="1783"/>
      <c r="P213" s="1783"/>
    </row>
    <row s="8849" customFormat="1" customHeight="1" ht="0.75" hidden="1">
      <c r="A214" s="1939"/>
      <c r="B214" s="1939"/>
      <c r="C214" s="523" t="s">
        <v>1071</v>
      </c>
      <c r="D214" s="2527"/>
      <c r="E214" s="2270"/>
      <c r="F214" s="2436"/>
      <c r="G214" s="554"/>
      <c r="H214" s="1659"/>
      <c r="I214" s="805"/>
      <c r="J214" s="725"/>
      <c r="K214" s="1659"/>
      <c r="L214" s="368"/>
      <c r="M214" s="495"/>
      <c r="N214" s="488"/>
      <c r="O214" s="1783"/>
      <c r="P214" s="1783"/>
    </row>
    <row s="8849" customFormat="1" customHeight="1" ht="18.75" hidden="1">
      <c r="A215" s="1939" t="s">
        <v>182</v>
      </c>
      <c r="B215" s="1939" t="s">
        <v>183</v>
      </c>
      <c r="C215" s="523"/>
      <c r="D215" s="2527"/>
      <c r="E215" s="2270"/>
      <c r="F215" s="2436" t="str">
        <f>INDEX(PT_DIFFERENTIATION_VTAR,MATCH(A215,PT_DIFFERENTIATION_VTAR_ID,0))</f>
        <v>Тарифы на услуги по передаче теплоносителя</v>
      </c>
      <c r="G215" s="2482" t="str">
        <f>INDEX(PT_DIFFERENTIATION_NTAR,MATCH(B215,PT_DIFFERENTIATION_NTAR_ID,0))</f>
        <v/>
      </c>
      <c r="H215" s="2022"/>
      <c r="I215" s="1898"/>
      <c r="J215" s="1932"/>
      <c r="K215" s="1937"/>
      <c r="L215" s="2022" t="s">
        <v>306</v>
      </c>
      <c r="M215" s="495"/>
      <c r="N215" s="488"/>
      <c r="O215" s="1783"/>
      <c r="P215" s="1783"/>
    </row>
    <row s="8849" customFormat="1" customHeight="1" ht="18.75" hidden="1">
      <c r="A216" s="1939"/>
      <c r="B216" s="1939"/>
      <c r="C216" s="523" t="s">
        <v>1064</v>
      </c>
      <c r="D216" s="2527"/>
      <c r="E216" s="2270"/>
      <c r="F216" s="2436"/>
      <c r="G216" s="2482"/>
      <c r="H216" s="1659"/>
      <c r="I216" s="805" t="s">
        <v>1063</v>
      </c>
      <c r="J216" s="725"/>
      <c r="K216" s="1659"/>
      <c r="L216" s="368"/>
      <c r="M216" s="495"/>
      <c r="N216" s="488"/>
      <c r="O216" s="1783"/>
      <c r="P216" s="1783"/>
    </row>
    <row s="8849" customFormat="1" customHeight="1" ht="0.75" hidden="1">
      <c r="A217" s="1939"/>
      <c r="B217" s="1939"/>
      <c r="C217" s="523" t="s">
        <v>1071</v>
      </c>
      <c r="D217" s="2527"/>
      <c r="E217" s="2270"/>
      <c r="F217" s="2436"/>
      <c r="G217" s="554"/>
      <c r="H217" s="1659"/>
      <c r="I217" s="805"/>
      <c r="J217" s="725"/>
      <c r="K217" s="1659"/>
      <c r="L217" s="368"/>
      <c r="M217" s="495"/>
      <c r="N217" s="488"/>
      <c r="O217" s="1783"/>
      <c r="P217" s="1783"/>
    </row>
    <row s="8849" customFormat="1" customHeight="1" ht="18.75" hidden="1">
      <c r="A218" s="1939" t="s">
        <v>188</v>
      </c>
      <c r="B218" s="1939" t="s">
        <v>189</v>
      </c>
      <c r="C218" s="523"/>
      <c r="D218" s="2527"/>
      <c r="E218" s="2270"/>
      <c r="F218" s="2436" t="str">
        <f>INDEX(PT_DIFFERENTIATION_VTAR,MATCH(A218,PT_DIFFERENTIATION_VTAR_ID,0))</f>
        <v>Плата за услуги по поддержанию резервной тепловой мощности при отсутствии потребления тепловой энергии</v>
      </c>
      <c r="G218" s="2482" t="str">
        <f>INDEX(PT_DIFFERENTIATION_NTAR,MATCH(B218,PT_DIFFERENTIATION_NTAR_ID,0))</f>
        <v/>
      </c>
      <c r="H218" s="2022"/>
      <c r="I218" s="1898"/>
      <c r="J218" s="1932"/>
      <c r="K218" s="1937"/>
      <c r="L218" s="2022" t="s">
        <v>306</v>
      </c>
      <c r="M218" s="495"/>
      <c r="N218" s="488"/>
      <c r="O218" s="1783"/>
      <c r="P218" s="1783"/>
    </row>
    <row s="8849" customFormat="1" customHeight="1" ht="18.75" hidden="1">
      <c r="A219" s="1939"/>
      <c r="B219" s="1939"/>
      <c r="C219" s="523" t="s">
        <v>1064</v>
      </c>
      <c r="D219" s="2527"/>
      <c r="E219" s="2270"/>
      <c r="F219" s="2436"/>
      <c r="G219" s="2482"/>
      <c r="H219" s="1659"/>
      <c r="I219" s="805" t="s">
        <v>1063</v>
      </c>
      <c r="J219" s="725"/>
      <c r="K219" s="1659"/>
      <c r="L219" s="368"/>
      <c r="M219" s="495"/>
      <c r="N219" s="488"/>
      <c r="O219" s="1783"/>
      <c r="P219" s="1783"/>
    </row>
    <row s="8849" customFormat="1" customHeight="1" ht="0.75" hidden="1">
      <c r="A220" s="1939"/>
      <c r="B220" s="1939"/>
      <c r="C220" s="523" t="s">
        <v>1071</v>
      </c>
      <c r="D220" s="2527"/>
      <c r="E220" s="2270"/>
      <c r="F220" s="2436"/>
      <c r="G220" s="554"/>
      <c r="H220" s="1659"/>
      <c r="I220" s="805"/>
      <c r="J220" s="725"/>
      <c r="K220" s="1659"/>
      <c r="L220" s="368"/>
      <c r="M220" s="495"/>
      <c r="N220" s="488"/>
      <c r="O220" s="1783"/>
      <c r="P220" s="1783"/>
    </row>
    <row s="8849" customFormat="1" customHeight="1" ht="18.75" hidden="1">
      <c r="A221" s="1939" t="s">
        <v>194</v>
      </c>
      <c r="B221" s="1939" t="s">
        <v>195</v>
      </c>
      <c r="C221" s="523"/>
      <c r="D221" s="2527"/>
      <c r="E221" s="2270"/>
      <c r="F221" s="2436" t="str">
        <f>INDEX(PT_DIFFERENTIATION_VTAR,MATCH(A221,PT_DIFFERENTIATION_VTAR_ID,0))</f>
        <v>Плата за подключение (технологическое присоединение) к системе теплоснабжения</v>
      </c>
      <c r="G221" s="2482" t="str">
        <f>INDEX(PT_DIFFERENTIATION_NTAR,MATCH(B221,PT_DIFFERENTIATION_NTAR_ID,0))</f>
        <v/>
      </c>
      <c r="H221" s="2022"/>
      <c r="I221" s="1898"/>
      <c r="J221" s="1932"/>
      <c r="K221" s="1937"/>
      <c r="L221" s="2022" t="s">
        <v>306</v>
      </c>
      <c r="M221" s="495"/>
      <c r="N221" s="488"/>
      <c r="O221" s="1783"/>
      <c r="P221" s="1783"/>
    </row>
    <row s="8849" customFormat="1" customHeight="1" ht="18.75" hidden="1">
      <c r="A222" s="1939"/>
      <c r="B222" s="1939"/>
      <c r="C222" s="523" t="s">
        <v>1064</v>
      </c>
      <c r="D222" s="2527"/>
      <c r="E222" s="2270"/>
      <c r="F222" s="2436"/>
      <c r="G222" s="2482"/>
      <c r="H222" s="1659"/>
      <c r="I222" s="805" t="s">
        <v>1063</v>
      </c>
      <c r="J222" s="725"/>
      <c r="K222" s="1659"/>
      <c r="L222" s="368"/>
      <c r="M222" s="495"/>
      <c r="N222" s="488"/>
      <c r="O222" s="1783"/>
      <c r="P222" s="1783"/>
    </row>
    <row s="8849" customFormat="1" customHeight="1" ht="0.75" hidden="1">
      <c r="A223" s="1939"/>
      <c r="B223" s="1939"/>
      <c r="C223" s="523" t="s">
        <v>1071</v>
      </c>
      <c r="D223" s="2527"/>
      <c r="E223" s="2270"/>
      <c r="F223" s="2436"/>
      <c r="G223" s="554"/>
      <c r="H223" s="1659"/>
      <c r="I223" s="805"/>
      <c r="J223" s="725"/>
      <c r="K223" s="1659"/>
      <c r="L223" s="368"/>
      <c r="M223" s="495"/>
      <c r="N223" s="488"/>
      <c r="O223" s="1783"/>
      <c r="P223" s="1783"/>
    </row>
    <row s="8849" customFormat="1" customHeight="1" ht="18.75" hidden="1">
      <c r="A224" s="1939" t="s">
        <v>220</v>
      </c>
      <c r="B224" s="1939" t="s">
        <v>221</v>
      </c>
      <c r="C224" s="523"/>
      <c r="D224" s="2527"/>
      <c r="E224" s="2270"/>
      <c r="F224" s="2436" t="str">
        <f>INDEX(PT_DIFFERENTIATION_VTAR,MATCH(A224,PT_DIFFERENTIATION_VTAR_ID,0))</f>
        <v>Тариф на питьевую воду (питьевое водоснабжение)</v>
      </c>
      <c r="G224" s="2482" t="str">
        <f>INDEX(PT_DIFFERENTIATION_NTAR,MATCH(B224,PT_DIFFERENTIATION_NTAR_ID,0))</f>
        <v/>
      </c>
      <c r="H224" s="2022"/>
      <c r="I224" s="1898"/>
      <c r="J224" s="1932"/>
      <c r="K224" s="1937"/>
      <c r="L224" s="2022" t="s">
        <v>306</v>
      </c>
      <c r="M224" s="495"/>
      <c r="N224" s="488"/>
      <c r="O224" s="1783"/>
      <c r="P224" s="1783"/>
    </row>
    <row s="8849" customFormat="1" customHeight="1" ht="18.75" hidden="1">
      <c r="A225" s="1939"/>
      <c r="B225" s="1939"/>
      <c r="C225" s="523" t="s">
        <v>1064</v>
      </c>
      <c r="D225" s="2527"/>
      <c r="E225" s="2270"/>
      <c r="F225" s="2436"/>
      <c r="G225" s="2482"/>
      <c r="H225" s="1659"/>
      <c r="I225" s="805" t="s">
        <v>1063</v>
      </c>
      <c r="J225" s="725"/>
      <c r="K225" s="1659"/>
      <c r="L225" s="368"/>
      <c r="M225" s="495"/>
      <c r="N225" s="488"/>
      <c r="O225" s="1783"/>
      <c r="P225" s="1783"/>
    </row>
    <row s="8849" customFormat="1" customHeight="1" ht="0.75" hidden="1">
      <c r="A226" s="1939"/>
      <c r="B226" s="1939"/>
      <c r="C226" s="523" t="s">
        <v>1071</v>
      </c>
      <c r="D226" s="2527"/>
      <c r="E226" s="2270"/>
      <c r="F226" s="2436"/>
      <c r="G226" s="554"/>
      <c r="H226" s="1659"/>
      <c r="I226" s="805"/>
      <c r="J226" s="725"/>
      <c r="K226" s="1659"/>
      <c r="L226" s="368"/>
      <c r="M226" s="495"/>
      <c r="N226" s="488"/>
      <c r="O226" s="1783"/>
      <c r="P226" s="1783"/>
    </row>
    <row s="8849" customFormat="1" customHeight="1" ht="18.75" hidden="1">
      <c r="A227" s="1939" t="s">
        <v>225</v>
      </c>
      <c r="B227" s="1939" t="s">
        <v>226</v>
      </c>
      <c r="C227" s="523"/>
      <c r="D227" s="2527"/>
      <c r="E227" s="2270"/>
      <c r="F227" s="2436" t="str">
        <f>INDEX(PT_DIFFERENTIATION_VTAR,MATCH(A227,PT_DIFFERENTIATION_VTAR_ID,0))</f>
        <v>Тариф на техническую воду</v>
      </c>
      <c r="G227" s="2482" t="str">
        <f>INDEX(PT_DIFFERENTIATION_NTAR,MATCH(B227,PT_DIFFERENTIATION_NTAR_ID,0))</f>
        <v/>
      </c>
      <c r="H227" s="2022"/>
      <c r="I227" s="1898"/>
      <c r="J227" s="1932"/>
      <c r="K227" s="1937"/>
      <c r="L227" s="2022" t="s">
        <v>306</v>
      </c>
      <c r="M227" s="495"/>
      <c r="N227" s="488"/>
      <c r="O227" s="1783"/>
      <c r="P227" s="1783"/>
    </row>
    <row s="8849" customFormat="1" customHeight="1" ht="18.75" hidden="1">
      <c r="A228" s="1939"/>
      <c r="B228" s="1939"/>
      <c r="C228" s="523" t="s">
        <v>1064</v>
      </c>
      <c r="D228" s="2527"/>
      <c r="E228" s="2270"/>
      <c r="F228" s="2436"/>
      <c r="G228" s="2482"/>
      <c r="H228" s="1659"/>
      <c r="I228" s="805" t="s">
        <v>1063</v>
      </c>
      <c r="J228" s="725"/>
      <c r="K228" s="1659"/>
      <c r="L228" s="368"/>
      <c r="M228" s="495"/>
      <c r="N228" s="488"/>
      <c r="O228" s="1783"/>
      <c r="P228" s="1783"/>
    </row>
    <row s="8849" customFormat="1" customHeight="1" ht="0.75" hidden="1">
      <c r="A229" s="1939"/>
      <c r="B229" s="1939"/>
      <c r="C229" s="523" t="s">
        <v>1071</v>
      </c>
      <c r="D229" s="2527"/>
      <c r="E229" s="2270"/>
      <c r="F229" s="2436"/>
      <c r="G229" s="554"/>
      <c r="H229" s="1659"/>
      <c r="I229" s="805"/>
      <c r="J229" s="725"/>
      <c r="K229" s="1659"/>
      <c r="L229" s="368"/>
      <c r="M229" s="495"/>
      <c r="N229" s="488"/>
      <c r="O229" s="1783"/>
      <c r="P229" s="1783"/>
    </row>
    <row s="8849" customFormat="1" customHeight="1" ht="18.75" hidden="1">
      <c r="A230" s="1939" t="s">
        <v>230</v>
      </c>
      <c r="B230" s="1939" t="s">
        <v>231</v>
      </c>
      <c r="C230" s="523"/>
      <c r="D230" s="2527"/>
      <c r="E230" s="2270"/>
      <c r="F230" s="2436" t="str">
        <f>INDEX(PT_DIFFERENTIATION_VTAR,MATCH(A230,PT_DIFFERENTIATION_VTAR_ID,0))</f>
        <v>Тариф на транспортировку воды</v>
      </c>
      <c r="G230" s="2482" t="str">
        <f>INDEX(PT_DIFFERENTIATION_NTAR,MATCH(B230,PT_DIFFERENTIATION_NTAR_ID,0))</f>
        <v/>
      </c>
      <c r="H230" s="2022"/>
      <c r="I230" s="1898"/>
      <c r="J230" s="1932"/>
      <c r="K230" s="1937"/>
      <c r="L230" s="2022" t="s">
        <v>306</v>
      </c>
      <c r="M230" s="495"/>
      <c r="N230" s="488"/>
      <c r="O230" s="1783"/>
      <c r="P230" s="1783"/>
    </row>
    <row s="8849" customFormat="1" customHeight="1" ht="18.75" hidden="1">
      <c r="A231" s="1939"/>
      <c r="B231" s="1939"/>
      <c r="C231" s="523" t="s">
        <v>1064</v>
      </c>
      <c r="D231" s="2527"/>
      <c r="E231" s="2270"/>
      <c r="F231" s="2436"/>
      <c r="G231" s="2482"/>
      <c r="H231" s="1659"/>
      <c r="I231" s="805" t="s">
        <v>1063</v>
      </c>
      <c r="J231" s="725"/>
      <c r="K231" s="1659"/>
      <c r="L231" s="368"/>
      <c r="M231" s="495"/>
      <c r="N231" s="488"/>
      <c r="O231" s="1783"/>
      <c r="P231" s="1783"/>
    </row>
    <row s="8849" customFormat="1" customHeight="1" ht="0.75" hidden="1">
      <c r="A232" s="1939"/>
      <c r="B232" s="1939"/>
      <c r="C232" s="523" t="s">
        <v>1071</v>
      </c>
      <c r="D232" s="2527"/>
      <c r="E232" s="2270"/>
      <c r="F232" s="2436"/>
      <c r="G232" s="554"/>
      <c r="H232" s="1659"/>
      <c r="I232" s="805"/>
      <c r="J232" s="725"/>
      <c r="K232" s="1659"/>
      <c r="L232" s="368"/>
      <c r="M232" s="495"/>
      <c r="N232" s="488"/>
      <c r="O232" s="1783"/>
      <c r="P232" s="1783"/>
    </row>
    <row s="8849" customFormat="1" customHeight="1" ht="18.75" hidden="1">
      <c r="A233" s="1939" t="s">
        <v>235</v>
      </c>
      <c r="B233" s="1939" t="s">
        <v>236</v>
      </c>
      <c r="C233" s="523"/>
      <c r="D233" s="2527"/>
      <c r="E233" s="2270"/>
      <c r="F233" s="2436" t="str">
        <f>INDEX(PT_DIFFERENTIATION_VTAR,MATCH(A233,PT_DIFFERENTIATION_VTAR_ID,0))</f>
        <v>Тариф на подвоз воды</v>
      </c>
      <c r="G233" s="2482" t="str">
        <f>INDEX(PT_DIFFERENTIATION_NTAR,MATCH(B233,PT_DIFFERENTIATION_NTAR_ID,0))</f>
        <v/>
      </c>
      <c r="H233" s="2022"/>
      <c r="I233" s="1898"/>
      <c r="J233" s="1932"/>
      <c r="K233" s="1937"/>
      <c r="L233" s="2022" t="s">
        <v>306</v>
      </c>
      <c r="M233" s="495"/>
      <c r="N233" s="488"/>
      <c r="O233" s="1783"/>
      <c r="P233" s="1783"/>
    </row>
    <row s="8849" customFormat="1" customHeight="1" ht="18.75" hidden="1">
      <c r="A234" s="1939"/>
      <c r="B234" s="1939"/>
      <c r="C234" s="523" t="s">
        <v>1064</v>
      </c>
      <c r="D234" s="2527"/>
      <c r="E234" s="2270"/>
      <c r="F234" s="2436"/>
      <c r="G234" s="2482"/>
      <c r="H234" s="1659"/>
      <c r="I234" s="805" t="s">
        <v>1063</v>
      </c>
      <c r="J234" s="725"/>
      <c r="K234" s="1659"/>
      <c r="L234" s="368"/>
      <c r="M234" s="495"/>
      <c r="N234" s="488"/>
      <c r="O234" s="1783"/>
      <c r="P234" s="1783"/>
    </row>
    <row s="8849" customFormat="1" customHeight="1" ht="0.75" hidden="1">
      <c r="A235" s="1939"/>
      <c r="B235" s="1939"/>
      <c r="C235" s="523" t="s">
        <v>1071</v>
      </c>
      <c r="D235" s="2527"/>
      <c r="E235" s="2270"/>
      <c r="F235" s="2436"/>
      <c r="G235" s="554"/>
      <c r="H235" s="1659"/>
      <c r="I235" s="805"/>
      <c r="J235" s="725"/>
      <c r="K235" s="1659"/>
      <c r="L235" s="368"/>
      <c r="M235" s="495"/>
      <c r="N235" s="488"/>
      <c r="O235" s="1783"/>
      <c r="P235" s="1783"/>
    </row>
    <row s="8849" customFormat="1" customHeight="1" ht="18.75" hidden="1">
      <c r="A236" s="1939" t="s">
        <v>240</v>
      </c>
      <c r="B236" s="1939" t="s">
        <v>241</v>
      </c>
      <c r="C236" s="523"/>
      <c r="D236" s="2527"/>
      <c r="E236" s="2270"/>
      <c r="F236" s="2436" t="str">
        <f>INDEX(PT_DIFFERENTIATION_VTAR,MATCH(A236,PT_DIFFERENTIATION_VTAR_ID,0))</f>
        <v>Тариф на подключение (технологическое присоединение) к централизованной системе холодного водоснабжения</v>
      </c>
      <c r="G236" s="2482" t="str">
        <f>INDEX(PT_DIFFERENTIATION_NTAR,MATCH(B236,PT_DIFFERENTIATION_NTAR_ID,0))</f>
        <v/>
      </c>
      <c r="H236" s="2022"/>
      <c r="I236" s="1898"/>
      <c r="J236" s="1932"/>
      <c r="K236" s="1937"/>
      <c r="L236" s="2022" t="s">
        <v>306</v>
      </c>
      <c r="M236" s="495"/>
      <c r="N236" s="488"/>
      <c r="O236" s="1783"/>
      <c r="P236" s="1783"/>
    </row>
    <row s="8849" customFormat="1" customHeight="1" ht="18.75" hidden="1">
      <c r="A237" s="1939"/>
      <c r="B237" s="1939"/>
      <c r="C237" s="523" t="s">
        <v>1064</v>
      </c>
      <c r="D237" s="2527"/>
      <c r="E237" s="2270"/>
      <c r="F237" s="2436"/>
      <c r="G237" s="2482"/>
      <c r="H237" s="1659"/>
      <c r="I237" s="805" t="s">
        <v>1063</v>
      </c>
      <c r="J237" s="725"/>
      <c r="K237" s="1659"/>
      <c r="L237" s="368"/>
      <c r="M237" s="495"/>
      <c r="N237" s="488"/>
      <c r="O237" s="1783"/>
      <c r="P237" s="1783"/>
    </row>
    <row s="8849" customFormat="1" customHeight="1" ht="0.75" hidden="1">
      <c r="A238" s="1939"/>
      <c r="B238" s="1939"/>
      <c r="C238" s="523" t="s">
        <v>1071</v>
      </c>
      <c r="D238" s="2527"/>
      <c r="E238" s="2270"/>
      <c r="F238" s="2436"/>
      <c r="G238" s="554"/>
      <c r="H238" s="1659"/>
      <c r="I238" s="805"/>
      <c r="J238" s="725"/>
      <c r="K238" s="1659"/>
      <c r="L238" s="368"/>
      <c r="M238" s="495"/>
      <c r="N238" s="488"/>
      <c r="O238" s="1783"/>
      <c r="P238" s="1783"/>
    </row>
    <row s="8849" customFormat="1" customHeight="1" ht="18.75" hidden="1">
      <c r="A239" s="1939" t="s">
        <v>247</v>
      </c>
      <c r="B239" s="1939" t="s">
        <v>248</v>
      </c>
      <c r="C239" s="523"/>
      <c r="D239" s="2527"/>
      <c r="E239" s="2270"/>
      <c r="F239" s="2436" t="str">
        <f>INDEX(PT_DIFFERENTIATION_VTAR,MATCH(A239,PT_DIFFERENTIATION_VTAR_ID,0))</f>
        <v>Тариф на горячую воду (горячее водоснабжение)</v>
      </c>
      <c r="G239" s="2482" t="str">
        <f>INDEX(PT_DIFFERENTIATION_NTAR,MATCH(B239,PT_DIFFERENTIATION_NTAR_ID,0))</f>
        <v>Тариф на горячую воду, поставляемую с использованием закрытой системы горячего водоснабжения АО "Теплокоммунэнерго" (ИНН 6165199445)</v>
      </c>
      <c r="H239" s="2022"/>
      <c r="I239" s="1898"/>
      <c r="J239" s="1932"/>
      <c r="K239" s="1937"/>
      <c r="L239" s="2022" t="s">
        <v>306</v>
      </c>
      <c r="M239" s="495"/>
      <c r="N239" s="488"/>
      <c r="O239" s="1783"/>
      <c r="P239" s="1783"/>
    </row>
    <row s="8849" customFormat="1" customHeight="1" ht="18.75" hidden="1">
      <c r="A240" s="1939"/>
      <c r="B240" s="1939"/>
      <c r="C240" s="523" t="s">
        <v>1064</v>
      </c>
      <c r="D240" s="2527"/>
      <c r="E240" s="2270"/>
      <c r="F240" s="2436"/>
      <c r="G240" s="2482"/>
      <c r="H240" s="1659"/>
      <c r="I240" s="805" t="s">
        <v>1063</v>
      </c>
      <c r="J240" s="725"/>
      <c r="K240" s="1659"/>
      <c r="L240" s="368"/>
      <c r="M240" s="495"/>
      <c r="N240" s="488"/>
      <c r="O240" s="1783"/>
      <c r="P240" s="1783"/>
    </row>
    <row s="8849" customFormat="1" customHeight="1" ht="0.75" hidden="1">
      <c r="A241" s="1939"/>
      <c r="B241" s="1939"/>
      <c r="C241" s="523" t="s">
        <v>1071</v>
      </c>
      <c r="D241" s="2527"/>
      <c r="E241" s="2270"/>
      <c r="F241" s="2436"/>
      <c r="G241" s="554"/>
      <c r="H241" s="1659"/>
      <c r="I241" s="805"/>
      <c r="J241" s="725"/>
      <c r="K241" s="1659"/>
      <c r="L241" s="368"/>
      <c r="M241" s="495"/>
      <c r="N241" s="488"/>
      <c r="O241" s="1783"/>
      <c r="P241" s="1783"/>
    </row>
    <row s="8849" customFormat="1" customHeight="1" ht="18.75" hidden="1">
      <c r="A242" s="1939" t="s">
        <v>255</v>
      </c>
      <c r="B242" s="1939" t="s">
        <v>256</v>
      </c>
      <c r="C242" s="523"/>
      <c r="D242" s="2527"/>
      <c r="E242" s="2270"/>
      <c r="F242" s="2436" t="str">
        <f>INDEX(PT_DIFFERENTIATION_VTAR,MATCH(A242,PT_DIFFERENTIATION_VTAR_ID,0))</f>
        <v>Тариф на транспортировку горячей воды</v>
      </c>
      <c r="G242" s="2482" t="str">
        <f>INDEX(PT_DIFFERENTIATION_NTAR,MATCH(B242,PT_DIFFERENTIATION_NTAR_ID,0))</f>
        <v/>
      </c>
      <c r="H242" s="2022"/>
      <c r="I242" s="1898"/>
      <c r="J242" s="1932"/>
      <c r="K242" s="1937"/>
      <c r="L242" s="2022" t="s">
        <v>306</v>
      </c>
      <c r="M242" s="495"/>
      <c r="N242" s="488"/>
      <c r="O242" s="1783"/>
      <c r="P242" s="1783"/>
    </row>
    <row s="8849" customFormat="1" customHeight="1" ht="18.75" hidden="1">
      <c r="A243" s="1939"/>
      <c r="B243" s="1939"/>
      <c r="C243" s="523" t="s">
        <v>1064</v>
      </c>
      <c r="D243" s="2527"/>
      <c r="E243" s="2270"/>
      <c r="F243" s="2436"/>
      <c r="G243" s="2482"/>
      <c r="H243" s="1659"/>
      <c r="I243" s="805" t="s">
        <v>1063</v>
      </c>
      <c r="J243" s="725"/>
      <c r="K243" s="1659"/>
      <c r="L243" s="368"/>
      <c r="M243" s="495"/>
      <c r="N243" s="488"/>
      <c r="O243" s="1783"/>
      <c r="P243" s="1783"/>
    </row>
    <row s="8849" customFormat="1" customHeight="1" ht="0.75" hidden="1">
      <c r="A244" s="1939"/>
      <c r="B244" s="1939"/>
      <c r="C244" s="523" t="s">
        <v>1071</v>
      </c>
      <c r="D244" s="2527"/>
      <c r="E244" s="2270"/>
      <c r="F244" s="2436"/>
      <c r="G244" s="554"/>
      <c r="H244" s="1659"/>
      <c r="I244" s="805"/>
      <c r="J244" s="725"/>
      <c r="K244" s="1659"/>
      <c r="L244" s="368"/>
      <c r="M244" s="495"/>
      <c r="N244" s="488"/>
      <c r="O244" s="1783"/>
      <c r="P244" s="1783"/>
    </row>
    <row s="8849" customFormat="1" customHeight="1" ht="18.75" hidden="1">
      <c r="A245" s="1939" t="s">
        <v>260</v>
      </c>
      <c r="B245" s="1939" t="s">
        <v>261</v>
      </c>
      <c r="C245" s="523"/>
      <c r="D245" s="2527"/>
      <c r="E245" s="2270"/>
      <c r="F245" s="2436" t="str">
        <f>INDEX(PT_DIFFERENTIATION_VTAR,MATCH(A245,PT_DIFFERENTIATION_VTAR_ID,0))</f>
        <v>Тариф на подключение (технологическое присоединение) к централизованной системе горячего водоснабжения</v>
      </c>
      <c r="G245" s="2482" t="str">
        <f>INDEX(PT_DIFFERENTIATION_NTAR,MATCH(B245,PT_DIFFERENTIATION_NTAR_ID,0))</f>
        <v/>
      </c>
      <c r="H245" s="2022"/>
      <c r="I245" s="1898"/>
      <c r="J245" s="1932"/>
      <c r="K245" s="1937"/>
      <c r="L245" s="2022" t="s">
        <v>306</v>
      </c>
      <c r="M245" s="495"/>
      <c r="N245" s="488"/>
      <c r="O245" s="1783"/>
      <c r="P245" s="1783"/>
    </row>
    <row s="8849" customFormat="1" customHeight="1" ht="18.75" hidden="1">
      <c r="A246" s="1939"/>
      <c r="B246" s="1939"/>
      <c r="C246" s="523" t="s">
        <v>1064</v>
      </c>
      <c r="D246" s="2527"/>
      <c r="E246" s="2270"/>
      <c r="F246" s="2436"/>
      <c r="G246" s="2482"/>
      <c r="H246" s="1659"/>
      <c r="I246" s="805" t="s">
        <v>1063</v>
      </c>
      <c r="J246" s="725"/>
      <c r="K246" s="1659"/>
      <c r="L246" s="368"/>
      <c r="M246" s="495"/>
      <c r="N246" s="488"/>
      <c r="O246" s="1783"/>
      <c r="P246" s="1783"/>
    </row>
    <row s="8849" customFormat="1" customHeight="1" ht="0.75" hidden="1">
      <c r="A247" s="1939"/>
      <c r="B247" s="1939"/>
      <c r="C247" s="523" t="s">
        <v>1071</v>
      </c>
      <c r="D247" s="2527"/>
      <c r="E247" s="2270"/>
      <c r="F247" s="2436"/>
      <c r="G247" s="554"/>
      <c r="H247" s="1659"/>
      <c r="I247" s="805"/>
      <c r="J247" s="725"/>
      <c r="K247" s="1659"/>
      <c r="L247" s="368"/>
      <c r="M247" s="495"/>
      <c r="N247" s="488"/>
      <c r="O247" s="1783"/>
      <c r="P247" s="1783"/>
    </row>
    <row s="8849" customFormat="1" customHeight="1" ht="18.75" hidden="1">
      <c r="A248" s="1939" t="s">
        <v>265</v>
      </c>
      <c r="B248" s="1939" t="s">
        <v>266</v>
      </c>
      <c r="C248" s="523"/>
      <c r="D248" s="2527"/>
      <c r="E248" s="2270"/>
      <c r="F248" s="2436" t="str">
        <f>INDEX(PT_DIFFERENTIATION_VTAR,MATCH(A248,PT_DIFFERENTIATION_VTAR_ID,0))</f>
        <v>Тариф на водоотведение</v>
      </c>
      <c r="G248" s="2482" t="str">
        <f>INDEX(PT_DIFFERENTIATION_NTAR,MATCH(B248,PT_DIFFERENTIATION_NTAR_ID,0))</f>
        <v/>
      </c>
      <c r="H248" s="2022"/>
      <c r="I248" s="1898"/>
      <c r="J248" s="1932"/>
      <c r="K248" s="1937"/>
      <c r="L248" s="2022" t="s">
        <v>306</v>
      </c>
      <c r="M248" s="495"/>
      <c r="N248" s="488"/>
      <c r="O248" s="1783"/>
      <c r="P248" s="1783"/>
    </row>
    <row s="8849" customFormat="1" customHeight="1" ht="18.75" hidden="1">
      <c r="A249" s="1939"/>
      <c r="B249" s="1939"/>
      <c r="C249" s="523" t="s">
        <v>1064</v>
      </c>
      <c r="D249" s="2527"/>
      <c r="E249" s="2270"/>
      <c r="F249" s="2436"/>
      <c r="G249" s="2482"/>
      <c r="H249" s="1659"/>
      <c r="I249" s="805" t="s">
        <v>1063</v>
      </c>
      <c r="J249" s="725"/>
      <c r="K249" s="1659"/>
      <c r="L249" s="368"/>
      <c r="M249" s="495"/>
      <c r="N249" s="488"/>
      <c r="O249" s="1783"/>
      <c r="P249" s="1783"/>
    </row>
    <row s="8849" customFormat="1" customHeight="1" ht="0.75" hidden="1">
      <c r="A250" s="1939"/>
      <c r="B250" s="1939"/>
      <c r="C250" s="523" t="s">
        <v>1071</v>
      </c>
      <c r="D250" s="2527"/>
      <c r="E250" s="2270"/>
      <c r="F250" s="2436"/>
      <c r="G250" s="554"/>
      <c r="H250" s="1659"/>
      <c r="I250" s="805"/>
      <c r="J250" s="725"/>
      <c r="K250" s="1659"/>
      <c r="L250" s="368"/>
      <c r="M250" s="495"/>
      <c r="N250" s="488"/>
      <c r="O250" s="1783"/>
      <c r="P250" s="1783"/>
    </row>
    <row s="8849" customFormat="1" customHeight="1" ht="18.75" hidden="1">
      <c r="A251" s="1939" t="s">
        <v>270</v>
      </c>
      <c r="B251" s="1939" t="s">
        <v>271</v>
      </c>
      <c r="C251" s="523"/>
      <c r="D251" s="2527"/>
      <c r="E251" s="2270"/>
      <c r="F251" s="2436" t="str">
        <f>INDEX(PT_DIFFERENTIATION_VTAR,MATCH(A251,PT_DIFFERENTIATION_VTAR_ID,0))</f>
        <v>Тариф на транспортировку сточных вод</v>
      </c>
      <c r="G251" s="2482" t="str">
        <f>INDEX(PT_DIFFERENTIATION_NTAR,MATCH(B251,PT_DIFFERENTIATION_NTAR_ID,0))</f>
        <v/>
      </c>
      <c r="H251" s="2022"/>
      <c r="I251" s="1898"/>
      <c r="J251" s="1932"/>
      <c r="K251" s="1937"/>
      <c r="L251" s="2022" t="s">
        <v>306</v>
      </c>
      <c r="M251" s="495"/>
      <c r="N251" s="488"/>
      <c r="O251" s="1783"/>
      <c r="P251" s="1783"/>
    </row>
    <row s="8849" customFormat="1" customHeight="1" ht="18.75" hidden="1">
      <c r="A252" s="1939"/>
      <c r="B252" s="1939"/>
      <c r="C252" s="523" t="s">
        <v>1064</v>
      </c>
      <c r="D252" s="2527"/>
      <c r="E252" s="2270"/>
      <c r="F252" s="2436"/>
      <c r="G252" s="2482"/>
      <c r="H252" s="1659"/>
      <c r="I252" s="805" t="s">
        <v>1063</v>
      </c>
      <c r="J252" s="725"/>
      <c r="K252" s="1659"/>
      <c r="L252" s="368"/>
      <c r="M252" s="495"/>
      <c r="N252" s="488"/>
      <c r="O252" s="1783"/>
      <c r="P252" s="1783"/>
    </row>
    <row s="8849" customFormat="1" customHeight="1" ht="0.75" hidden="1">
      <c r="A253" s="1939"/>
      <c r="B253" s="1939"/>
      <c r="C253" s="523" t="s">
        <v>1071</v>
      </c>
      <c r="D253" s="2527"/>
      <c r="E253" s="2270"/>
      <c r="F253" s="2436"/>
      <c r="G253" s="554"/>
      <c r="H253" s="1659"/>
      <c r="I253" s="805"/>
      <c r="J253" s="725"/>
      <c r="K253" s="1659"/>
      <c r="L253" s="368"/>
      <c r="M253" s="495"/>
      <c r="N253" s="488"/>
      <c r="O253" s="1783"/>
      <c r="P253" s="1783"/>
    </row>
    <row s="8849" customFormat="1" customHeight="1" ht="18.75" hidden="1">
      <c r="A254" s="1939" t="s">
        <v>275</v>
      </c>
      <c r="B254" s="1939" t="s">
        <v>276</v>
      </c>
      <c r="C254" s="523"/>
      <c r="D254" s="2527"/>
      <c r="E254" s="2270"/>
      <c r="F254" s="2436" t="str">
        <f>INDEX(PT_DIFFERENTIATION_VTAR,MATCH(A254,PT_DIFFERENTIATION_VTAR_ID,0))</f>
        <v>Тариф на подключение (технологическое присоединение) к централизованной системе водоотведения</v>
      </c>
      <c r="G254" s="2482" t="str">
        <f>INDEX(PT_DIFFERENTIATION_NTAR,MATCH(B254,PT_DIFFERENTIATION_NTAR_ID,0))</f>
        <v/>
      </c>
      <c r="H254" s="2022"/>
      <c r="I254" s="1898"/>
      <c r="J254" s="1932"/>
      <c r="K254" s="1937"/>
      <c r="L254" s="2022" t="s">
        <v>306</v>
      </c>
      <c r="M254" s="495"/>
      <c r="N254" s="488"/>
      <c r="O254" s="1783"/>
      <c r="P254" s="1783"/>
    </row>
    <row s="8849" customFormat="1" customHeight="1" ht="18.75" hidden="1">
      <c r="A255" s="1939"/>
      <c r="B255" s="1939"/>
      <c r="C255" s="523" t="s">
        <v>1064</v>
      </c>
      <c r="D255" s="2527"/>
      <c r="E255" s="2270"/>
      <c r="F255" s="2436"/>
      <c r="G255" s="2482"/>
      <c r="H255" s="1659"/>
      <c r="I255" s="805" t="s">
        <v>1063</v>
      </c>
      <c r="J255" s="725"/>
      <c r="K255" s="1659"/>
      <c r="L255" s="368"/>
      <c r="M255" s="495"/>
      <c r="N255" s="488"/>
      <c r="O255" s="1783"/>
      <c r="P255" s="1783"/>
    </row>
    <row s="8849" customFormat="1" customHeight="1" ht="0.75">
      <c r="A256" s="1939"/>
      <c r="B256" s="1939"/>
      <c r="C256" s="523" t="s">
        <v>1071</v>
      </c>
      <c r="D256" s="2527"/>
      <c r="E256" s="2270"/>
      <c r="F256" s="2436"/>
      <c r="G256" s="554"/>
      <c r="H256" s="1659"/>
      <c r="I256" s="805"/>
      <c r="J256" s="725"/>
      <c r="K256" s="1659"/>
      <c r="L256" s="368"/>
      <c r="M256" s="495"/>
      <c r="N256" s="488"/>
      <c r="O256" s="1783"/>
      <c r="P256" s="1783"/>
    </row>
    <row customHeight="1" ht="25.5">
      <c r="A257" s="1939"/>
      <c r="B257" s="1939"/>
      <c r="D257" s="530"/>
      <c r="E257" s="302" t="s">
        <v>89</v>
      </c>
      <c r="F257" s="2519" t="str">
        <f>"Размер экономически обоснованных расходов, не учтенных при установлении "&amp;IF(TEMPLATE_SPHERE="HEAT","регулируемых цен (тарифов)","тарифов")&amp;" в предыдущий период регулирования (при их наличии), "&amp;IF(TEMPLATE_SPHERE="HEAT","определенном в соответствии с законодательством в сфере теплоснабжения","определенных в соответствии с Основами ценообразования в сфере водоснабжения и водоотведения")</f>
        <v>Размер экономически обоснованных расходов, не учтенных при установлении тарифов в предыдущий период регулирования (при их наличии), определенных в соответствии с Основами ценообразования в сфере водоснабжения и водоотведения</v>
      </c>
      <c r="G257" s="2519"/>
      <c r="H257" s="2519"/>
      <c r="I257" s="2519"/>
      <c r="J257" s="2519"/>
      <c r="K257" s="2519"/>
      <c r="L257" s="2519"/>
      <c r="M257" s="451"/>
      <c r="N257" s="488"/>
    </row>
    <row s="8849" customFormat="1" customHeight="1" ht="60.75" hidden="1">
      <c r="A258" s="1939" t="s">
        <v>152</v>
      </c>
      <c r="B258" s="1939" t="s">
        <v>153</v>
      </c>
      <c r="C258" s="523"/>
      <c r="D258" s="2527"/>
      <c r="E258" s="2270"/>
      <c r="F258" s="2436" t="str">
        <f>INDEX(PT_DIFFERENTIATION_VTAR,MATCH(A258,PT_DIFFERENTIATION_VTAR_ID,0))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58" s="2482" t="str">
        <f>INDEX(PT_DIFFERENTIATION_NTAR,MATCH(B258,PT_DIFFERENTIATION_NTAR_ID,0))</f>
        <v/>
      </c>
      <c r="H258" s="2022"/>
      <c r="I258" s="1898"/>
      <c r="J258" s="1932"/>
      <c r="K258" s="1937"/>
      <c r="L258" s="2022" t="s">
        <v>306</v>
      </c>
      <c r="M258" s="2229"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"&amp;"В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"&amp;"В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горячего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v>
      </c>
      <c r="N258" s="488"/>
      <c r="O258" s="1783"/>
      <c r="P258" s="1783"/>
    </row>
    <row s="8849" customFormat="1" customHeight="1" ht="18.75" hidden="1">
      <c r="A259" s="1939"/>
      <c r="B259" s="1939"/>
      <c r="C259" s="523" t="s">
        <v>1064</v>
      </c>
      <c r="D259" s="2527"/>
      <c r="E259" s="2270"/>
      <c r="F259" s="2436"/>
      <c r="G259" s="2482"/>
      <c r="H259" s="1659"/>
      <c r="I259" s="805" t="s">
        <v>1063</v>
      </c>
      <c r="J259" s="725"/>
      <c r="K259" s="1659"/>
      <c r="L259" s="368"/>
      <c r="M259" s="2230"/>
      <c r="N259" s="488"/>
      <c r="O259" s="1783"/>
      <c r="P259" s="1783"/>
    </row>
    <row s="8849" customFormat="1" customHeight="1" ht="0.75" hidden="1">
      <c r="A260" s="1939"/>
      <c r="B260" s="1939"/>
      <c r="C260" s="523" t="s">
        <v>1071</v>
      </c>
      <c r="D260" s="2527"/>
      <c r="E260" s="2270"/>
      <c r="F260" s="2436"/>
      <c r="G260" s="554"/>
      <c r="H260" s="1659"/>
      <c r="I260" s="805"/>
      <c r="J260" s="725"/>
      <c r="K260" s="1659"/>
      <c r="L260" s="368"/>
      <c r="M260" s="2230"/>
      <c r="N260" s="488"/>
      <c r="O260" s="1783"/>
      <c r="P260" s="1783"/>
    </row>
    <row s="8849" customFormat="1" customHeight="1" ht="45" hidden="1">
      <c r="A261" s="1939" t="s">
        <v>158</v>
      </c>
      <c r="B261" s="1939" t="s">
        <v>159</v>
      </c>
      <c r="C261" s="523"/>
      <c r="D261" s="2527"/>
      <c r="E261" s="2270"/>
      <c r="F261" s="2436" t="str">
        <f>INDEX(PT_DIFFERENTIATION_VTAR,MATCH(A261,PT_DIFFERENTIATION_VTAR_ID,0))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G261" s="2482" t="str">
        <f>INDEX(PT_DIFFERENTIATION_NTAR,MATCH(B261,PT_DIFFERENTIATION_NTAR_ID,0))</f>
        <v/>
      </c>
      <c r="H261" s="2022"/>
      <c r="I261" s="1898"/>
      <c r="J261" s="1932"/>
      <c r="K261" s="1937"/>
      <c r="L261" s="2022" t="s">
        <v>306</v>
      </c>
      <c r="M261" s="2231"/>
      <c r="N261" s="488"/>
      <c r="O261" s="1783"/>
      <c r="P261" s="1783"/>
    </row>
    <row s="8849" customFormat="1" customHeight="1" ht="18.75" hidden="1">
      <c r="A262" s="1939"/>
      <c r="B262" s="1939"/>
      <c r="C262" s="523" t="s">
        <v>1064</v>
      </c>
      <c r="D262" s="2527"/>
      <c r="E262" s="2270"/>
      <c r="F262" s="2436"/>
      <c r="G262" s="2482"/>
      <c r="H262" s="1659"/>
      <c r="I262" s="805" t="s">
        <v>1063</v>
      </c>
      <c r="J262" s="725"/>
      <c r="K262" s="1659"/>
      <c r="L262" s="368"/>
      <c r="M262" s="2021"/>
      <c r="N262" s="488"/>
      <c r="O262" s="1783"/>
      <c r="P262" s="1783"/>
    </row>
    <row s="8849" customFormat="1" customHeight="1" ht="0.75" hidden="1">
      <c r="A263" s="1939"/>
      <c r="B263" s="1939"/>
      <c r="C263" s="523" t="s">
        <v>1071</v>
      </c>
      <c r="D263" s="2527"/>
      <c r="E263" s="2270"/>
      <c r="F263" s="2436"/>
      <c r="G263" s="554"/>
      <c r="H263" s="1659"/>
      <c r="I263" s="805"/>
      <c r="J263" s="725"/>
      <c r="K263" s="1659"/>
      <c r="L263" s="368"/>
      <c r="M263" s="495"/>
      <c r="N263" s="488"/>
      <c r="O263" s="1783"/>
      <c r="P263" s="1783"/>
    </row>
    <row s="8849" customFormat="1" customHeight="1" ht="45" hidden="1">
      <c r="A264" s="1939" t="s">
        <v>164</v>
      </c>
      <c r="B264" s="1939" t="s">
        <v>165</v>
      </c>
      <c r="C264" s="523"/>
      <c r="D264" s="2527"/>
      <c r="E264" s="2270"/>
      <c r="F264" s="2436" t="str">
        <f>INDEX(PT_DIFFERENTIATION_VTAR,MATCH(A264,PT_DIFFERENTIATION_VTAR_ID,0))</f>
        <v>Тарифы на теплоноситель, поставляемый теплоснабжающими организациями потребителям, другим теплоснабжающим организациям</v>
      </c>
      <c r="G264" s="2482" t="str">
        <f>INDEX(PT_DIFFERENTIATION_NTAR,MATCH(B264,PT_DIFFERENTIATION_NTAR_ID,0))</f>
        <v/>
      </c>
      <c r="H264" s="2022"/>
      <c r="I264" s="1898"/>
      <c r="J264" s="1932"/>
      <c r="K264" s="1937"/>
      <c r="L264" s="2022" t="s">
        <v>306</v>
      </c>
      <c r="M264" s="495"/>
      <c r="N264" s="488"/>
      <c r="O264" s="1783"/>
      <c r="P264" s="1783"/>
    </row>
    <row s="8849" customFormat="1" customHeight="1" ht="18.75" hidden="1">
      <c r="A265" s="1939"/>
      <c r="B265" s="1939"/>
      <c r="C265" s="523" t="s">
        <v>1064</v>
      </c>
      <c r="D265" s="2527"/>
      <c r="E265" s="2270"/>
      <c r="F265" s="2436"/>
      <c r="G265" s="2482"/>
      <c r="H265" s="1659"/>
      <c r="I265" s="805" t="s">
        <v>1063</v>
      </c>
      <c r="J265" s="725"/>
      <c r="K265" s="1659"/>
      <c r="L265" s="368"/>
      <c r="M265" s="495"/>
      <c r="N265" s="488"/>
      <c r="O265" s="1783"/>
      <c r="P265" s="1783"/>
    </row>
    <row s="8849" customFormat="1" customHeight="1" ht="0.75" hidden="1">
      <c r="A266" s="1939"/>
      <c r="B266" s="1939"/>
      <c r="C266" s="523" t="s">
        <v>1071</v>
      </c>
      <c r="D266" s="2527"/>
      <c r="E266" s="2270"/>
      <c r="F266" s="2436"/>
      <c r="G266" s="554"/>
      <c r="H266" s="1659"/>
      <c r="I266" s="805"/>
      <c r="J266" s="725"/>
      <c r="K266" s="1659"/>
      <c r="L266" s="368"/>
      <c r="M266" s="495"/>
      <c r="N266" s="488"/>
      <c r="O266" s="1783"/>
      <c r="P266" s="1783"/>
    </row>
    <row s="8849" customFormat="1" customHeight="1" ht="45" hidden="1">
      <c r="A267" s="1939" t="s">
        <v>170</v>
      </c>
      <c r="B267" s="1939" t="s">
        <v>171</v>
      </c>
      <c r="C267" s="523"/>
      <c r="D267" s="2527"/>
      <c r="E267" s="2270"/>
      <c r="F267" s="2436" t="str">
        <f>INDEX(PT_DIFFERENTIATION_VTAR,MATCH(A267,PT_DIFFERENTIATION_VTAR_ID,0))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67" s="2482" t="str">
        <f>INDEX(PT_DIFFERENTIATION_NTAR,MATCH(B267,PT_DIFFERENTIATION_NTAR_ID,0))</f>
        <v/>
      </c>
      <c r="H267" s="2022"/>
      <c r="I267" s="1898"/>
      <c r="J267" s="1932"/>
      <c r="K267" s="1937"/>
      <c r="L267" s="2022" t="s">
        <v>306</v>
      </c>
      <c r="M267" s="495"/>
      <c r="N267" s="488"/>
      <c r="O267" s="1783"/>
      <c r="P267" s="1783"/>
    </row>
    <row s="8849" customFormat="1" customHeight="1" ht="18.75" hidden="1">
      <c r="A268" s="1939"/>
      <c r="B268" s="1939"/>
      <c r="C268" s="523" t="s">
        <v>1064</v>
      </c>
      <c r="D268" s="2527"/>
      <c r="E268" s="2270"/>
      <c r="F268" s="2436"/>
      <c r="G268" s="2482"/>
      <c r="H268" s="1659"/>
      <c r="I268" s="805" t="s">
        <v>1063</v>
      </c>
      <c r="J268" s="725"/>
      <c r="K268" s="1659"/>
      <c r="L268" s="368"/>
      <c r="M268" s="495"/>
      <c r="N268" s="488"/>
      <c r="O268" s="1783"/>
      <c r="P268" s="1783"/>
    </row>
    <row s="8849" customFormat="1" customHeight="1" ht="0.75" hidden="1">
      <c r="A269" s="1939"/>
      <c r="B269" s="1939"/>
      <c r="C269" s="523" t="s">
        <v>1071</v>
      </c>
      <c r="D269" s="2527"/>
      <c r="E269" s="2270"/>
      <c r="F269" s="2436"/>
      <c r="G269" s="554"/>
      <c r="H269" s="1659"/>
      <c r="I269" s="805"/>
      <c r="J269" s="725"/>
      <c r="K269" s="1659"/>
      <c r="L269" s="368"/>
      <c r="M269" s="495"/>
      <c r="N269" s="488"/>
      <c r="O269" s="1783"/>
      <c r="P269" s="1783"/>
    </row>
    <row s="8849" customFormat="1" customHeight="1" ht="18.75" hidden="1">
      <c r="A270" s="1939" t="s">
        <v>176</v>
      </c>
      <c r="B270" s="1939" t="s">
        <v>177</v>
      </c>
      <c r="C270" s="523"/>
      <c r="D270" s="2527"/>
      <c r="E270" s="2270"/>
      <c r="F270" s="2436" t="str">
        <f>INDEX(PT_DIFFERENTIATION_VTAR,MATCH(A270,PT_DIFFERENTIATION_VTAR_ID,0))</f>
        <v>Тарифы на услуги по передаче тепловой энергии</v>
      </c>
      <c r="G270" s="2482" t="str">
        <f>INDEX(PT_DIFFERENTIATION_NTAR,MATCH(B270,PT_DIFFERENTIATION_NTAR_ID,0))</f>
        <v/>
      </c>
      <c r="H270" s="2022"/>
      <c r="I270" s="1898"/>
      <c r="J270" s="1932"/>
      <c r="K270" s="1937"/>
      <c r="L270" s="2022" t="s">
        <v>306</v>
      </c>
      <c r="M270" s="495"/>
      <c r="N270" s="488"/>
      <c r="O270" s="1783"/>
      <c r="P270" s="1783"/>
    </row>
    <row s="8849" customFormat="1" customHeight="1" ht="18.75" hidden="1">
      <c r="A271" s="1939"/>
      <c r="B271" s="1939"/>
      <c r="C271" s="523" t="s">
        <v>1064</v>
      </c>
      <c r="D271" s="2527"/>
      <c r="E271" s="2270"/>
      <c r="F271" s="2436"/>
      <c r="G271" s="2482"/>
      <c r="H271" s="1659"/>
      <c r="I271" s="805" t="s">
        <v>1063</v>
      </c>
      <c r="J271" s="725"/>
      <c r="K271" s="1659"/>
      <c r="L271" s="368"/>
      <c r="M271" s="495"/>
      <c r="N271" s="488"/>
      <c r="O271" s="1783"/>
      <c r="P271" s="1783"/>
    </row>
    <row s="8849" customFormat="1" customHeight="1" ht="0.75" hidden="1">
      <c r="A272" s="1939"/>
      <c r="B272" s="1939"/>
      <c r="C272" s="523" t="s">
        <v>1071</v>
      </c>
      <c r="D272" s="2527"/>
      <c r="E272" s="2270"/>
      <c r="F272" s="2436"/>
      <c r="G272" s="554"/>
      <c r="H272" s="1659"/>
      <c r="I272" s="805"/>
      <c r="J272" s="725"/>
      <c r="K272" s="1659"/>
      <c r="L272" s="368"/>
      <c r="M272" s="495"/>
      <c r="N272" s="488"/>
      <c r="O272" s="1783"/>
      <c r="P272" s="1783"/>
    </row>
    <row s="8849" customFormat="1" customHeight="1" ht="18.75" hidden="1">
      <c r="A273" s="1939" t="s">
        <v>182</v>
      </c>
      <c r="B273" s="1939" t="s">
        <v>183</v>
      </c>
      <c r="C273" s="523"/>
      <c r="D273" s="2527"/>
      <c r="E273" s="2270"/>
      <c r="F273" s="2436" t="str">
        <f>INDEX(PT_DIFFERENTIATION_VTAR,MATCH(A273,PT_DIFFERENTIATION_VTAR_ID,0))</f>
        <v>Тарифы на услуги по передаче теплоносителя</v>
      </c>
      <c r="G273" s="2482" t="str">
        <f>INDEX(PT_DIFFERENTIATION_NTAR,MATCH(B273,PT_DIFFERENTIATION_NTAR_ID,0))</f>
        <v/>
      </c>
      <c r="H273" s="2022"/>
      <c r="I273" s="1898"/>
      <c r="J273" s="1932"/>
      <c r="K273" s="1937"/>
      <c r="L273" s="2022" t="s">
        <v>306</v>
      </c>
      <c r="M273" s="495"/>
      <c r="N273" s="488"/>
      <c r="O273" s="1783"/>
      <c r="P273" s="1783"/>
    </row>
    <row s="8849" customFormat="1" customHeight="1" ht="18.75" hidden="1">
      <c r="A274" s="1939"/>
      <c r="B274" s="1939"/>
      <c r="C274" s="523" t="s">
        <v>1064</v>
      </c>
      <c r="D274" s="2527"/>
      <c r="E274" s="2270"/>
      <c r="F274" s="2436"/>
      <c r="G274" s="2482"/>
      <c r="H274" s="1659"/>
      <c r="I274" s="805" t="s">
        <v>1063</v>
      </c>
      <c r="J274" s="725"/>
      <c r="K274" s="1659"/>
      <c r="L274" s="368"/>
      <c r="M274" s="495"/>
      <c r="N274" s="488"/>
      <c r="O274" s="1783"/>
      <c r="P274" s="1783"/>
    </row>
    <row s="8849" customFormat="1" customHeight="1" ht="0.75" hidden="1">
      <c r="A275" s="1939"/>
      <c r="B275" s="1939"/>
      <c r="C275" s="523" t="s">
        <v>1071</v>
      </c>
      <c r="D275" s="2527"/>
      <c r="E275" s="2270"/>
      <c r="F275" s="2436"/>
      <c r="G275" s="554"/>
      <c r="H275" s="1659"/>
      <c r="I275" s="805"/>
      <c r="J275" s="725"/>
      <c r="K275" s="1659"/>
      <c r="L275" s="368"/>
      <c r="M275" s="495"/>
      <c r="N275" s="488"/>
      <c r="O275" s="1783"/>
      <c r="P275" s="1783"/>
    </row>
    <row s="8849" customFormat="1" customHeight="1" ht="18.75" hidden="1">
      <c r="A276" s="1939" t="s">
        <v>188</v>
      </c>
      <c r="B276" s="1939" t="s">
        <v>189</v>
      </c>
      <c r="C276" s="523"/>
      <c r="D276" s="2527"/>
      <c r="E276" s="2270"/>
      <c r="F276" s="2436" t="str">
        <f>INDEX(PT_DIFFERENTIATION_VTAR,MATCH(A276,PT_DIFFERENTIATION_VTAR_ID,0))</f>
        <v>Плата за услуги по поддержанию резервной тепловой мощности при отсутствии потребления тепловой энергии</v>
      </c>
      <c r="G276" s="2482" t="str">
        <f>INDEX(PT_DIFFERENTIATION_NTAR,MATCH(B276,PT_DIFFERENTIATION_NTAR_ID,0))</f>
        <v/>
      </c>
      <c r="H276" s="2022"/>
      <c r="I276" s="1898"/>
      <c r="J276" s="1932"/>
      <c r="K276" s="1937"/>
      <c r="L276" s="2022" t="s">
        <v>306</v>
      </c>
      <c r="M276" s="495"/>
      <c r="N276" s="488"/>
      <c r="O276" s="1783"/>
      <c r="P276" s="1783"/>
    </row>
    <row s="8849" customFormat="1" customHeight="1" ht="18.75" hidden="1">
      <c r="A277" s="1939"/>
      <c r="B277" s="1939"/>
      <c r="C277" s="523" t="s">
        <v>1064</v>
      </c>
      <c r="D277" s="2527"/>
      <c r="E277" s="2270"/>
      <c r="F277" s="2436"/>
      <c r="G277" s="2482"/>
      <c r="H277" s="1659"/>
      <c r="I277" s="805" t="s">
        <v>1063</v>
      </c>
      <c r="J277" s="725"/>
      <c r="K277" s="1659"/>
      <c r="L277" s="368"/>
      <c r="M277" s="495"/>
      <c r="N277" s="488"/>
      <c r="O277" s="1783"/>
      <c r="P277" s="1783"/>
    </row>
    <row s="8849" customFormat="1" customHeight="1" ht="0.75" hidden="1">
      <c r="A278" s="1939"/>
      <c r="B278" s="1939"/>
      <c r="C278" s="523" t="s">
        <v>1071</v>
      </c>
      <c r="D278" s="2527"/>
      <c r="E278" s="2270"/>
      <c r="F278" s="2436"/>
      <c r="G278" s="554"/>
      <c r="H278" s="1659"/>
      <c r="I278" s="805"/>
      <c r="J278" s="725"/>
      <c r="K278" s="1659"/>
      <c r="L278" s="368"/>
      <c r="M278" s="495"/>
      <c r="N278" s="488"/>
      <c r="O278" s="1783"/>
      <c r="P278" s="1783"/>
    </row>
    <row s="8849" customFormat="1" customHeight="1" ht="18.75" hidden="1">
      <c r="A279" s="1939" t="s">
        <v>194</v>
      </c>
      <c r="B279" s="1939" t="s">
        <v>195</v>
      </c>
      <c r="C279" s="523"/>
      <c r="D279" s="2527"/>
      <c r="E279" s="2270"/>
      <c r="F279" s="2436" t="str">
        <f>INDEX(PT_DIFFERENTIATION_VTAR,MATCH(A279,PT_DIFFERENTIATION_VTAR_ID,0))</f>
        <v>Плата за подключение (технологическое присоединение) к системе теплоснабжения</v>
      </c>
      <c r="G279" s="2482" t="str">
        <f>INDEX(PT_DIFFERENTIATION_NTAR,MATCH(B279,PT_DIFFERENTIATION_NTAR_ID,0))</f>
        <v/>
      </c>
      <c r="H279" s="2022"/>
      <c r="I279" s="1898"/>
      <c r="J279" s="1932"/>
      <c r="K279" s="1937"/>
      <c r="L279" s="2022" t="s">
        <v>306</v>
      </c>
      <c r="M279" s="495"/>
      <c r="N279" s="488"/>
      <c r="O279" s="1783"/>
      <c r="P279" s="1783"/>
    </row>
    <row s="8849" customFormat="1" customHeight="1" ht="18.75" hidden="1">
      <c r="A280" s="1939"/>
      <c r="B280" s="1939"/>
      <c r="C280" s="523" t="s">
        <v>1064</v>
      </c>
      <c r="D280" s="2527"/>
      <c r="E280" s="2270"/>
      <c r="F280" s="2436"/>
      <c r="G280" s="2482"/>
      <c r="H280" s="1659"/>
      <c r="I280" s="805" t="s">
        <v>1063</v>
      </c>
      <c r="J280" s="725"/>
      <c r="K280" s="1659"/>
      <c r="L280" s="368"/>
      <c r="M280" s="495"/>
      <c r="N280" s="488"/>
      <c r="O280" s="1783"/>
      <c r="P280" s="1783"/>
    </row>
    <row s="8849" customFormat="1" customHeight="1" ht="0.75" hidden="1">
      <c r="A281" s="1939"/>
      <c r="B281" s="1939"/>
      <c r="C281" s="523" t="s">
        <v>1071</v>
      </c>
      <c r="D281" s="2527"/>
      <c r="E281" s="2270"/>
      <c r="F281" s="2436"/>
      <c r="G281" s="554"/>
      <c r="H281" s="1659"/>
      <c r="I281" s="805"/>
      <c r="J281" s="725"/>
      <c r="K281" s="1659"/>
      <c r="L281" s="368"/>
      <c r="M281" s="495"/>
      <c r="N281" s="488"/>
      <c r="O281" s="1783"/>
      <c r="P281" s="1783"/>
    </row>
    <row s="8849" customFormat="1" customHeight="1" ht="18.75" hidden="1">
      <c r="A282" s="1939" t="s">
        <v>220</v>
      </c>
      <c r="B282" s="1939" t="s">
        <v>221</v>
      </c>
      <c r="C282" s="523"/>
      <c r="D282" s="2527"/>
      <c r="E282" s="2270"/>
      <c r="F282" s="2436" t="str">
        <f>INDEX(PT_DIFFERENTIATION_VTAR,MATCH(A282,PT_DIFFERENTIATION_VTAR_ID,0))</f>
        <v>Тариф на питьевую воду (питьевое водоснабжение)</v>
      </c>
      <c r="G282" s="2482" t="str">
        <f>INDEX(PT_DIFFERENTIATION_NTAR,MATCH(B282,PT_DIFFERENTIATION_NTAR_ID,0))</f>
        <v/>
      </c>
      <c r="H282" s="2022"/>
      <c r="I282" s="1898"/>
      <c r="J282" s="1932"/>
      <c r="K282" s="1937"/>
      <c r="L282" s="2022" t="s">
        <v>306</v>
      </c>
      <c r="M282" s="495"/>
      <c r="N282" s="488"/>
      <c r="O282" s="1783"/>
      <c r="P282" s="1783"/>
    </row>
    <row s="8849" customFormat="1" customHeight="1" ht="18.75" hidden="1">
      <c r="A283" s="1939"/>
      <c r="B283" s="1939"/>
      <c r="C283" s="523" t="s">
        <v>1064</v>
      </c>
      <c r="D283" s="2527"/>
      <c r="E283" s="2270"/>
      <c r="F283" s="2436"/>
      <c r="G283" s="2482"/>
      <c r="H283" s="1659"/>
      <c r="I283" s="805" t="s">
        <v>1063</v>
      </c>
      <c r="J283" s="725"/>
      <c r="K283" s="1659"/>
      <c r="L283" s="368"/>
      <c r="M283" s="495"/>
      <c r="N283" s="488"/>
      <c r="O283" s="1783"/>
      <c r="P283" s="1783"/>
    </row>
    <row s="8849" customFormat="1" customHeight="1" ht="0.75" hidden="1">
      <c r="A284" s="1939"/>
      <c r="B284" s="1939"/>
      <c r="C284" s="523" t="s">
        <v>1071</v>
      </c>
      <c r="D284" s="2527"/>
      <c r="E284" s="2270"/>
      <c r="F284" s="2436"/>
      <c r="G284" s="554"/>
      <c r="H284" s="1659"/>
      <c r="I284" s="805"/>
      <c r="J284" s="725"/>
      <c r="K284" s="1659"/>
      <c r="L284" s="368"/>
      <c r="M284" s="495"/>
      <c r="N284" s="488"/>
      <c r="O284" s="1783"/>
      <c r="P284" s="1783"/>
    </row>
    <row s="8849" customFormat="1" customHeight="1" ht="18.75" hidden="1">
      <c r="A285" s="1939" t="s">
        <v>225</v>
      </c>
      <c r="B285" s="1939" t="s">
        <v>226</v>
      </c>
      <c r="C285" s="523"/>
      <c r="D285" s="2527"/>
      <c r="E285" s="2270"/>
      <c r="F285" s="2436" t="str">
        <f>INDEX(PT_DIFFERENTIATION_VTAR,MATCH(A285,PT_DIFFERENTIATION_VTAR_ID,0))</f>
        <v>Тариф на техническую воду</v>
      </c>
      <c r="G285" s="2482" t="str">
        <f>INDEX(PT_DIFFERENTIATION_NTAR,MATCH(B285,PT_DIFFERENTIATION_NTAR_ID,0))</f>
        <v/>
      </c>
      <c r="H285" s="2022"/>
      <c r="I285" s="1898"/>
      <c r="J285" s="1932"/>
      <c r="K285" s="1937"/>
      <c r="L285" s="2022" t="s">
        <v>306</v>
      </c>
      <c r="M285" s="495"/>
      <c r="N285" s="488"/>
      <c r="O285" s="1783"/>
      <c r="P285" s="1783"/>
    </row>
    <row s="8849" customFormat="1" customHeight="1" ht="18.75" hidden="1">
      <c r="A286" s="1939"/>
      <c r="B286" s="1939"/>
      <c r="C286" s="523" t="s">
        <v>1064</v>
      </c>
      <c r="D286" s="2527"/>
      <c r="E286" s="2270"/>
      <c r="F286" s="2436"/>
      <c r="G286" s="2482"/>
      <c r="H286" s="1659"/>
      <c r="I286" s="805" t="s">
        <v>1063</v>
      </c>
      <c r="J286" s="725"/>
      <c r="K286" s="1659"/>
      <c r="L286" s="368"/>
      <c r="M286" s="495"/>
      <c r="N286" s="488"/>
      <c r="O286" s="1783"/>
      <c r="P286" s="1783"/>
    </row>
    <row s="8849" customFormat="1" customHeight="1" ht="0.75" hidden="1">
      <c r="A287" s="1939"/>
      <c r="B287" s="1939"/>
      <c r="C287" s="523" t="s">
        <v>1071</v>
      </c>
      <c r="D287" s="2527"/>
      <c r="E287" s="2270"/>
      <c r="F287" s="2436"/>
      <c r="G287" s="554"/>
      <c r="H287" s="1659"/>
      <c r="I287" s="805"/>
      <c r="J287" s="725"/>
      <c r="K287" s="1659"/>
      <c r="L287" s="368"/>
      <c r="M287" s="495"/>
      <c r="N287" s="488"/>
      <c r="O287" s="1783"/>
      <c r="P287" s="1783"/>
    </row>
    <row s="8849" customFormat="1" customHeight="1" ht="18.75" hidden="1">
      <c r="A288" s="1939" t="s">
        <v>230</v>
      </c>
      <c r="B288" s="1939" t="s">
        <v>231</v>
      </c>
      <c r="C288" s="523"/>
      <c r="D288" s="2527"/>
      <c r="E288" s="2270"/>
      <c r="F288" s="2436" t="str">
        <f>INDEX(PT_DIFFERENTIATION_VTAR,MATCH(A288,PT_DIFFERENTIATION_VTAR_ID,0))</f>
        <v>Тариф на транспортировку воды</v>
      </c>
      <c r="G288" s="2482" t="str">
        <f>INDEX(PT_DIFFERENTIATION_NTAR,MATCH(B288,PT_DIFFERENTIATION_NTAR_ID,0))</f>
        <v/>
      </c>
      <c r="H288" s="2022"/>
      <c r="I288" s="1898"/>
      <c r="J288" s="1932"/>
      <c r="K288" s="1937"/>
      <c r="L288" s="2022" t="s">
        <v>306</v>
      </c>
      <c r="M288" s="495"/>
      <c r="N288" s="488"/>
      <c r="O288" s="1783"/>
      <c r="P288" s="1783"/>
    </row>
    <row s="8849" customFormat="1" customHeight="1" ht="18.75" hidden="1">
      <c r="A289" s="1939"/>
      <c r="B289" s="1939"/>
      <c r="C289" s="523" t="s">
        <v>1064</v>
      </c>
      <c r="D289" s="2527"/>
      <c r="E289" s="2270"/>
      <c r="F289" s="2436"/>
      <c r="G289" s="2482"/>
      <c r="H289" s="1659"/>
      <c r="I289" s="805" t="s">
        <v>1063</v>
      </c>
      <c r="J289" s="725"/>
      <c r="K289" s="1659"/>
      <c r="L289" s="368"/>
      <c r="M289" s="495"/>
      <c r="N289" s="488"/>
      <c r="O289" s="1783"/>
      <c r="P289" s="1783"/>
    </row>
    <row s="8849" customFormat="1" customHeight="1" ht="0.75" hidden="1">
      <c r="A290" s="1939"/>
      <c r="B290" s="1939"/>
      <c r="C290" s="523" t="s">
        <v>1071</v>
      </c>
      <c r="D290" s="2527"/>
      <c r="E290" s="2270"/>
      <c r="F290" s="2436"/>
      <c r="G290" s="554"/>
      <c r="H290" s="1659"/>
      <c r="I290" s="805"/>
      <c r="J290" s="725"/>
      <c r="K290" s="1659"/>
      <c r="L290" s="368"/>
      <c r="M290" s="495"/>
      <c r="N290" s="488"/>
      <c r="O290" s="1783"/>
      <c r="P290" s="1783"/>
    </row>
    <row s="8849" customFormat="1" customHeight="1" ht="18.75" hidden="1">
      <c r="A291" s="1939" t="s">
        <v>235</v>
      </c>
      <c r="B291" s="1939" t="s">
        <v>236</v>
      </c>
      <c r="C291" s="523"/>
      <c r="D291" s="2527"/>
      <c r="E291" s="2270"/>
      <c r="F291" s="2436" t="str">
        <f>INDEX(PT_DIFFERENTIATION_VTAR,MATCH(A291,PT_DIFFERENTIATION_VTAR_ID,0))</f>
        <v>Тариф на подвоз воды</v>
      </c>
      <c r="G291" s="2482" t="str">
        <f>INDEX(PT_DIFFERENTIATION_NTAR,MATCH(B291,PT_DIFFERENTIATION_NTAR_ID,0))</f>
        <v/>
      </c>
      <c r="H291" s="2022"/>
      <c r="I291" s="1898"/>
      <c r="J291" s="1932"/>
      <c r="K291" s="1937"/>
      <c r="L291" s="2022" t="s">
        <v>306</v>
      </c>
      <c r="M291" s="495"/>
      <c r="N291" s="488"/>
      <c r="O291" s="1783"/>
      <c r="P291" s="1783"/>
    </row>
    <row s="8849" customFormat="1" customHeight="1" ht="18.75" hidden="1">
      <c r="A292" s="1939"/>
      <c r="B292" s="1939"/>
      <c r="C292" s="523" t="s">
        <v>1064</v>
      </c>
      <c r="D292" s="2527"/>
      <c r="E292" s="2270"/>
      <c r="F292" s="2436"/>
      <c r="G292" s="2482"/>
      <c r="H292" s="1659"/>
      <c r="I292" s="805" t="s">
        <v>1063</v>
      </c>
      <c r="J292" s="725"/>
      <c r="K292" s="1659"/>
      <c r="L292" s="368"/>
      <c r="M292" s="495"/>
      <c r="N292" s="488"/>
      <c r="O292" s="1783"/>
      <c r="P292" s="1783"/>
    </row>
    <row s="8849" customFormat="1" customHeight="1" ht="0.75" hidden="1">
      <c r="A293" s="1939"/>
      <c r="B293" s="1939"/>
      <c r="C293" s="523" t="s">
        <v>1071</v>
      </c>
      <c r="D293" s="2527"/>
      <c r="E293" s="2270"/>
      <c r="F293" s="2436"/>
      <c r="G293" s="554"/>
      <c r="H293" s="1659"/>
      <c r="I293" s="805"/>
      <c r="J293" s="725"/>
      <c r="K293" s="1659"/>
      <c r="L293" s="368"/>
      <c r="M293" s="495"/>
      <c r="N293" s="488"/>
      <c r="O293" s="1783"/>
      <c r="P293" s="1783"/>
    </row>
    <row s="8849" customFormat="1" customHeight="1" ht="18.75" hidden="1">
      <c r="A294" s="1939" t="s">
        <v>240</v>
      </c>
      <c r="B294" s="1939" t="s">
        <v>241</v>
      </c>
      <c r="C294" s="523"/>
      <c r="D294" s="2527"/>
      <c r="E294" s="2270"/>
      <c r="F294" s="2436" t="str">
        <f>INDEX(PT_DIFFERENTIATION_VTAR,MATCH(A294,PT_DIFFERENTIATION_VTAR_ID,0))</f>
        <v>Тариф на подключение (технологическое присоединение) к централизованной системе холодного водоснабжения</v>
      </c>
      <c r="G294" s="2482" t="str">
        <f>INDEX(PT_DIFFERENTIATION_NTAR,MATCH(B294,PT_DIFFERENTIATION_NTAR_ID,0))</f>
        <v/>
      </c>
      <c r="H294" s="2022"/>
      <c r="I294" s="1898"/>
      <c r="J294" s="1932"/>
      <c r="K294" s="1937"/>
      <c r="L294" s="2022" t="s">
        <v>306</v>
      </c>
      <c r="M294" s="495"/>
      <c r="N294" s="488"/>
      <c r="O294" s="1783"/>
      <c r="P294" s="1783"/>
    </row>
    <row s="8849" customFormat="1" customHeight="1" ht="18.75" hidden="1">
      <c r="A295" s="1939"/>
      <c r="B295" s="1939"/>
      <c r="C295" s="523" t="s">
        <v>1064</v>
      </c>
      <c r="D295" s="2527"/>
      <c r="E295" s="2270"/>
      <c r="F295" s="2436"/>
      <c r="G295" s="2482"/>
      <c r="H295" s="1659"/>
      <c r="I295" s="805" t="s">
        <v>1063</v>
      </c>
      <c r="J295" s="725"/>
      <c r="K295" s="1659"/>
      <c r="L295" s="368"/>
      <c r="M295" s="495"/>
      <c r="N295" s="488"/>
      <c r="O295" s="1783"/>
      <c r="P295" s="1783"/>
    </row>
    <row s="8849" customFormat="1" customHeight="1" ht="0.75" hidden="1">
      <c r="A296" s="1939"/>
      <c r="B296" s="1939"/>
      <c r="C296" s="523" t="s">
        <v>1071</v>
      </c>
      <c r="D296" s="2527"/>
      <c r="E296" s="2270"/>
      <c r="F296" s="2436"/>
      <c r="G296" s="554"/>
      <c r="H296" s="1659"/>
      <c r="I296" s="805"/>
      <c r="J296" s="725"/>
      <c r="K296" s="1659"/>
      <c r="L296" s="368"/>
      <c r="M296" s="495"/>
      <c r="N296" s="488"/>
      <c r="O296" s="1783"/>
      <c r="P296" s="1783"/>
    </row>
    <row s="8849" customFormat="1" customHeight="1" ht="18.75" hidden="1">
      <c r="A297" s="1939" t="s">
        <v>247</v>
      </c>
      <c r="B297" s="1939" t="s">
        <v>248</v>
      </c>
      <c r="C297" s="523"/>
      <c r="D297" s="2527"/>
      <c r="E297" s="2270"/>
      <c r="F297" s="2436" t="str">
        <f>INDEX(PT_DIFFERENTIATION_VTAR,MATCH(A297,PT_DIFFERENTIATION_VTAR_ID,0))</f>
        <v>Тариф на горячую воду (горячее водоснабжение)</v>
      </c>
      <c r="G297" s="2482" t="str">
        <f>INDEX(PT_DIFFERENTIATION_NTAR,MATCH(B297,PT_DIFFERENTIATION_NTAR_ID,0))</f>
        <v>Тариф на горячую воду, поставляемую с использованием закрытой системы горячего водоснабжения АО "Теплокоммунэнерго" (ИНН 6165199445)</v>
      </c>
      <c r="H297" s="2022"/>
      <c r="I297" s="1898"/>
      <c r="J297" s="1932"/>
      <c r="K297" s="1937"/>
      <c r="L297" s="2022" t="s">
        <v>306</v>
      </c>
      <c r="M297" s="495"/>
      <c r="N297" s="488"/>
      <c r="O297" s="1783"/>
      <c r="P297" s="1783"/>
    </row>
    <row s="8849" customFormat="1" customHeight="1" ht="18.75" hidden="1">
      <c r="A298" s="1939"/>
      <c r="B298" s="1939"/>
      <c r="C298" s="523" t="s">
        <v>1064</v>
      </c>
      <c r="D298" s="2527"/>
      <c r="E298" s="2270"/>
      <c r="F298" s="2436"/>
      <c r="G298" s="2482"/>
      <c r="H298" s="1659"/>
      <c r="I298" s="805" t="s">
        <v>1063</v>
      </c>
      <c r="J298" s="725"/>
      <c r="K298" s="1659"/>
      <c r="L298" s="368"/>
      <c r="M298" s="495"/>
      <c r="N298" s="488"/>
      <c r="O298" s="1783"/>
      <c r="P298" s="1783"/>
    </row>
    <row s="8849" customFormat="1" customHeight="1" ht="0.75" hidden="1">
      <c r="A299" s="1939"/>
      <c r="B299" s="1939"/>
      <c r="C299" s="523" t="s">
        <v>1071</v>
      </c>
      <c r="D299" s="2527"/>
      <c r="E299" s="2270"/>
      <c r="F299" s="2436"/>
      <c r="G299" s="554"/>
      <c r="H299" s="1659"/>
      <c r="I299" s="805"/>
      <c r="J299" s="725"/>
      <c r="K299" s="1659"/>
      <c r="L299" s="368"/>
      <c r="M299" s="495"/>
      <c r="N299" s="488"/>
      <c r="O299" s="1783"/>
      <c r="P299" s="1783"/>
    </row>
    <row s="8849" customFormat="1" customHeight="1" ht="18.75" hidden="1">
      <c r="A300" s="1939" t="s">
        <v>255</v>
      </c>
      <c r="B300" s="1939" t="s">
        <v>256</v>
      </c>
      <c r="C300" s="523"/>
      <c r="D300" s="2527"/>
      <c r="E300" s="2270"/>
      <c r="F300" s="2436" t="str">
        <f>INDEX(PT_DIFFERENTIATION_VTAR,MATCH(A300,PT_DIFFERENTIATION_VTAR_ID,0))</f>
        <v>Тариф на транспортировку горячей воды</v>
      </c>
      <c r="G300" s="2482" t="str">
        <f>INDEX(PT_DIFFERENTIATION_NTAR,MATCH(B300,PT_DIFFERENTIATION_NTAR_ID,0))</f>
        <v/>
      </c>
      <c r="H300" s="2022"/>
      <c r="I300" s="1898"/>
      <c r="J300" s="1932"/>
      <c r="K300" s="1937"/>
      <c r="L300" s="2022" t="s">
        <v>306</v>
      </c>
      <c r="M300" s="495"/>
      <c r="N300" s="488"/>
      <c r="O300" s="1783"/>
      <c r="P300" s="1783"/>
    </row>
    <row s="8849" customFormat="1" customHeight="1" ht="18.75" hidden="1">
      <c r="A301" s="1939"/>
      <c r="B301" s="1939"/>
      <c r="C301" s="523" t="s">
        <v>1064</v>
      </c>
      <c r="D301" s="2527"/>
      <c r="E301" s="2270"/>
      <c r="F301" s="2436"/>
      <c r="G301" s="2482"/>
      <c r="H301" s="1659"/>
      <c r="I301" s="805" t="s">
        <v>1063</v>
      </c>
      <c r="J301" s="725"/>
      <c r="K301" s="1659"/>
      <c r="L301" s="368"/>
      <c r="M301" s="495"/>
      <c r="N301" s="488"/>
      <c r="O301" s="1783"/>
      <c r="P301" s="1783"/>
    </row>
    <row s="8849" customFormat="1" customHeight="1" ht="0.75" hidden="1">
      <c r="A302" s="1939"/>
      <c r="B302" s="1939"/>
      <c r="C302" s="523" t="s">
        <v>1071</v>
      </c>
      <c r="D302" s="2527"/>
      <c r="E302" s="2270"/>
      <c r="F302" s="2436"/>
      <c r="G302" s="554"/>
      <c r="H302" s="1659"/>
      <c r="I302" s="805"/>
      <c r="J302" s="725"/>
      <c r="K302" s="1659"/>
      <c r="L302" s="368"/>
      <c r="M302" s="495"/>
      <c r="N302" s="488"/>
      <c r="O302" s="1783"/>
      <c r="P302" s="1783"/>
    </row>
    <row s="8849" customFormat="1" customHeight="1" ht="18.75" hidden="1">
      <c r="A303" s="1939" t="s">
        <v>260</v>
      </c>
      <c r="B303" s="1939" t="s">
        <v>261</v>
      </c>
      <c r="C303" s="523"/>
      <c r="D303" s="2527"/>
      <c r="E303" s="2270"/>
      <c r="F303" s="2436" t="str">
        <f>INDEX(PT_DIFFERENTIATION_VTAR,MATCH(A303,PT_DIFFERENTIATION_VTAR_ID,0))</f>
        <v>Тариф на подключение (технологическое присоединение) к централизованной системе горячего водоснабжения</v>
      </c>
      <c r="G303" s="2482" t="str">
        <f>INDEX(PT_DIFFERENTIATION_NTAR,MATCH(B303,PT_DIFFERENTIATION_NTAR_ID,0))</f>
        <v/>
      </c>
      <c r="H303" s="2022"/>
      <c r="I303" s="1898"/>
      <c r="J303" s="1932"/>
      <c r="K303" s="1937"/>
      <c r="L303" s="2022" t="s">
        <v>306</v>
      </c>
      <c r="M303" s="495"/>
      <c r="N303" s="488"/>
      <c r="O303" s="1783"/>
      <c r="P303" s="1783"/>
    </row>
    <row s="8849" customFormat="1" customHeight="1" ht="18.75" hidden="1">
      <c r="A304" s="1939"/>
      <c r="B304" s="1939"/>
      <c r="C304" s="523" t="s">
        <v>1064</v>
      </c>
      <c r="D304" s="2527"/>
      <c r="E304" s="2270"/>
      <c r="F304" s="2436"/>
      <c r="G304" s="2482"/>
      <c r="H304" s="1659"/>
      <c r="I304" s="805" t="s">
        <v>1063</v>
      </c>
      <c r="J304" s="725"/>
      <c r="K304" s="1659"/>
      <c r="L304" s="368"/>
      <c r="M304" s="495"/>
      <c r="N304" s="488"/>
      <c r="O304" s="1783"/>
      <c r="P304" s="1783"/>
    </row>
    <row s="8849" customFormat="1" customHeight="1" ht="0.75" hidden="1">
      <c r="A305" s="1939"/>
      <c r="B305" s="1939"/>
      <c r="C305" s="523" t="s">
        <v>1071</v>
      </c>
      <c r="D305" s="2527"/>
      <c r="E305" s="2270"/>
      <c r="F305" s="2436"/>
      <c r="G305" s="554"/>
      <c r="H305" s="1659"/>
      <c r="I305" s="805"/>
      <c r="J305" s="725"/>
      <c r="K305" s="1659"/>
      <c r="L305" s="368"/>
      <c r="M305" s="495"/>
      <c r="N305" s="488"/>
      <c r="O305" s="1783"/>
      <c r="P305" s="1783"/>
    </row>
    <row s="8849" customFormat="1" customHeight="1" ht="18.75" hidden="1">
      <c r="A306" s="1939" t="s">
        <v>265</v>
      </c>
      <c r="B306" s="1939" t="s">
        <v>266</v>
      </c>
      <c r="C306" s="523"/>
      <c r="D306" s="2527"/>
      <c r="E306" s="2270"/>
      <c r="F306" s="2436" t="str">
        <f>INDEX(PT_DIFFERENTIATION_VTAR,MATCH(A306,PT_DIFFERENTIATION_VTAR_ID,0))</f>
        <v>Тариф на водоотведение</v>
      </c>
      <c r="G306" s="2482" t="str">
        <f>INDEX(PT_DIFFERENTIATION_NTAR,MATCH(B306,PT_DIFFERENTIATION_NTAR_ID,0))</f>
        <v/>
      </c>
      <c r="H306" s="2022"/>
      <c r="I306" s="1898"/>
      <c r="J306" s="1932"/>
      <c r="K306" s="1937"/>
      <c r="L306" s="2022" t="s">
        <v>306</v>
      </c>
      <c r="M306" s="495"/>
      <c r="N306" s="488"/>
      <c r="O306" s="1783"/>
      <c r="P306" s="1783"/>
    </row>
    <row s="8849" customFormat="1" customHeight="1" ht="18.75" hidden="1">
      <c r="A307" s="1939"/>
      <c r="B307" s="1939"/>
      <c r="C307" s="523" t="s">
        <v>1064</v>
      </c>
      <c r="D307" s="2527"/>
      <c r="E307" s="2270"/>
      <c r="F307" s="2436"/>
      <c r="G307" s="2482"/>
      <c r="H307" s="1659"/>
      <c r="I307" s="805" t="s">
        <v>1063</v>
      </c>
      <c r="J307" s="725"/>
      <c r="K307" s="1659"/>
      <c r="L307" s="368"/>
      <c r="M307" s="495"/>
      <c r="N307" s="488"/>
      <c r="O307" s="1783"/>
      <c r="P307" s="1783"/>
    </row>
    <row s="8849" customFormat="1" customHeight="1" ht="0.75" hidden="1">
      <c r="A308" s="1939"/>
      <c r="B308" s="1939"/>
      <c r="C308" s="523" t="s">
        <v>1071</v>
      </c>
      <c r="D308" s="2527"/>
      <c r="E308" s="2270"/>
      <c r="F308" s="2436"/>
      <c r="G308" s="554"/>
      <c r="H308" s="1659"/>
      <c r="I308" s="805"/>
      <c r="J308" s="725"/>
      <c r="K308" s="1659"/>
      <c r="L308" s="368"/>
      <c r="M308" s="495"/>
      <c r="N308" s="488"/>
      <c r="O308" s="1783"/>
      <c r="P308" s="1783"/>
    </row>
    <row s="8849" customFormat="1" customHeight="1" ht="18.75" hidden="1">
      <c r="A309" s="1939" t="s">
        <v>270</v>
      </c>
      <c r="B309" s="1939" t="s">
        <v>271</v>
      </c>
      <c r="C309" s="523"/>
      <c r="D309" s="2527"/>
      <c r="E309" s="2270"/>
      <c r="F309" s="2436" t="str">
        <f>INDEX(PT_DIFFERENTIATION_VTAR,MATCH(A309,PT_DIFFERENTIATION_VTAR_ID,0))</f>
        <v>Тариф на транспортировку сточных вод</v>
      </c>
      <c r="G309" s="2482" t="str">
        <f>INDEX(PT_DIFFERENTIATION_NTAR,MATCH(B309,PT_DIFFERENTIATION_NTAR_ID,0))</f>
        <v/>
      </c>
      <c r="H309" s="2022"/>
      <c r="I309" s="1898"/>
      <c r="J309" s="1932"/>
      <c r="K309" s="1937"/>
      <c r="L309" s="2022" t="s">
        <v>306</v>
      </c>
      <c r="M309" s="495"/>
      <c r="N309" s="488"/>
      <c r="O309" s="1783"/>
      <c r="P309" s="1783"/>
    </row>
    <row s="8849" customFormat="1" customHeight="1" ht="18.75" hidden="1">
      <c r="A310" s="1939"/>
      <c r="B310" s="1939"/>
      <c r="C310" s="523" t="s">
        <v>1064</v>
      </c>
      <c r="D310" s="2527"/>
      <c r="E310" s="2270"/>
      <c r="F310" s="2436"/>
      <c r="G310" s="2482"/>
      <c r="H310" s="1659"/>
      <c r="I310" s="805" t="s">
        <v>1063</v>
      </c>
      <c r="J310" s="725"/>
      <c r="K310" s="1659"/>
      <c r="L310" s="368"/>
      <c r="M310" s="495"/>
      <c r="N310" s="488"/>
      <c r="O310" s="1783"/>
      <c r="P310" s="1783"/>
    </row>
    <row s="8849" customFormat="1" customHeight="1" ht="0.75" hidden="1">
      <c r="A311" s="1939"/>
      <c r="B311" s="1939"/>
      <c r="C311" s="523" t="s">
        <v>1071</v>
      </c>
      <c r="D311" s="2527"/>
      <c r="E311" s="2270"/>
      <c r="F311" s="2436"/>
      <c r="G311" s="554"/>
      <c r="H311" s="1659"/>
      <c r="I311" s="805"/>
      <c r="J311" s="725"/>
      <c r="K311" s="1659"/>
      <c r="L311" s="368"/>
      <c r="M311" s="495"/>
      <c r="N311" s="488"/>
      <c r="O311" s="1783"/>
      <c r="P311" s="1783"/>
    </row>
    <row s="8849" customFormat="1" customHeight="1" ht="18.75" hidden="1">
      <c r="A312" s="1939" t="s">
        <v>275</v>
      </c>
      <c r="B312" s="1939" t="s">
        <v>276</v>
      </c>
      <c r="C312" s="523"/>
      <c r="D312" s="2527"/>
      <c r="E312" s="2270"/>
      <c r="F312" s="2436" t="str">
        <f>INDEX(PT_DIFFERENTIATION_VTAR,MATCH(A312,PT_DIFFERENTIATION_VTAR_ID,0))</f>
        <v>Тариф на подключение (технологическое присоединение) к централизованной системе водоотведения</v>
      </c>
      <c r="G312" s="2482" t="str">
        <f>INDEX(PT_DIFFERENTIATION_NTAR,MATCH(B312,PT_DIFFERENTIATION_NTAR_ID,0))</f>
        <v/>
      </c>
      <c r="H312" s="2022"/>
      <c r="I312" s="1898"/>
      <c r="J312" s="1932"/>
      <c r="K312" s="1937"/>
      <c r="L312" s="2022" t="s">
        <v>306</v>
      </c>
      <c r="M312" s="495"/>
      <c r="N312" s="488"/>
      <c r="O312" s="1783"/>
      <c r="P312" s="1783"/>
    </row>
    <row s="8849" customFormat="1" customHeight="1" ht="18.75" hidden="1">
      <c r="A313" s="1939"/>
      <c r="B313" s="1939"/>
      <c r="C313" s="523" t="s">
        <v>1064</v>
      </c>
      <c r="D313" s="2527"/>
      <c r="E313" s="2270"/>
      <c r="F313" s="2436"/>
      <c r="G313" s="2482"/>
      <c r="H313" s="1659"/>
      <c r="I313" s="805" t="s">
        <v>1063</v>
      </c>
      <c r="J313" s="725"/>
      <c r="K313" s="1659"/>
      <c r="L313" s="368"/>
      <c r="M313" s="495"/>
      <c r="N313" s="488"/>
      <c r="O313" s="1783"/>
      <c r="P313" s="1783"/>
    </row>
    <row s="8849" customFormat="1" customHeight="1" ht="0.75">
      <c r="A314" s="1939"/>
      <c r="B314" s="1939"/>
      <c r="C314" s="523" t="s">
        <v>1071</v>
      </c>
      <c r="D314" s="2527"/>
      <c r="E314" s="2270"/>
      <c r="F314" s="2436"/>
      <c r="G314" s="554"/>
      <c r="H314" s="1659"/>
      <c r="I314" s="805"/>
      <c r="J314" s="725"/>
      <c r="K314" s="1659"/>
      <c r="L314" s="368"/>
      <c r="M314" s="495"/>
      <c r="N314" s="488"/>
      <c r="O314" s="1783"/>
      <c r="P314" s="1783"/>
    </row>
    <row s="9806" customFormat="1" customHeight="1" ht="3">
      <c r="A315" s="1939"/>
      <c r="B315" s="1939"/>
      <c r="C315" s="1940"/>
      <c r="E315" s="556"/>
      <c r="F315" s="556"/>
      <c r="G315" s="556"/>
      <c r="H315" s="556"/>
      <c r="I315" s="556"/>
      <c r="J315" s="556"/>
      <c r="K315" s="556"/>
      <c r="L315" s="556"/>
      <c r="M315" s="556"/>
      <c r="O315" s="350"/>
      <c r="P315" s="350"/>
    </row>
    <row customHeight="1" ht="24.75">
      <c r="E316" s="356"/>
      <c r="F316" s="2319"/>
      <c r="G316" s="2319"/>
      <c r="H316" s="2319"/>
      <c r="I316" s="2319"/>
      <c r="J316" s="2319"/>
      <c r="K316" s="2319"/>
      <c r="L316" s="2319"/>
      <c r="M316" s="2319"/>
    </row>
  </sheetData>
  <sheetProtection formatColumns="0" formatRows="0" autoFilter="0" sort="0" insertRows="0" insertColumns="1" deleteRows="0" deleteColumns="0"/>
  <mergeCells count="408">
    <mergeCell ref="G300:G301"/>
    <mergeCell ref="G303:G304"/>
    <mergeCell ref="G306:G307"/>
    <mergeCell ref="G309:G310"/>
    <mergeCell ref="G312:G313"/>
    <mergeCell ref="G258:G259"/>
    <mergeCell ref="G261:G262"/>
    <mergeCell ref="G264:G265"/>
    <mergeCell ref="G267:G268"/>
    <mergeCell ref="G270:G271"/>
    <mergeCell ref="G273:G274"/>
    <mergeCell ref="G276:G277"/>
    <mergeCell ref="G279:G280"/>
    <mergeCell ref="G282:G283"/>
    <mergeCell ref="G87:G88"/>
    <mergeCell ref="G90:G91"/>
    <mergeCell ref="G93:G94"/>
    <mergeCell ref="G96:G97"/>
    <mergeCell ref="G99:G100"/>
    <mergeCell ref="G102:G103"/>
    <mergeCell ref="G105:G106"/>
    <mergeCell ref="G108:G109"/>
    <mergeCell ref="G111:G112"/>
    <mergeCell ref="G57:G58"/>
    <mergeCell ref="G60:G61"/>
    <mergeCell ref="G63:G64"/>
    <mergeCell ref="G66:G67"/>
    <mergeCell ref="G69:G70"/>
    <mergeCell ref="G72:G73"/>
    <mergeCell ref="G75:G76"/>
    <mergeCell ref="G78:G79"/>
    <mergeCell ref="G84:G85"/>
    <mergeCell ref="D312:D314"/>
    <mergeCell ref="E312:E314"/>
    <mergeCell ref="F312:F314"/>
    <mergeCell ref="M258:M261"/>
    <mergeCell ref="D306:D308"/>
    <mergeCell ref="E306:E308"/>
    <mergeCell ref="F306:F308"/>
    <mergeCell ref="D309:D311"/>
    <mergeCell ref="E309:E311"/>
    <mergeCell ref="F309:F311"/>
    <mergeCell ref="D300:D302"/>
    <mergeCell ref="E300:E302"/>
    <mergeCell ref="F300:F302"/>
    <mergeCell ref="D303:D305"/>
    <mergeCell ref="E303:E305"/>
    <mergeCell ref="F303:F305"/>
    <mergeCell ref="D294:D296"/>
    <mergeCell ref="E294:E296"/>
    <mergeCell ref="F294:F296"/>
    <mergeCell ref="D297:D299"/>
    <mergeCell ref="E297:E299"/>
    <mergeCell ref="F297:F299"/>
    <mergeCell ref="D288:D290"/>
    <mergeCell ref="E288:E290"/>
    <mergeCell ref="F288:F290"/>
    <mergeCell ref="D291:D293"/>
    <mergeCell ref="E291:E293"/>
    <mergeCell ref="F291:F293"/>
    <mergeCell ref="G288:G289"/>
    <mergeCell ref="G291:G292"/>
    <mergeCell ref="G294:G295"/>
    <mergeCell ref="G297:G298"/>
    <mergeCell ref="F267:F269"/>
    <mergeCell ref="D282:D284"/>
    <mergeCell ref="E282:E284"/>
    <mergeCell ref="F282:F284"/>
    <mergeCell ref="D285:D287"/>
    <mergeCell ref="E285:E287"/>
    <mergeCell ref="F285:F287"/>
    <mergeCell ref="D276:D278"/>
    <mergeCell ref="E276:E278"/>
    <mergeCell ref="F276:F278"/>
    <mergeCell ref="D279:D281"/>
    <mergeCell ref="E279:E281"/>
    <mergeCell ref="F279:F281"/>
    <mergeCell ref="G285:G286"/>
    <mergeCell ref="G245:G246"/>
    <mergeCell ref="G248:G249"/>
    <mergeCell ref="G251:G252"/>
    <mergeCell ref="G254:G255"/>
    <mergeCell ref="D239:D241"/>
    <mergeCell ref="E239:E241"/>
    <mergeCell ref="F239:F241"/>
    <mergeCell ref="D242:D244"/>
    <mergeCell ref="E242:E244"/>
    <mergeCell ref="F242:F244"/>
    <mergeCell ref="G242:G243"/>
    <mergeCell ref="D251:D253"/>
    <mergeCell ref="E251:E253"/>
    <mergeCell ref="F251:F253"/>
    <mergeCell ref="D254:D256"/>
    <mergeCell ref="E254:E256"/>
    <mergeCell ref="F254:F256"/>
    <mergeCell ref="D245:D247"/>
    <mergeCell ref="E245:E247"/>
    <mergeCell ref="F245:F247"/>
    <mergeCell ref="D248:D250"/>
    <mergeCell ref="E248:E250"/>
    <mergeCell ref="F248:F250"/>
    <mergeCell ref="D233:D235"/>
    <mergeCell ref="E233:E235"/>
    <mergeCell ref="F233:F235"/>
    <mergeCell ref="D236:D238"/>
    <mergeCell ref="E236:E238"/>
    <mergeCell ref="F236:F238"/>
    <mergeCell ref="G233:G234"/>
    <mergeCell ref="G236:G237"/>
    <mergeCell ref="G239:G240"/>
    <mergeCell ref="G221:G222"/>
    <mergeCell ref="G224:G225"/>
    <mergeCell ref="G227:G228"/>
    <mergeCell ref="G230:G231"/>
    <mergeCell ref="D215:D217"/>
    <mergeCell ref="E215:E217"/>
    <mergeCell ref="F215:F217"/>
    <mergeCell ref="D218:D220"/>
    <mergeCell ref="E218:E220"/>
    <mergeCell ref="F218:F220"/>
    <mergeCell ref="G218:G219"/>
    <mergeCell ref="D227:D229"/>
    <mergeCell ref="E227:E229"/>
    <mergeCell ref="F227:F229"/>
    <mergeCell ref="D230:D232"/>
    <mergeCell ref="E230:E232"/>
    <mergeCell ref="F230:F232"/>
    <mergeCell ref="D221:D223"/>
    <mergeCell ref="E221:E223"/>
    <mergeCell ref="F221:F223"/>
    <mergeCell ref="D224:D226"/>
    <mergeCell ref="E224:E226"/>
    <mergeCell ref="F224:F226"/>
    <mergeCell ref="D209:D211"/>
    <mergeCell ref="E209:E211"/>
    <mergeCell ref="F209:F211"/>
    <mergeCell ref="D212:D214"/>
    <mergeCell ref="E212:E214"/>
    <mergeCell ref="F212:F214"/>
    <mergeCell ref="G209:G210"/>
    <mergeCell ref="G212:G213"/>
    <mergeCell ref="G215:G216"/>
    <mergeCell ref="G190:G191"/>
    <mergeCell ref="G196:G197"/>
    <mergeCell ref="G200:G201"/>
    <mergeCell ref="G203:G204"/>
    <mergeCell ref="G206:G207"/>
    <mergeCell ref="D190:D192"/>
    <mergeCell ref="E190:E192"/>
    <mergeCell ref="F190:F192"/>
    <mergeCell ref="D193:D195"/>
    <mergeCell ref="E193:E195"/>
    <mergeCell ref="F193:F195"/>
    <mergeCell ref="G193:G194"/>
    <mergeCell ref="D203:D205"/>
    <mergeCell ref="E203:E205"/>
    <mergeCell ref="F203:F205"/>
    <mergeCell ref="D206:D208"/>
    <mergeCell ref="E206:E208"/>
    <mergeCell ref="F206:F208"/>
    <mergeCell ref="D196:D198"/>
    <mergeCell ref="E196:E198"/>
    <mergeCell ref="F196:F198"/>
    <mergeCell ref="D200:D202"/>
    <mergeCell ref="E200:E202"/>
    <mergeCell ref="F200:F202"/>
    <mergeCell ref="E175:E177"/>
    <mergeCell ref="F175:F177"/>
    <mergeCell ref="D184:D186"/>
    <mergeCell ref="E184:E186"/>
    <mergeCell ref="F184:F186"/>
    <mergeCell ref="D187:D189"/>
    <mergeCell ref="E187:E189"/>
    <mergeCell ref="F187:F189"/>
    <mergeCell ref="G184:G185"/>
    <mergeCell ref="G187:G188"/>
    <mergeCell ref="G160:G161"/>
    <mergeCell ref="G163:G164"/>
    <mergeCell ref="G166:G167"/>
    <mergeCell ref="G172:G173"/>
    <mergeCell ref="G175:G176"/>
    <mergeCell ref="G178:G179"/>
    <mergeCell ref="G181:G182"/>
    <mergeCell ref="D166:D168"/>
    <mergeCell ref="E166:E168"/>
    <mergeCell ref="F166:F168"/>
    <mergeCell ref="D169:D171"/>
    <mergeCell ref="E169:E171"/>
    <mergeCell ref="F169:F171"/>
    <mergeCell ref="G169:G170"/>
    <mergeCell ref="D178:D180"/>
    <mergeCell ref="E178:E180"/>
    <mergeCell ref="F178:F180"/>
    <mergeCell ref="D181:D183"/>
    <mergeCell ref="E181:E183"/>
    <mergeCell ref="F181:F183"/>
    <mergeCell ref="D172:D174"/>
    <mergeCell ref="E172:E174"/>
    <mergeCell ref="F172:F174"/>
    <mergeCell ref="D175:D177"/>
    <mergeCell ref="E148:E150"/>
    <mergeCell ref="F148:F150"/>
    <mergeCell ref="D151:D153"/>
    <mergeCell ref="E151:E153"/>
    <mergeCell ref="F151:F153"/>
    <mergeCell ref="D160:D162"/>
    <mergeCell ref="E160:E162"/>
    <mergeCell ref="F160:F162"/>
    <mergeCell ref="D163:D165"/>
    <mergeCell ref="E163:E165"/>
    <mergeCell ref="F163:F165"/>
    <mergeCell ref="G157:G158"/>
    <mergeCell ref="D145:D147"/>
    <mergeCell ref="E145:E147"/>
    <mergeCell ref="F145:F147"/>
    <mergeCell ref="D135:D137"/>
    <mergeCell ref="E135:E137"/>
    <mergeCell ref="F135:F137"/>
    <mergeCell ref="D138:D140"/>
    <mergeCell ref="E138:E140"/>
    <mergeCell ref="F138:F140"/>
    <mergeCell ref="D142:D144"/>
    <mergeCell ref="E142:E144"/>
    <mergeCell ref="F142:F144"/>
    <mergeCell ref="G135:G136"/>
    <mergeCell ref="G138:G139"/>
    <mergeCell ref="G142:G143"/>
    <mergeCell ref="G145:G146"/>
    <mergeCell ref="D154:D156"/>
    <mergeCell ref="E154:E156"/>
    <mergeCell ref="F154:F156"/>
    <mergeCell ref="D157:D159"/>
    <mergeCell ref="E157:E159"/>
    <mergeCell ref="F157:F159"/>
    <mergeCell ref="D148:D150"/>
    <mergeCell ref="D129:D131"/>
    <mergeCell ref="E129:E131"/>
    <mergeCell ref="F129:F131"/>
    <mergeCell ref="D132:D134"/>
    <mergeCell ref="E132:E134"/>
    <mergeCell ref="F132:F134"/>
    <mergeCell ref="D123:D125"/>
    <mergeCell ref="E123:E125"/>
    <mergeCell ref="F123:F125"/>
    <mergeCell ref="D126:D128"/>
    <mergeCell ref="E126:E128"/>
    <mergeCell ref="F126:F128"/>
    <mergeCell ref="D111:D113"/>
    <mergeCell ref="E111:E113"/>
    <mergeCell ref="F111:F113"/>
    <mergeCell ref="D114:D116"/>
    <mergeCell ref="E114:E116"/>
    <mergeCell ref="F114:F116"/>
    <mergeCell ref="G114:G115"/>
    <mergeCell ref="G117:G118"/>
    <mergeCell ref="G120:G121"/>
    <mergeCell ref="D117:D119"/>
    <mergeCell ref="E117:E119"/>
    <mergeCell ref="F117:F119"/>
    <mergeCell ref="D120:D122"/>
    <mergeCell ref="E120:E122"/>
    <mergeCell ref="F120:F122"/>
    <mergeCell ref="D105:D107"/>
    <mergeCell ref="E105:E107"/>
    <mergeCell ref="F105:F107"/>
    <mergeCell ref="D108:D110"/>
    <mergeCell ref="E108:E110"/>
    <mergeCell ref="F108:F110"/>
    <mergeCell ref="D99:D101"/>
    <mergeCell ref="E99:E101"/>
    <mergeCell ref="F99:F101"/>
    <mergeCell ref="D102:D104"/>
    <mergeCell ref="E102:E104"/>
    <mergeCell ref="F102:F104"/>
    <mergeCell ref="D69:D71"/>
    <mergeCell ref="E69:E71"/>
    <mergeCell ref="F69:F71"/>
    <mergeCell ref="F93:F95"/>
    <mergeCell ref="D96:D98"/>
    <mergeCell ref="E96:E98"/>
    <mergeCell ref="F96:F98"/>
    <mergeCell ref="D78:D80"/>
    <mergeCell ref="E78:E80"/>
    <mergeCell ref="F78:F80"/>
    <mergeCell ref="D84:D86"/>
    <mergeCell ref="E84:E86"/>
    <mergeCell ref="F84:F86"/>
    <mergeCell ref="D93:D95"/>
    <mergeCell ref="E93:E95"/>
    <mergeCell ref="F81:L81"/>
    <mergeCell ref="H82:I82"/>
    <mergeCell ref="F83:L83"/>
    <mergeCell ref="D72:D74"/>
    <mergeCell ref="E72:E74"/>
    <mergeCell ref="D75:D77"/>
    <mergeCell ref="E75:E77"/>
    <mergeCell ref="D90:D92"/>
    <mergeCell ref="E90:E92"/>
    <mergeCell ref="D45:D47"/>
    <mergeCell ref="E45:E47"/>
    <mergeCell ref="F45:F47"/>
    <mergeCell ref="D60:D62"/>
    <mergeCell ref="E60:E62"/>
    <mergeCell ref="F60:F62"/>
    <mergeCell ref="D63:D65"/>
    <mergeCell ref="E63:E65"/>
    <mergeCell ref="F63:F65"/>
    <mergeCell ref="D54:D56"/>
    <mergeCell ref="E54:E56"/>
    <mergeCell ref="F54:F56"/>
    <mergeCell ref="D57:D59"/>
    <mergeCell ref="E57:E59"/>
    <mergeCell ref="F57:F59"/>
    <mergeCell ref="D48:D50"/>
    <mergeCell ref="E48:E50"/>
    <mergeCell ref="D51:D53"/>
    <mergeCell ref="E51:E53"/>
    <mergeCell ref="G45:G46"/>
    <mergeCell ref="G48:G49"/>
    <mergeCell ref="G51:G52"/>
    <mergeCell ref="G54:G55"/>
    <mergeCell ref="M200:M203"/>
    <mergeCell ref="M84:M87"/>
    <mergeCell ref="F141:L141"/>
    <mergeCell ref="M142:M145"/>
    <mergeCell ref="F199:L199"/>
    <mergeCell ref="F48:F50"/>
    <mergeCell ref="F51:F53"/>
    <mergeCell ref="F72:F74"/>
    <mergeCell ref="F75:F77"/>
    <mergeCell ref="F87:F89"/>
    <mergeCell ref="F90:F92"/>
    <mergeCell ref="M24:M80"/>
    <mergeCell ref="G42:G43"/>
    <mergeCell ref="G123:G124"/>
    <mergeCell ref="G126:G127"/>
    <mergeCell ref="G129:G130"/>
    <mergeCell ref="G132:G133"/>
    <mergeCell ref="G148:G149"/>
    <mergeCell ref="G151:G152"/>
    <mergeCell ref="G154:G155"/>
    <mergeCell ref="D66:D68"/>
    <mergeCell ref="E66:E68"/>
    <mergeCell ref="F66:F68"/>
    <mergeCell ref="F316:M316"/>
    <mergeCell ref="F257:L257"/>
    <mergeCell ref="D258:D260"/>
    <mergeCell ref="E258:E260"/>
    <mergeCell ref="F258:F260"/>
    <mergeCell ref="D261:D263"/>
    <mergeCell ref="E261:E263"/>
    <mergeCell ref="F261:F263"/>
    <mergeCell ref="D264:D266"/>
    <mergeCell ref="D270:D272"/>
    <mergeCell ref="E270:E272"/>
    <mergeCell ref="F270:F272"/>
    <mergeCell ref="D273:D275"/>
    <mergeCell ref="E273:E275"/>
    <mergeCell ref="F273:F275"/>
    <mergeCell ref="E264:E266"/>
    <mergeCell ref="F264:F266"/>
    <mergeCell ref="D267:D269"/>
    <mergeCell ref="E267:E269"/>
    <mergeCell ref="D87:D89"/>
    <mergeCell ref="E87:E89"/>
    <mergeCell ref="D42:D44"/>
    <mergeCell ref="E42:E44"/>
    <mergeCell ref="F42:F44"/>
    <mergeCell ref="D27:D29"/>
    <mergeCell ref="E27:E29"/>
    <mergeCell ref="F27:F29"/>
    <mergeCell ref="D30:D32"/>
    <mergeCell ref="E30:E32"/>
    <mergeCell ref="F30:F32"/>
    <mergeCell ref="D33:D35"/>
    <mergeCell ref="E33:E35"/>
    <mergeCell ref="F33:F35"/>
    <mergeCell ref="G27:G28"/>
    <mergeCell ref="G30:G31"/>
    <mergeCell ref="G33:G34"/>
    <mergeCell ref="G36:G37"/>
    <mergeCell ref="G39:G40"/>
    <mergeCell ref="D36:D38"/>
    <mergeCell ref="E36:E38"/>
    <mergeCell ref="F36:F38"/>
    <mergeCell ref="D39:D41"/>
    <mergeCell ref="E39:E41"/>
    <mergeCell ref="F39:F41"/>
    <mergeCell ref="G2:G3"/>
    <mergeCell ref="G5:G6"/>
    <mergeCell ref="E14:L14"/>
    <mergeCell ref="G16:L16"/>
    <mergeCell ref="G17:L17"/>
    <mergeCell ref="E19:L19"/>
    <mergeCell ref="D24:D26"/>
    <mergeCell ref="M19:M21"/>
    <mergeCell ref="E20:E21"/>
    <mergeCell ref="F20:F21"/>
    <mergeCell ref="G20:G21"/>
    <mergeCell ref="H20:J20"/>
    <mergeCell ref="K20:K21"/>
    <mergeCell ref="L20:L21"/>
    <mergeCell ref="H21:I21"/>
    <mergeCell ref="H22:I22"/>
    <mergeCell ref="F23:L23"/>
    <mergeCell ref="G24:G25"/>
    <mergeCell ref="F24:F26"/>
    <mergeCell ref="E24:E26"/>
  </mergeCells>
  <dataValidations count="4">
    <dataValidation type="decimal" allowBlank="1" showErrorMessage="1" errorTitle="Ошибка" error="Допускается ввод только действительных чисел!" sqref="K200 K203 K206 K209 K212 K215 K218 K221 K224 K227 K230 K233 K236 K239 K242 K245 K248 K251 K10 K84 K135 K132 K129 K126 K123 K120 K117 K114 K111 K108 K105 K102 K99 K96 K93 K90 K87 K142 K138 K145 K148 K151 K154 K157 K160 K163 K166 K169 K172 K175 K178 K184 K187 K190 K193 K196 K181 K254 K258 K261 K264 K267 K270 K273 K276 K279 K282 K285 K288 K291 K294 K297 K300 K303 K306 K309 K312 K5">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sqref="M142:M143 M200:M201 M23 M84:M85 M258:M259">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L82">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0:J10 I39:J39 I24:J24 I27:J27 I30:J30 I33:J33 I36:J36 I42:J42 I45:J45 I48:J48 I51:J51 I54:J54 I57:J57 I60:J60 I63:J63 I66:J66 I69:J69 I72:J72 I75:J75 I200:J200 I203:J203 I206:J206 I209:J209 I212:J212 I215:J215 I218:J218 I221:J221 I224:J224 I227:J227 I230:J230 I233:J233 I236:J236 I239:J239 I242:J242 I245:J245 I248:J248 I8:J8 I78:J78 I138:J138 I87:J87 I90:J90 I93:J93 I96:J96 I99:J99 I102:J102 I105:J105 I108:J108 I111:J111 I114:J114 I117:J117 I120:J120 I123:J123 I126:J126 I129:J129 I132:J132 I135:J135 I142:J142 I84:J84 I145:J145 I148:J148 I151:J151 I154:J154 I157:J157 I160:J160 I163:J163 I166:J166 I169:J169 I172:J172 I175:J175 I178:J178 I184:J184 I187:J187 I190:J190 I193:J193 I196:J196 I181:J181 I251:J251 I254:J254 I258:J258 I261:J261 I264:J264 I267:J267 I270:J270 I273:J273 I276:J276 I279:J279 I282:J282 I285:J285 I288:J288 I291:J291 I294:J294 I297:J297 I300:J300 I303:J303 I306:J306 I309:J309 I312:J312 I2:J2 I5:J5"/>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3A4D8D6-1989-6307-42F3-45148406D71E}" mc:Ignorable="x14ac xr xr2 xr3">
  <sheetPr>
    <tabColor theme="6" tint="0.4"/>
  </sheetPr>
  <dimension ref="A1:Q16"/>
  <sheetViews>
    <sheetView topLeftCell="A1" showGridLines="0" zoomScale="90" workbookViewId="0">
      <selection activeCell="A1" sqref="A1"/>
    </sheetView>
  </sheetViews>
  <sheetFormatPr defaultColWidth="10.57421875" customHeight="1" defaultRowHeight="14.25"/>
  <cols>
    <col min="1" max="1" style="9862" width="9.140625" hidden="1" customWidth="1"/>
    <col min="2" max="2" style="9785" width="9.140625" hidden="1" customWidth="1"/>
    <col min="3" max="3" style="8805" width="3.7109375" customWidth="1"/>
    <col min="4" max="4" style="9847" width="6.28125" customWidth="1"/>
    <col min="5" max="5" style="9847" width="53.8515625" customWidth="1"/>
    <col min="6" max="7" style="9847" width="35.7109375" customWidth="1"/>
    <col min="8" max="8" style="9847" width="89.57421875" customWidth="1"/>
    <col min="9" max="9" style="9847" width="10.57421875"/>
    <col min="10" max="11" style="9848" width="10.57421875"/>
    <col min="12" max="17" style="9847" width="10.57421875"/>
  </cols>
  <sheetData>
    <row customHeight="1" ht="14.25" hidden="1">
      <c r="N1" s="409"/>
      <c r="O1" s="409"/>
      <c r="Q1" s="409"/>
    </row>
    <row s="8849" customFormat="1" customHeight="1" ht="18.75" hidden="1">
      <c r="A2" s="257"/>
      <c r="B2" s="1316"/>
      <c r="C2" s="1889" t="s">
        <v>542</v>
      </c>
      <c r="D2" s="1832"/>
      <c r="E2" s="1841"/>
      <c r="F2" s="411"/>
      <c r="G2" s="1317"/>
      <c r="H2" s="528"/>
      <c r="I2" s="1783"/>
      <c r="J2" s="1783"/>
    </row>
    <row customHeight="1" ht="14.25" hidden="1"/>
    <row customHeight="1" ht="6">
      <c r="C4" s="530"/>
      <c r="D4" s="517"/>
      <c r="E4" s="517"/>
      <c r="F4" s="517"/>
      <c r="G4" s="239"/>
      <c r="H4" s="239"/>
    </row>
    <row customHeight="1" ht="33">
      <c r="C5" s="530"/>
      <c r="D5" s="2512" t="str">
        <f>PURCH_NAME_FORM</f>
        <v>Форма 11. Информация о способах приобретения, стоимости и об объемах товаров (работ, услуг), необходимых организации горячего водоснабжения для производства товаров (оказания услуг) в сфере горячего водоснабжения, тарифы на которые подлежат регулированию</v>
      </c>
      <c r="E5" s="2513"/>
      <c r="F5" s="2513"/>
      <c r="G5" s="2514"/>
      <c r="H5" s="420"/>
    </row>
    <row s="8849" customFormat="1" customHeight="1" ht="17.25">
      <c r="A6" s="1828"/>
      <c r="B6" s="1316"/>
      <c r="C6" s="530"/>
      <c r="D6" s="2515" t="str">
        <f>IF(org=0,"Не определено",org)</f>
        <v>АО "Теплокоммунэнерго"</v>
      </c>
      <c r="E6" s="2516"/>
      <c r="F6" s="2516"/>
      <c r="G6" s="2517"/>
      <c r="H6" s="420"/>
      <c r="J6" s="1783"/>
      <c r="K6" s="1783"/>
    </row>
    <row customHeight="1" ht="14.25">
      <c r="C7" s="530"/>
      <c r="D7" s="517"/>
      <c r="E7" s="543"/>
      <c r="F7" s="543"/>
      <c r="G7" s="906"/>
      <c r="H7" s="347"/>
    </row>
    <row customHeight="1" ht="14.25">
      <c r="C8" s="530"/>
      <c r="D8" s="2275" t="s">
        <v>300</v>
      </c>
      <c r="E8" s="2275"/>
      <c r="F8" s="2275"/>
      <c r="G8" s="2275"/>
      <c r="H8" s="2518" t="s">
        <v>301</v>
      </c>
    </row>
    <row customHeight="1" ht="14.25">
      <c r="C9" s="530"/>
      <c r="D9" s="540" t="s">
        <v>85</v>
      </c>
      <c r="E9" s="263" t="s">
        <v>302</v>
      </c>
      <c r="F9" s="263" t="s">
        <v>303</v>
      </c>
      <c r="G9" s="263" t="s">
        <v>390</v>
      </c>
      <c r="H9" s="2518"/>
    </row>
    <row customHeight="1" ht="14.25">
      <c r="A10" s="497"/>
      <c r="C10" s="530"/>
      <c r="D10" s="302" t="s">
        <v>106</v>
      </c>
      <c r="E10" s="2046" t="str">
        <f>"Сведения о правовых актах, регламентирующих правила закупки (положение о закупках) в "&amp;IF(TEMPLATE_SPHERE="TKO","организации",IF(TEMPLATE_SPHERE="HEAT","регулируемой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теплоснабжения","организации "&amp;TEMPLATE_SPHERE_RUS))</f>
        <v>Сведения о правовых актах, регламентирующих правила закупки (положение о закупках) в организации горячего водоснабжения</v>
      </c>
      <c r="F10" s="411"/>
      <c r="G10" s="367"/>
      <c r="H10" s="2229" t="s">
        <v>1072</v>
      </c>
    </row>
    <row customHeight="1" ht="14.25">
      <c r="A11" s="497"/>
      <c r="C11" s="530"/>
      <c r="D11" s="302" t="s">
        <v>107</v>
      </c>
      <c r="E11" s="2046" t="str">
        <f>"Сведения о месте размещения "&amp;IF(TEMPLATE_SPHERE="TKO","положения о закупках в организации",IF(TEMPLATE_SPHERE="HEAT","положения о закупке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теплоснабжения","правовых актов, регламентирующих правила закупки (положение о закупках) в организации "&amp;TEMPLATE_SPHERE_RUS))</f>
        <v>Сведения о месте размещения правовых актов, регламентирующих правила закупки (положение о закупках) в организации горячего водоснабжения</v>
      </c>
      <c r="F11" s="411"/>
      <c r="G11" s="367"/>
      <c r="H11" s="2230"/>
    </row>
    <row customHeight="1" ht="14.25">
      <c r="A12" s="257"/>
      <c r="C12" s="541"/>
      <c r="D12" s="302" t="s">
        <v>87</v>
      </c>
      <c r="E12" s="542" t="str">
        <f>"Сведения о планировании закупочных процедур"&amp;IF(TEMPLATE_SPHERE="TKO"," &lt;1&gt;","")</f>
        <v>Сведения о планировании закупочных процедур</v>
      </c>
      <c r="F12" s="411"/>
      <c r="G12" s="367"/>
      <c r="H12" s="2230" t="str">
        <f>"В случае наличия дополнительных сведений о способах приобретения, стоимости и объемах товаров, необходимых для производства "&amp;IF(OR(TEMPLATE_SPHERE="HEAT",TEMPLATE_SPHERE="TKO"),"","регулируемых ")&amp;"товаров и (или) оказания "&amp;IF(OR(TEMPLATE_SPHERE="HEAT",TEMPLATE_SPHERE="TKO"),"услуг организацией","регулируемых услуг регулируемой организацией")&amp;", информация по ним указывается в отдельных строках."</f>
        <v>В случае наличия дополнительных сведений о способах приобретения, стоимости и объемах товаров, необходимых для производства регулируемых товаров и (или) оказания регулируемых услуг регулируемой организацией, информация по ним указывается в отдельных строках.</v>
      </c>
      <c r="I12" s="504"/>
      <c r="K12" s="528"/>
    </row>
    <row customHeight="1" ht="14.25">
      <c r="A13" s="257"/>
      <c r="C13" s="541"/>
      <c r="D13" s="302" t="s">
        <v>88</v>
      </c>
      <c r="E13" s="542" t="str">
        <f>"Сведения о результатах проведения закупочных процедур"&amp;IF(TEMPLATE_SPHERE="TKO"," &lt;1&gt;","")</f>
        <v>Сведения о результатах проведения закупочных процедур</v>
      </c>
      <c r="F13" s="411"/>
      <c r="G13" s="367"/>
      <c r="H13" s="2230"/>
      <c r="I13" s="504"/>
      <c r="K13" s="528"/>
    </row>
    <row customHeight="1" ht="14.25">
      <c r="A14" s="497"/>
      <c r="C14" s="530"/>
      <c r="D14" s="501"/>
      <c r="E14" s="549" t="s">
        <v>322</v>
      </c>
      <c r="F14" s="503"/>
      <c r="G14" s="355"/>
      <c r="H14" s="2231"/>
    </row>
    <row s="8849" customFormat="1" customHeight="1" ht="14.25">
      <c r="A15" s="497"/>
      <c r="B15" s="1316"/>
      <c r="C15" s="530"/>
      <c r="D15" s="550"/>
      <c r="E15" s="1836"/>
      <c r="F15" s="1837"/>
      <c r="G15" s="1838"/>
      <c r="H15" s="1839"/>
      <c r="J15" s="1783"/>
      <c r="K15" s="1783"/>
    </row>
    <row customHeight="1" ht="14.25">
      <c r="D16" s="1840"/>
      <c r="E16" s="2449"/>
      <c r="F16" s="2449"/>
      <c r="G16" s="2449"/>
      <c r="H16" s="2449"/>
    </row>
  </sheetData>
  <sheetProtection formatColumns="0" formatRows="0" autoFilter="0" sort="0" insertRows="0" insertColumns="1" deleteRows="0" deleteColumns="0"/>
  <mergeCells count="7">
    <mergeCell ref="E16:H16"/>
    <mergeCell ref="H10:H11"/>
    <mergeCell ref="H12:H14"/>
    <mergeCell ref="D5:G5"/>
    <mergeCell ref="D8:G8"/>
    <mergeCell ref="H8:H9"/>
    <mergeCell ref="D6:G6"/>
  </mergeCells>
  <dataValidations count="2">
    <dataValidation type="textLength" operator="lessThanOrEqual" allowBlank="1" showInputMessage="1" showErrorMessage="1" errorTitle="Ошибка" error="Допускается ввод не более 900 символов!" sqref="H10 E13 E2:F2 F10:F13">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либо ссылку на официальный сайт в сети «Интернет», на котором размещена информация" sqref="G2 G10:G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C07697E-42B8-DCD4-3AC8-CFC69EF8213B}" mc:Ignorable="x14ac xr xr2 xr3">
  <sheetPr>
    <tabColor theme="2" tint="-0.1"/>
  </sheetPr>
  <dimension ref="A1:U29"/>
  <sheetViews>
    <sheetView topLeftCell="A1" showGridLines="0" zoomScale="90" workbookViewId="0">
      <selection activeCell="A1" sqref="A1"/>
    </sheetView>
  </sheetViews>
  <sheetFormatPr defaultColWidth="10.57421875" customHeight="1" defaultRowHeight="15"/>
  <cols>
    <col min="1" max="1" style="8573" width="9.140625" hidden="1" customWidth="1"/>
    <col min="2" max="2" style="8576" width="9.140625" hidden="1" customWidth="1"/>
    <col min="3" max="3" style="9534" width="4.7109375" customWidth="1"/>
    <col min="4" max="4" style="8576" width="6.28125" customWidth="1"/>
    <col min="5" max="5" style="8576" width="47.8515625" customWidth="1"/>
    <col min="6" max="6" style="8576" width="9.57421875" customWidth="1"/>
    <col min="7" max="7" style="8080" width="25.7109375" hidden="1" customWidth="1"/>
    <col min="8" max="8" style="8080" width="34.00390625" hidden="1" customWidth="1"/>
    <col min="9" max="9" style="8576" width="25.7109375" customWidth="1"/>
    <col min="10" max="10" style="8576" width="34.00390625" customWidth="1"/>
    <col min="11" max="11" style="8081" width="50.8515625" customWidth="1"/>
    <col min="12" max="20" style="8576" width="10.57421875"/>
    <col min="21" max="21" style="9535" width="10.57421875"/>
  </cols>
  <sheetData>
    <row s="8081" customFormat="1" customHeight="1" ht="15" hidden="1">
      <c r="C1" s="826"/>
      <c r="G1" s="571">
        <v>4</v>
      </c>
      <c r="I1" s="571">
        <v>4</v>
      </c>
      <c r="U1" s="574"/>
    </row>
    <row s="9347" customFormat="1" customHeight="1" ht="15" hidden="1">
      <c r="A2" s="516"/>
      <c r="C2" s="331"/>
      <c r="D2" s="500"/>
      <c r="E2" s="827"/>
      <c r="F2" s="676"/>
      <c r="G2" s="770"/>
      <c r="H2" s="770"/>
      <c r="I2" s="770"/>
      <c r="J2" s="770"/>
      <c r="U2" s="828"/>
    </row>
    <row s="8081" customFormat="1" customHeight="1" ht="15" hidden="1">
      <c r="C3" s="826"/>
      <c r="U3" s="574"/>
    </row>
    <row customHeight="1" ht="15">
      <c r="C4" s="331"/>
      <c r="D4" s="663"/>
      <c r="E4" s="663"/>
      <c r="F4" s="663"/>
      <c r="G4" s="663"/>
      <c r="H4" s="663"/>
      <c r="I4" s="663"/>
      <c r="J4" s="663"/>
    </row>
    <row customHeight="1" ht="63">
      <c r="C5" s="331"/>
      <c r="D5" s="2298" t="s">
        <v>1073</v>
      </c>
      <c r="E5" s="2298"/>
      <c r="F5" s="2298"/>
      <c r="G5" s="2298"/>
      <c r="H5" s="2298"/>
      <c r="I5" s="2298"/>
      <c r="J5" s="2298"/>
    </row>
    <row customHeight="1" ht="15">
      <c r="C6" s="331"/>
      <c r="D6" s="2267" t="str">
        <f>IF(org=0,"Не определено",org)</f>
        <v>АО "Теплокоммунэнерго"</v>
      </c>
      <c r="E6" s="2267"/>
      <c r="F6" s="2267"/>
      <c r="G6" s="2267"/>
      <c r="H6" s="2267"/>
      <c r="I6" s="2267"/>
      <c r="J6" s="2267"/>
      <c r="K6" s="691"/>
    </row>
    <row customHeight="1" ht="15">
      <c r="C7" s="331"/>
      <c r="D7" s="906"/>
      <c r="E7" s="663"/>
      <c r="F7" s="663"/>
      <c r="G7" s="691">
        <v>22</v>
      </c>
      <c r="I7" s="691">
        <v>1</v>
      </c>
      <c r="J7" s="906"/>
    </row>
    <row s="8080" customFormat="1" customHeight="1" ht="0.75">
      <c r="A8" s="913"/>
      <c r="C8" s="331"/>
      <c r="D8" s="663"/>
      <c r="E8" s="663"/>
      <c r="F8" s="663"/>
      <c r="G8" s="691"/>
      <c r="H8" s="906"/>
      <c r="I8" s="691" t="s">
        <v>114</v>
      </c>
      <c r="J8" s="906"/>
      <c r="K8" s="571"/>
      <c r="U8" s="829"/>
    </row>
    <row customHeight="1" ht="15">
      <c r="C9" s="331"/>
      <c r="D9" s="865"/>
      <c r="E9" s="2429" t="s">
        <v>102</v>
      </c>
      <c r="F9" s="2430"/>
      <c r="G9" s="2452" t="str">
        <f>IF(G8="","",INDEX(DIFFERENTIATION_UNMERGE_VD,MATCH(G8,DIFFERENTIATION_ID_DIFF,0)))</f>
        <v/>
      </c>
      <c r="H9" s="2453"/>
      <c r="I9" s="2452">
        <f>IF(I8="","",INDEX(DIFFERENTIATION_UNMERGE_VD,MATCH(I8,DIFFERENTIATION_ID_DIFF,0)))</f>
        <v>0</v>
      </c>
      <c r="J9" s="2453"/>
      <c r="K9" s="2242" t="s">
        <v>301</v>
      </c>
    </row>
    <row s="8080" customFormat="1" customHeight="1" ht="15">
      <c r="A10" s="913"/>
      <c r="C10" s="331"/>
      <c r="D10" s="865"/>
      <c r="E10" s="2429" t="s">
        <v>565</v>
      </c>
      <c r="F10" s="2430"/>
      <c r="G10" s="2452" t="str">
        <f>IF(G8="","",INDEX(DIFFERENTIATION_UNMERGE_AREA,MATCH(G8,DIFFERENTIATION_ID_DIFF,0)))</f>
        <v/>
      </c>
      <c r="H10" s="2453"/>
      <c r="I10" s="2452" t="str">
        <f>IF(I8="","",INDEX(DIFFERENTIATION_UNMERGE_AREA,MATCH(I8,DIFFERENTIATION_ID_DIFF,0)))</f>
        <v/>
      </c>
      <c r="J10" s="2453"/>
      <c r="K10" s="2250"/>
      <c r="U10" s="829"/>
    </row>
    <row s="8080" customFormat="1" customHeight="1" ht="15">
      <c r="A11" s="913"/>
      <c r="C11" s="331"/>
      <c r="D11" s="865"/>
      <c r="E11" s="2429" t="s">
        <v>566</v>
      </c>
      <c r="F11" s="2430"/>
      <c r="G11" s="2452" t="str">
        <f>IF(G8="","",INDEX(DIFFERENTIATION_UNMERGE_SYSTEM,MATCH(G8,DIFFERENTIATION_ID_DIFF,0)))</f>
        <v/>
      </c>
      <c r="H11" s="2453"/>
      <c r="I11" s="2452" t="str">
        <f>IF(I8="","",INDEX(DIFFERENTIATION_UNMERGE_SYSTEM,MATCH(I8,DIFFERENTIATION_ID_DIFF,0)))</f>
        <v>без дифференциации</v>
      </c>
      <c r="J11" s="2453"/>
      <c r="K11" s="2250"/>
      <c r="U11" s="829"/>
    </row>
    <row s="8080" customFormat="1" customHeight="1" ht="15">
      <c r="A12" s="913"/>
      <c r="C12" s="331"/>
      <c r="D12" s="2431" t="s">
        <v>300</v>
      </c>
      <c r="E12" s="2432"/>
      <c r="F12" s="2432"/>
      <c r="G12" s="1041"/>
      <c r="H12" s="1041"/>
      <c r="I12" s="1041"/>
      <c r="J12" s="1041"/>
      <c r="K12" s="2250"/>
      <c r="U12" s="829"/>
    </row>
    <row customHeight="1" ht="33.75">
      <c r="C13" s="331"/>
      <c r="D13" s="959" t="s">
        <v>85</v>
      </c>
      <c r="E13" s="961" t="s">
        <v>302</v>
      </c>
      <c r="F13" s="961" t="s">
        <v>567</v>
      </c>
      <c r="G13" s="962" t="s">
        <v>303</v>
      </c>
      <c r="H13" s="961" t="s">
        <v>390</v>
      </c>
      <c r="I13" s="962" t="s">
        <v>303</v>
      </c>
      <c r="J13" s="961" t="s">
        <v>390</v>
      </c>
      <c r="K13" s="2303"/>
    </row>
    <row customHeight="1" ht="15" hidden="1">
      <c r="C14" s="331"/>
      <c r="D14" s="747" t="s">
        <v>106</v>
      </c>
      <c r="E14" s="747" t="s">
        <v>107</v>
      </c>
      <c r="F14" s="747" t="s">
        <v>87</v>
      </c>
      <c r="G14" s="813" t="str">
        <f>G1&amp;".1"</f>
        <v>4.1</v>
      </c>
      <c r="H14" s="813"/>
      <c r="I14" s="813" t="str">
        <f>I1&amp;".1"</f>
        <v>4.1</v>
      </c>
      <c r="J14" s="813"/>
      <c r="K14" s="443"/>
    </row>
    <row customHeight="1" ht="22.5" hidden="1">
      <c r="A15" s="659"/>
      <c r="C15" s="680"/>
      <c r="D15" s="675">
        <v>1</v>
      </c>
      <c r="E15" s="831" t="s">
        <v>724</v>
      </c>
      <c r="F15" s="675" t="s">
        <v>725</v>
      </c>
      <c r="G15" s="832"/>
      <c r="H15" s="832"/>
      <c r="I15" s="832"/>
      <c r="J15" s="832"/>
      <c r="K15" s="443" t="s">
        <v>726</v>
      </c>
    </row>
    <row customHeight="1" ht="22.5" hidden="1">
      <c r="A16" s="659"/>
      <c r="C16" s="680"/>
      <c r="D16" s="675">
        <v>2</v>
      </c>
      <c r="E16" s="433" t="s">
        <v>727</v>
      </c>
      <c r="F16" s="675" t="s">
        <v>728</v>
      </c>
      <c r="G16" s="832"/>
      <c r="H16" s="832"/>
      <c r="I16" s="832"/>
      <c r="J16" s="832"/>
      <c r="K16" s="443" t="s">
        <v>729</v>
      </c>
    </row>
    <row customHeight="1" ht="123.75" hidden="1">
      <c r="A17" s="659"/>
      <c r="C17" s="680"/>
      <c r="D17" s="675">
        <v>3</v>
      </c>
      <c r="E17" s="433" t="s">
        <v>1074</v>
      </c>
      <c r="F17" s="675" t="s">
        <v>306</v>
      </c>
      <c r="G17" s="832"/>
      <c r="H17" s="832"/>
      <c r="I17" s="832"/>
      <c r="J17" s="832"/>
      <c r="K17" s="443" t="s">
        <v>1075</v>
      </c>
    </row>
    <row customHeight="1" ht="45">
      <c r="A18" s="659"/>
      <c r="C18" s="680"/>
      <c r="D18" s="675">
        <v>3</v>
      </c>
      <c r="E18" s="433" t="s">
        <v>730</v>
      </c>
      <c r="F18" s="675" t="s">
        <v>306</v>
      </c>
      <c r="G18" s="963" t="s">
        <v>306</v>
      </c>
      <c r="H18" s="964" t="s">
        <v>306</v>
      </c>
      <c r="I18" s="675" t="s">
        <v>306</v>
      </c>
      <c r="J18" s="732" t="s">
        <v>306</v>
      </c>
      <c r="K18" s="443" t="s">
        <v>1076</v>
      </c>
    </row>
    <row customHeight="1" ht="33.75">
      <c r="A19" s="659"/>
      <c r="C19" s="680"/>
      <c r="D19" s="693" t="s">
        <v>324</v>
      </c>
      <c r="E19" s="713" t="s">
        <v>732</v>
      </c>
      <c r="F19" s="675" t="s">
        <v>733</v>
      </c>
      <c r="G19" s="971"/>
      <c r="H19" s="261"/>
      <c r="I19" s="971"/>
      <c r="J19" s="972"/>
      <c r="K19" s="833"/>
    </row>
    <row customHeight="1" ht="33.75">
      <c r="A20" s="659"/>
      <c r="C20" s="680"/>
      <c r="D20" s="2050" t="s">
        <v>332</v>
      </c>
      <c r="E20" s="713" t="s">
        <v>734</v>
      </c>
      <c r="F20" s="675" t="s">
        <v>735</v>
      </c>
      <c r="G20" s="971"/>
      <c r="H20" s="261"/>
      <c r="I20" s="971"/>
      <c r="J20" s="261"/>
      <c r="K20" s="833"/>
    </row>
    <row customHeight="1" ht="45">
      <c r="A21" s="659"/>
      <c r="C21" s="680"/>
      <c r="D21" s="2050" t="s">
        <v>334</v>
      </c>
      <c r="E21" s="713" t="s">
        <v>736</v>
      </c>
      <c r="F21" s="675" t="s">
        <v>572</v>
      </c>
      <c r="G21" s="834"/>
      <c r="H21" s="261"/>
      <c r="I21" s="834"/>
      <c r="J21" s="261"/>
      <c r="K21" s="833"/>
    </row>
    <row customHeight="1" ht="67.5" hidden="1">
      <c r="A22" s="659"/>
      <c r="C22" s="680"/>
      <c r="D22" s="675">
        <v>5</v>
      </c>
      <c r="E22" s="433" t="s">
        <v>1077</v>
      </c>
      <c r="F22" s="675" t="s">
        <v>559</v>
      </c>
      <c r="G22" s="835"/>
      <c r="H22" s="836"/>
      <c r="I22" s="835"/>
      <c r="J22" s="836"/>
      <c r="K22" s="443" t="s">
        <v>1078</v>
      </c>
    </row>
    <row customHeight="1" ht="33.75" hidden="1">
      <c r="C23" s="605"/>
      <c r="D23" s="675">
        <v>6</v>
      </c>
      <c r="E23" s="433" t="s">
        <v>1079</v>
      </c>
      <c r="F23" s="675" t="s">
        <v>1080</v>
      </c>
      <c r="G23" s="835"/>
      <c r="H23" s="835"/>
      <c r="I23" s="835"/>
      <c r="J23" s="835"/>
      <c r="K23" s="443" t="s">
        <v>1081</v>
      </c>
    </row>
    <row r="29" customHeight="1" ht="15">
      <c r="J29" s="973"/>
    </row>
  </sheetData>
  <sheetProtection formatColumns="0" formatRows="0" autoFilter="0" sort="0" insertRows="0" insertColumns="1" deleteRows="0" deleteColumns="0"/>
  <mergeCells count="13">
    <mergeCell ref="D5:J5"/>
    <mergeCell ref="D6:J6"/>
    <mergeCell ref="K9:K13"/>
    <mergeCell ref="I9:J9"/>
    <mergeCell ref="E9:F9"/>
    <mergeCell ref="E10:F10"/>
    <mergeCell ref="E11:F11"/>
    <mergeCell ref="I10:J10"/>
    <mergeCell ref="I11:J11"/>
    <mergeCell ref="G9:H9"/>
    <mergeCell ref="G10:H10"/>
    <mergeCell ref="G11:H11"/>
    <mergeCell ref="D12:F12"/>
  </mergeCells>
  <dataValidations count="4">
    <dataValidation type="decimal" allowBlank="1" showErrorMessage="1" errorTitle="Ошибка" error="Допускается ввод только неотрицательных чисел!" sqref="G21 I21">
      <formula1>0</formula1>
      <formula2>9.99999999999999E+23</formula2>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whole" allowBlank="1" showErrorMessage="1" errorTitle="Ошибка" error="Допускается ввод только неотрицательных целых чисел!" sqref="G19:G20 I19:I20">
      <formula1>0</formula1>
      <formula2>9.99999999999999E+23</formula2>
    </dataValidation>
    <dataValidation type="textLength" operator="lessThanOrEqual" allowBlank="1" showInputMessage="1" showErrorMessage="1" errorTitle="Ошибка" error="Допускается ввод не более 900 символов!" sqref="H19:H21 J19:J21">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9.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19D92742-6927-1EA1-C1D3-B9779C4C1345}" mc:Ignorable="x14ac xr xr2 xr3">
  <sheetPr>
    <tabColor rgb="FFFFCC99"/>
  </sheetPr>
  <dimension ref="A1:EL118"/>
  <sheetViews>
    <sheetView topLeftCell="A1" showGridLines="0" workbookViewId="0">
      <selection activeCell="A1" sqref="A1"/>
    </sheetView>
  </sheetViews>
  <sheetFormatPr defaultColWidth="9.140625" customHeight="1" defaultRowHeight="11.25"/>
  <cols>
    <col min="1" max="1" style="9972" width="32.57421875" customWidth="1"/>
    <col min="2" max="2" style="9973" width="11.00390625" customWidth="1"/>
    <col min="3" max="3" style="9973" width="9.140625"/>
    <col min="4" max="4" style="9973" width="26.57421875" customWidth="1"/>
    <col min="5" max="5" style="9974" width="27.7109375" customWidth="1"/>
    <col min="6" max="6" style="9974" width="23.57421875" customWidth="1"/>
    <col min="7" max="7" style="9974" width="31.421875" customWidth="1"/>
    <col min="8" max="8" style="9974" width="40.8515625" customWidth="1"/>
    <col min="9" max="9" style="9974" width="14.57421875" customWidth="1"/>
    <col min="10" max="10" style="9974" width="26.8515625" customWidth="1"/>
    <col min="11" max="11" style="9974" width="50.00390625" customWidth="1"/>
    <col min="12" max="12" style="9974" width="52.421875" customWidth="1"/>
    <col min="13" max="13" style="9974" width="10.7109375" customWidth="1"/>
    <col min="14" max="14" style="9974" width="55.140625" customWidth="1"/>
    <col min="15" max="15" style="9974" width="31.8515625" customWidth="1"/>
    <col min="16" max="16" style="9974" width="23.8515625" customWidth="1"/>
    <col min="17" max="17" style="9974" width="46.57421875" customWidth="1"/>
    <col min="18" max="18" style="9974" width="24.00390625" customWidth="1"/>
    <col min="19" max="19" style="9974" width="20.57421875" customWidth="1"/>
    <col min="20" max="20" style="9974" width="22.00390625" customWidth="1"/>
    <col min="21" max="22" style="9974" width="26.421875" customWidth="1"/>
    <col min="23" max="23" style="9974" width="8.28125" hidden="1" customWidth="1"/>
    <col min="24" max="24" style="9974" width="59.7109375" customWidth="1"/>
    <col min="25" max="25" style="9974" width="49.140625" customWidth="1"/>
    <col min="26" max="26" style="9974" width="11.140625" customWidth="1"/>
    <col min="27" max="30" style="9974" width="29.00390625" customWidth="1"/>
    <col min="31" max="31" style="9974" width="9.140625"/>
    <col min="32" max="32" style="9974" width="34.7109375" customWidth="1"/>
    <col min="33" max="33" style="9974" width="9.140625"/>
    <col min="34" max="35" style="9974" width="34.421875" customWidth="1"/>
    <col min="36" max="36" style="9974" width="9.140625"/>
    <col min="37" max="37" style="9974" width="24.57421875" customWidth="1"/>
    <col min="38" max="38" style="9974" width="9.140625"/>
    <col min="39" max="39" style="9974" width="26.140625" customWidth="1"/>
    <col min="40" max="40" style="9974" width="1.7109375" customWidth="1"/>
    <col min="41" max="41" style="9974" width="9.140625"/>
    <col min="42" max="43" style="9974" width="47.8515625" customWidth="1"/>
    <col min="44" max="44" style="9974" width="1.7109375" customWidth="1"/>
    <col min="45" max="45" style="9974" width="21.421875" customWidth="1"/>
    <col min="46" max="46" style="9974" width="1.7109375" customWidth="1"/>
    <col min="47" max="47" style="9974" width="31.28125" customWidth="1"/>
    <col min="48" max="48" style="9974" width="1.7109375" customWidth="1"/>
    <col min="49" max="50" style="9975" width="9.140625"/>
    <col min="51" max="51" style="9974" width="3.7109375" customWidth="1"/>
    <col min="52" max="52" style="9974" width="60.8515625" customWidth="1"/>
    <col min="53" max="53" style="9974" width="49.28125" customWidth="1"/>
    <col min="54" max="54" style="9974" width="35.140625" customWidth="1"/>
    <col min="55" max="55" style="9974" width="9.140625"/>
    <col min="56" max="56" style="9974" width="1.7109375" customWidth="1"/>
    <col min="57" max="57" style="9976" width="12.57421875" customWidth="1"/>
    <col min="58" max="58" style="9976" width="14.28125" customWidth="1"/>
    <col min="59" max="59" style="9974" width="30.7109375" customWidth="1"/>
    <col min="60" max="60" style="9977" width="40.7109375" customWidth="1"/>
    <col min="61" max="61" style="9977" width="15.00390625" customWidth="1"/>
    <col min="62" max="62" style="9977" width="40.7109375" customWidth="1"/>
    <col min="63" max="63" style="9977" width="2.7109375" customWidth="1"/>
    <col min="64" max="64" style="9977" width="44.7109375" customWidth="1"/>
    <col min="65" max="65" style="9977" width="2.7109375" customWidth="1"/>
    <col min="66" max="66" style="9977" width="40.7109375" customWidth="1"/>
    <col min="67" max="68" style="9974" width="9.140625"/>
    <col min="69" max="69" style="9974" width="18.140625" customWidth="1"/>
    <col min="70" max="70" style="9974" width="57.8515625" customWidth="1"/>
    <col min="71" max="71" style="9978" width="1.7109375" customWidth="1"/>
    <col min="72" max="72" style="9974" width="22.57421875" customWidth="1"/>
    <col min="73" max="73" style="9974" width="57.8515625" customWidth="1"/>
    <col min="74" max="74" style="9974" width="1.7109375" customWidth="1"/>
    <col min="75" max="75" style="9974" width="22.57421875" customWidth="1"/>
    <col min="76" max="76" style="9974" width="57.8515625" customWidth="1"/>
    <col min="77" max="77" style="9974" width="1.7109375" customWidth="1"/>
    <col min="78" max="78" style="9974" width="22.57421875" customWidth="1"/>
    <col min="79" max="79" style="9974" width="57.8515625" customWidth="1"/>
    <col min="80" max="81" style="9974" width="9.140625"/>
    <col min="82" max="82" style="9974" width="49.57421875" customWidth="1"/>
  </cols>
  <sheetData>
    <row s="9875" customFormat="1" customHeight="1" ht="11.25">
      <c r="A1" s="1222" t="s">
        <v>1082</v>
      </c>
      <c r="B1" s="1222" t="s">
        <v>1083</v>
      </c>
      <c r="C1" s="1222" t="s">
        <v>1084</v>
      </c>
      <c r="D1" s="1222" t="s">
        <v>1085</v>
      </c>
      <c r="E1" s="1222" t="s">
        <v>1086</v>
      </c>
      <c r="F1" s="1222" t="s">
        <v>1087</v>
      </c>
      <c r="G1" s="1222" t="s">
        <v>1088</v>
      </c>
      <c r="H1" s="1222" t="s">
        <v>1089</v>
      </c>
      <c r="I1" s="1222" t="s">
        <v>1090</v>
      </c>
      <c r="J1" s="1222" t="s">
        <v>1091</v>
      </c>
      <c r="K1" s="1222" t="s">
        <v>1092</v>
      </c>
      <c r="L1" s="1222" t="s">
        <v>1093</v>
      </c>
      <c r="M1" s="1222"/>
      <c r="N1" s="1222" t="s">
        <v>1094</v>
      </c>
      <c r="O1" s="1222" t="s">
        <v>1095</v>
      </c>
      <c r="P1" s="1222" t="s">
        <v>1096</v>
      </c>
      <c r="Q1" s="1222" t="s">
        <v>1097</v>
      </c>
      <c r="R1" s="1222" t="s">
        <v>1098</v>
      </c>
      <c r="S1" s="1222" t="s">
        <v>1099</v>
      </c>
      <c r="T1" s="1222" t="s">
        <v>1100</v>
      </c>
      <c r="U1" s="1222" t="s">
        <v>1101</v>
      </c>
      <c r="V1" s="1222"/>
      <c r="W1" s="951" t="s">
        <v>1102</v>
      </c>
      <c r="X1" s="1222" t="s">
        <v>1103</v>
      </c>
      <c r="Y1" s="1222" t="s">
        <v>1104</v>
      </c>
      <c r="Z1" s="1222"/>
      <c r="AA1" s="1222" t="s">
        <v>1105</v>
      </c>
      <c r="AB1" s="1222"/>
      <c r="AC1" s="1222" t="s">
        <v>1106</v>
      </c>
      <c r="AD1" s="1222"/>
      <c r="AF1" s="1222" t="s">
        <v>1107</v>
      </c>
      <c r="AH1" s="1222" t="s">
        <v>1108</v>
      </c>
      <c r="AI1" s="1222" t="s">
        <v>1109</v>
      </c>
      <c r="AK1" s="1222" t="s">
        <v>1110</v>
      </c>
      <c r="AM1" s="1222" t="s">
        <v>1111</v>
      </c>
      <c r="AP1" s="1222" t="s">
        <v>1112</v>
      </c>
      <c r="AQ1" s="1222" t="s">
        <v>1113</v>
      </c>
      <c r="AS1" s="1222" t="s">
        <v>1114</v>
      </c>
      <c r="AU1" s="1222" t="s">
        <v>1115</v>
      </c>
      <c r="AW1" s="1222" t="s">
        <v>1116</v>
      </c>
      <c r="AX1" s="1222" t="s">
        <v>1117</v>
      </c>
      <c r="AZ1" s="1308" t="s">
        <v>1118</v>
      </c>
      <c r="BB1" s="1222" t="s">
        <v>1119</v>
      </c>
      <c r="BC1" s="1222"/>
      <c r="BE1" s="1222" t="s">
        <v>1120</v>
      </c>
      <c r="BF1" s="1222" t="s">
        <v>1121</v>
      </c>
      <c r="BH1" s="1224" t="s">
        <v>723</v>
      </c>
      <c r="BI1" s="1225"/>
      <c r="BJ1" s="1226" t="s">
        <v>1122</v>
      </c>
      <c r="BK1" s="1225"/>
      <c r="BL1" s="1227" t="s">
        <v>824</v>
      </c>
      <c r="BM1" s="1225"/>
      <c r="BN1" s="1228" t="s">
        <v>1123</v>
      </c>
      <c r="BS1" s="1586"/>
    </row>
    <row customHeight="1" ht="11.25">
      <c r="A2" s="1229" t="s">
        <v>1124</v>
      </c>
      <c r="B2" s="1230">
        <v>2000</v>
      </c>
      <c r="C2" s="1230">
        <v>2022</v>
      </c>
      <c r="D2" s="1230" t="s">
        <v>64</v>
      </c>
      <c r="E2" s="1231" t="s">
        <v>1125</v>
      </c>
      <c r="F2" s="1231" t="s">
        <v>1126</v>
      </c>
      <c r="G2" s="1231" t="s">
        <v>1127</v>
      </c>
      <c r="H2" s="1232" t="s">
        <v>52</v>
      </c>
      <c r="I2" s="1231" t="s">
        <v>106</v>
      </c>
      <c r="J2" s="1231" t="s">
        <v>1128</v>
      </c>
      <c r="K2" s="1233" t="s">
        <v>1129</v>
      </c>
      <c r="L2" s="1234"/>
      <c r="M2" s="1233">
        <v>1</v>
      </c>
      <c r="N2" s="1318" t="s">
        <v>1130</v>
      </c>
      <c r="O2" s="1232" t="s">
        <v>1131</v>
      </c>
      <c r="P2" s="1235" t="s">
        <v>33</v>
      </c>
      <c r="Q2" s="1236" t="s">
        <v>543</v>
      </c>
      <c r="R2" s="298" t="s">
        <v>1132</v>
      </c>
      <c r="S2" s="298" t="s">
        <v>1133</v>
      </c>
      <c r="T2" s="1237" t="s">
        <v>1134</v>
      </c>
      <c r="U2" s="1234" t="s">
        <v>1135</v>
      </c>
      <c r="V2" s="1238">
        <v>1</v>
      </c>
      <c r="W2" s="1239"/>
      <c r="X2" s="1239" t="s">
        <v>1136</v>
      </c>
      <c r="Y2" s="1230" t="s">
        <v>1137</v>
      </c>
      <c r="Z2" s="1240"/>
      <c r="AA2" s="1230" t="s">
        <v>1138</v>
      </c>
      <c r="AB2" s="1241" t="s">
        <v>1138</v>
      </c>
      <c r="AC2" s="1230" t="s">
        <v>1139</v>
      </c>
      <c r="AD2" s="1241" t="s">
        <v>1139</v>
      </c>
      <c r="AF2" s="1232" t="s">
        <v>1135</v>
      </c>
      <c r="AH2" s="1231" t="s">
        <v>1140</v>
      </c>
      <c r="AI2" s="1231" t="s">
        <v>1140</v>
      </c>
      <c r="AK2" s="1231" t="s">
        <v>1141</v>
      </c>
      <c r="AM2" s="1231" t="s">
        <v>1142</v>
      </c>
      <c r="AP2" s="1242" t="s">
        <v>1136</v>
      </c>
      <c r="AQ2" s="1243" t="s">
        <v>1136</v>
      </c>
      <c r="AS2" s="1230" t="s">
        <v>1143</v>
      </c>
      <c r="AU2" s="1276" t="s">
        <v>1144</v>
      </c>
      <c r="AW2" s="1276" t="s">
        <v>1145</v>
      </c>
      <c r="AX2" s="1276" t="s">
        <v>1145</v>
      </c>
      <c r="AZ2" s="1276" t="s">
        <v>1146</v>
      </c>
      <c r="BB2" s="1276" t="s">
        <v>1147</v>
      </c>
      <c r="BC2" s="1276" t="s">
        <v>1148</v>
      </c>
      <c r="BE2" s="1276">
        <v>2000</v>
      </c>
      <c r="BF2" s="1276" t="s">
        <v>1149</v>
      </c>
    </row>
    <row customHeight="1" ht="11.25">
      <c r="A3" s="1229" t="s">
        <v>1150</v>
      </c>
      <c r="B3" s="1230">
        <v>2001</v>
      </c>
      <c r="C3" s="1230">
        <v>2023</v>
      </c>
      <c r="D3" s="1230" t="s">
        <v>54</v>
      </c>
      <c r="E3" s="1231" t="s">
        <v>1151</v>
      </c>
      <c r="F3" s="1231" t="s">
        <v>1152</v>
      </c>
      <c r="G3" s="1231" t="s">
        <v>1153</v>
      </c>
      <c r="H3" s="1232" t="s">
        <v>1154</v>
      </c>
      <c r="I3" s="1231" t="s">
        <v>107</v>
      </c>
      <c r="J3" s="1231" t="s">
        <v>557</v>
      </c>
      <c r="K3" s="1233" t="s">
        <v>1155</v>
      </c>
      <c r="L3" s="1234">
        <f>_xlfn.IFERROR(MATCH(K3,OFFER_METHOD,0),0)</f>
        <v>0</v>
      </c>
      <c r="M3" s="1233">
        <v>2</v>
      </c>
      <c r="N3" s="1318" t="s">
        <v>1156</v>
      </c>
      <c r="O3" s="1232" t="s">
        <v>1157</v>
      </c>
      <c r="P3" s="1235" t="s">
        <v>1158</v>
      </c>
      <c r="Q3" s="1236" t="s">
        <v>1159</v>
      </c>
      <c r="R3" s="298" t="s">
        <v>1160</v>
      </c>
      <c r="S3" s="298" t="s">
        <v>1161</v>
      </c>
      <c r="T3" s="1237" t="s">
        <v>1162</v>
      </c>
      <c r="U3" s="1234" t="s">
        <v>1163</v>
      </c>
      <c r="V3" s="1238">
        <v>2</v>
      </c>
      <c r="W3" s="1239"/>
      <c r="X3" s="1239" t="s">
        <v>1164</v>
      </c>
      <c r="Y3" s="1230" t="s">
        <v>1137</v>
      </c>
      <c r="Z3" s="1240"/>
      <c r="AA3" s="1230" t="s">
        <v>1165</v>
      </c>
      <c r="AB3" s="1241" t="s">
        <v>1165</v>
      </c>
      <c r="AC3" s="1230" t="s">
        <v>1166</v>
      </c>
      <c r="AD3" s="1241" t="s">
        <v>1166</v>
      </c>
      <c r="AF3" s="1232" t="s">
        <v>1163</v>
      </c>
      <c r="AH3" s="1231" t="s">
        <v>1167</v>
      </c>
      <c r="AI3" s="1231" t="s">
        <v>1168</v>
      </c>
      <c r="AK3" s="1231" t="s">
        <v>1169</v>
      </c>
      <c r="AM3" s="1231" t="s">
        <v>1170</v>
      </c>
      <c r="AP3" s="1242" t="s">
        <v>1171</v>
      </c>
      <c r="AQ3" s="1243" t="s">
        <v>1171</v>
      </c>
      <c r="AS3" s="1230" t="s">
        <v>1172</v>
      </c>
      <c r="AU3" s="1276" t="s">
        <v>1173</v>
      </c>
      <c r="AW3" s="1276" t="s">
        <v>1174</v>
      </c>
      <c r="AX3" s="1276" t="s">
        <v>1174</v>
      </c>
      <c r="AZ3" s="1276" t="s">
        <v>1175</v>
      </c>
      <c r="BB3" s="1276" t="s">
        <v>1176</v>
      </c>
      <c r="BC3" s="1276" t="s">
        <v>1148</v>
      </c>
      <c r="BE3" s="1276">
        <v>2001</v>
      </c>
      <c r="BF3" s="1276" t="s">
        <v>1177</v>
      </c>
      <c r="BH3" s="1222" t="s">
        <v>1178</v>
      </c>
      <c r="BJ3" s="1222" t="s">
        <v>1179</v>
      </c>
      <c r="BL3" s="1222" t="s">
        <v>1180</v>
      </c>
      <c r="BN3" s="1222" t="s">
        <v>1181</v>
      </c>
      <c r="BR3" s="1222" t="s">
        <v>1182</v>
      </c>
      <c r="BS3" s="1587"/>
      <c r="BT3" s="1225"/>
      <c r="BU3" s="1222" t="s">
        <v>1183</v>
      </c>
      <c r="BV3" s="1225"/>
      <c r="BW3" s="1849"/>
      <c r="BX3" s="1851" t="s">
        <v>1184</v>
      </c>
      <c r="CA3" s="1222" t="s">
        <v>1185</v>
      </c>
    </row>
    <row customHeight="1" ht="11.25">
      <c r="A4" s="1229" t="s">
        <v>1186</v>
      </c>
      <c r="B4" s="1230">
        <v>2002</v>
      </c>
      <c r="C4" s="1230">
        <v>2024</v>
      </c>
      <c r="E4" s="1231" t="s">
        <v>1187</v>
      </c>
      <c r="F4" s="1231" t="s">
        <v>1188</v>
      </c>
      <c r="H4" s="1232" t="s">
        <v>1189</v>
      </c>
      <c r="I4" s="1231" t="s">
        <v>87</v>
      </c>
      <c r="J4" s="1231" t="s">
        <v>1190</v>
      </c>
      <c r="K4" s="1233" t="s">
        <v>1191</v>
      </c>
      <c r="L4" s="1234">
        <f>_xlfn.IFERROR(MATCH(K4,OFFER_METHOD,0),0)</f>
        <v>0</v>
      </c>
      <c r="M4" s="1233">
        <v>3</v>
      </c>
      <c r="N4" s="1318" t="s">
        <v>1192</v>
      </c>
      <c r="O4" s="1231" t="s">
        <v>1193</v>
      </c>
      <c r="Q4" s="1236" t="s">
        <v>1194</v>
      </c>
      <c r="R4" s="298" t="s">
        <v>1195</v>
      </c>
      <c r="S4" s="298" t="s">
        <v>1196</v>
      </c>
      <c r="T4" s="1237" t="s">
        <v>1197</v>
      </c>
      <c r="U4" s="1234" t="s">
        <v>1198</v>
      </c>
      <c r="V4" s="1238">
        <v>3</v>
      </c>
      <c r="W4" s="1239"/>
      <c r="X4" s="1239" t="s">
        <v>1199</v>
      </c>
      <c r="Y4" s="1230" t="s">
        <v>1137</v>
      </c>
      <c r="Z4" s="1246"/>
      <c r="AC4" s="1230" t="s">
        <v>1200</v>
      </c>
      <c r="AD4" s="1241" t="s">
        <v>1200</v>
      </c>
      <c r="AF4" s="1232" t="s">
        <v>1198</v>
      </c>
      <c r="AH4" s="1232" t="s">
        <v>1201</v>
      </c>
      <c r="AK4" s="1231" t="s">
        <v>1202</v>
      </c>
      <c r="AM4" s="1231" t="s">
        <v>1203</v>
      </c>
      <c r="AP4" s="1242" t="s">
        <v>1164</v>
      </c>
      <c r="AQ4" s="1243" t="s">
        <v>1164</v>
      </c>
      <c r="AS4" s="1230" t="s">
        <v>1204</v>
      </c>
      <c r="AU4" s="1276" t="s">
        <v>1205</v>
      </c>
      <c r="AW4" s="1276" t="s">
        <v>1206</v>
      </c>
      <c r="AX4" s="1276" t="s">
        <v>1206</v>
      </c>
      <c r="AZ4" s="1276" t="s">
        <v>1207</v>
      </c>
      <c r="BB4" s="1276" t="s">
        <v>1208</v>
      </c>
      <c r="BC4" s="1276" t="s">
        <v>1209</v>
      </c>
      <c r="BE4" s="1276">
        <v>2002</v>
      </c>
      <c r="BF4" s="1276" t="s">
        <v>1210</v>
      </c>
      <c r="BH4" s="1223" t="s">
        <v>1211</v>
      </c>
      <c r="BJ4" s="1223" t="s">
        <v>1211</v>
      </c>
      <c r="BL4" s="1223" t="s">
        <v>1211</v>
      </c>
      <c r="BN4" s="1223" t="s">
        <v>1211</v>
      </c>
      <c r="BQ4" s="1591" t="s">
        <v>1212</v>
      </c>
      <c r="BR4" s="1315" t="s">
        <v>1213</v>
      </c>
      <c r="BS4" s="428"/>
      <c r="BT4" s="1591" t="s">
        <v>1214</v>
      </c>
      <c r="BU4" s="1315" t="s">
        <v>1215</v>
      </c>
      <c r="BV4" s="1225"/>
      <c r="BW4" s="1856" t="s">
        <v>1216</v>
      </c>
      <c r="BX4" s="1850" t="s">
        <v>1217</v>
      </c>
      <c r="BZ4" s="1591" t="s">
        <v>1218</v>
      </c>
      <c r="CA4" s="1315" t="s">
        <v>1219</v>
      </c>
    </row>
    <row customHeight="1" ht="11.25">
      <c r="A5" s="1229" t="s">
        <v>1220</v>
      </c>
      <c r="B5" s="1230">
        <v>2003</v>
      </c>
      <c r="C5" s="1230">
        <v>2025</v>
      </c>
      <c r="E5" s="1231" t="s">
        <v>1221</v>
      </c>
      <c r="F5" s="1231" t="s">
        <v>1222</v>
      </c>
      <c r="H5" s="1232" t="s">
        <v>1223</v>
      </c>
      <c r="I5" s="1231" t="s">
        <v>88</v>
      </c>
      <c r="K5" s="1233" t="s">
        <v>1224</v>
      </c>
      <c r="L5" s="1234">
        <f>_xlfn.IFERROR(MATCH(K5,OFFER_METHOD,0),0)</f>
        <v>0</v>
      </c>
      <c r="M5" s="1233">
        <v>4</v>
      </c>
      <c r="N5" s="1247" t="s">
        <v>1225</v>
      </c>
      <c r="O5" s="1231" t="s">
        <v>1226</v>
      </c>
      <c r="Q5" s="1236" t="s">
        <v>1227</v>
      </c>
      <c r="R5" s="298" t="s">
        <v>1228</v>
      </c>
      <c r="T5" s="1232" t="s">
        <v>1229</v>
      </c>
      <c r="U5" s="1234" t="s">
        <v>1230</v>
      </c>
      <c r="V5" s="1238">
        <v>4</v>
      </c>
      <c r="W5" s="1239"/>
      <c r="X5" s="1239" t="s">
        <v>163</v>
      </c>
      <c r="Y5" s="1230" t="s">
        <v>1231</v>
      </c>
      <c r="Z5" s="1246">
        <v>1</v>
      </c>
      <c r="AF5" s="1232" t="s">
        <v>1232</v>
      </c>
      <c r="AH5" s="1231" t="s">
        <v>1233</v>
      </c>
      <c r="AK5" s="1231" t="s">
        <v>1234</v>
      </c>
      <c r="AM5" s="1231" t="s">
        <v>1235</v>
      </c>
      <c r="AP5" s="1242" t="s">
        <v>163</v>
      </c>
      <c r="AQ5" s="1243" t="s">
        <v>163</v>
      </c>
      <c r="AU5" s="1276" t="s">
        <v>1236</v>
      </c>
      <c r="AW5" s="1276" t="s">
        <v>1237</v>
      </c>
      <c r="AX5" s="1276" t="s">
        <v>1237</v>
      </c>
      <c r="AZ5" s="1276" t="s">
        <v>1238</v>
      </c>
      <c r="BB5" s="1276" t="s">
        <v>1239</v>
      </c>
      <c r="BC5" s="1276" t="s">
        <v>1240</v>
      </c>
      <c r="BE5" s="1276">
        <v>2003</v>
      </c>
      <c r="BF5" s="1276" t="s">
        <v>1241</v>
      </c>
      <c r="BH5" s="1223" t="s">
        <v>1242</v>
      </c>
      <c r="BJ5" s="1223" t="s">
        <v>1242</v>
      </c>
      <c r="BL5" s="1223" t="s">
        <v>1242</v>
      </c>
      <c r="BN5" s="1223" t="s">
        <v>1243</v>
      </c>
      <c r="BQ5" s="1440">
        <v>4213775</v>
      </c>
      <c r="BR5" s="1223" t="s">
        <v>1136</v>
      </c>
      <c r="BS5" s="1588"/>
      <c r="BT5" s="1440">
        <v>64236871</v>
      </c>
      <c r="BU5" s="1223" t="s">
        <v>224</v>
      </c>
      <c r="BV5" s="1225"/>
      <c r="BW5" s="1854">
        <v>4213767</v>
      </c>
      <c r="BX5" s="1852" t="s">
        <v>1244</v>
      </c>
      <c r="BZ5" s="1440">
        <v>64237509</v>
      </c>
      <c r="CA5" s="1454" t="s">
        <v>1245</v>
      </c>
    </row>
    <row customHeight="1" ht="11.25">
      <c r="A6" s="1229" t="s">
        <v>1246</v>
      </c>
      <c r="B6" s="1230">
        <v>2004</v>
      </c>
      <c r="C6" s="1230">
        <v>2026</v>
      </c>
      <c r="E6" s="1231" t="s">
        <v>1247</v>
      </c>
      <c r="F6" s="1248"/>
      <c r="H6" s="1232" t="s">
        <v>1248</v>
      </c>
      <c r="I6" s="1231" t="s">
        <v>108</v>
      </c>
      <c r="J6" s="1222" t="s">
        <v>1249</v>
      </c>
      <c r="L6" s="1234">
        <f>SUM(kind_of_control_method_filter)</f>
        <v>0</v>
      </c>
      <c r="N6" s="1247" t="s">
        <v>1250</v>
      </c>
      <c r="O6" s="1231" t="s">
        <v>1251</v>
      </c>
      <c r="R6" s="298" t="s">
        <v>543</v>
      </c>
      <c r="T6" s="1232" t="s">
        <v>1252</v>
      </c>
      <c r="U6" s="1234" t="s">
        <v>1232</v>
      </c>
      <c r="V6" s="1238">
        <v>5</v>
      </c>
      <c r="W6" s="1239"/>
      <c r="X6" s="1230" t="s">
        <v>169</v>
      </c>
      <c r="Y6" s="1230" t="s">
        <v>1253</v>
      </c>
      <c r="Z6" s="1246"/>
      <c r="AA6" s="1249"/>
      <c r="AH6" s="1231" t="s">
        <v>1254</v>
      </c>
      <c r="AK6" s="1231" t="s">
        <v>1255</v>
      </c>
      <c r="AM6" s="1231" t="s">
        <v>1256</v>
      </c>
      <c r="AP6" s="1242" t="s">
        <v>169</v>
      </c>
      <c r="AQ6" s="1243" t="s">
        <v>169</v>
      </c>
      <c r="AU6" s="1276" t="s">
        <v>1257</v>
      </c>
      <c r="AW6" s="1276" t="s">
        <v>1258</v>
      </c>
      <c r="AX6" s="1276" t="s">
        <v>1258</v>
      </c>
      <c r="BB6" s="1276" t="s">
        <v>1259</v>
      </c>
      <c r="BC6" s="1276" t="s">
        <v>1240</v>
      </c>
      <c r="BE6" s="1276">
        <v>2004</v>
      </c>
      <c r="BF6" s="1276" t="s">
        <v>1260</v>
      </c>
      <c r="BH6" s="1223" t="s">
        <v>1261</v>
      </c>
      <c r="BJ6" s="1223" t="s">
        <v>1262</v>
      </c>
      <c r="BL6" s="1223" t="s">
        <v>1262</v>
      </c>
      <c r="BN6" s="1223" t="s">
        <v>1263</v>
      </c>
      <c r="BQ6" s="1440">
        <v>4213784</v>
      </c>
      <c r="BR6" s="1454" t="s">
        <v>1171</v>
      </c>
      <c r="BS6" s="1589"/>
      <c r="BT6" s="1440">
        <v>64236872</v>
      </c>
      <c r="BU6" s="1223" t="s">
        <v>229</v>
      </c>
      <c r="BV6" s="1225"/>
      <c r="BW6" s="1854">
        <v>4213768</v>
      </c>
      <c r="BX6" s="1852" t="s">
        <v>254</v>
      </c>
      <c r="BZ6" s="1440">
        <v>64237510</v>
      </c>
      <c r="CA6" s="1223" t="s">
        <v>1264</v>
      </c>
    </row>
    <row customHeight="1" ht="11.25">
      <c r="A7" s="1229" t="s">
        <v>1265</v>
      </c>
      <c r="B7" s="1230">
        <v>2005</v>
      </c>
      <c r="E7" s="1231" t="s">
        <v>1266</v>
      </c>
      <c r="F7" s="1248"/>
      <c r="H7" s="1232" t="s">
        <v>1267</v>
      </c>
      <c r="I7" s="1231" t="s">
        <v>89</v>
      </c>
      <c r="J7" s="1231" t="s">
        <v>1268</v>
      </c>
      <c r="N7" s="1251" t="s">
        <v>1269</v>
      </c>
      <c r="O7" s="1231" t="s">
        <v>1270</v>
      </c>
      <c r="U7" s="1234" t="s">
        <v>54</v>
      </c>
      <c r="V7" s="524" t="s">
        <v>89</v>
      </c>
      <c r="W7" s="1239"/>
      <c r="X7" s="1230" t="s">
        <v>175</v>
      </c>
      <c r="Y7" s="1230" t="s">
        <v>1231</v>
      </c>
      <c r="Z7" s="1246"/>
      <c r="AA7" s="1249"/>
      <c r="AH7" s="1231" t="s">
        <v>1271</v>
      </c>
      <c r="AK7" s="1231" t="s">
        <v>1272</v>
      </c>
      <c r="AM7" s="1231" t="s">
        <v>1273</v>
      </c>
      <c r="AP7" s="1242" t="s">
        <v>175</v>
      </c>
      <c r="AQ7" s="1243" t="s">
        <v>175</v>
      </c>
      <c r="AU7" s="1276" t="s">
        <v>1274</v>
      </c>
      <c r="AW7" s="1276" t="s">
        <v>1275</v>
      </c>
      <c r="AX7" s="1276" t="s">
        <v>1275</v>
      </c>
      <c r="AZ7" s="1222" t="s">
        <v>1276</v>
      </c>
      <c r="BB7" s="1276" t="s">
        <v>1277</v>
      </c>
      <c r="BC7" s="1276" t="s">
        <v>1240</v>
      </c>
      <c r="BE7" s="1276">
        <v>2005</v>
      </c>
      <c r="BF7" s="1276" t="s">
        <v>1278</v>
      </c>
      <c r="BH7" s="1223" t="s">
        <v>1279</v>
      </c>
      <c r="BJ7" s="1223" t="s">
        <v>1261</v>
      </c>
      <c r="BL7" s="1223" t="s">
        <v>1261</v>
      </c>
      <c r="BN7" s="1223" t="s">
        <v>1280</v>
      </c>
      <c r="BQ7" s="1440">
        <v>4213781</v>
      </c>
      <c r="BR7" s="1223" t="s">
        <v>1164</v>
      </c>
      <c r="BS7" s="1588"/>
      <c r="BT7" s="1440">
        <v>64236873</v>
      </c>
      <c r="BU7" s="1223" t="s">
        <v>234</v>
      </c>
      <c r="BV7" s="1225"/>
      <c r="BW7" s="1854">
        <v>4213769</v>
      </c>
      <c r="BX7" s="1852" t="s">
        <v>1281</v>
      </c>
      <c r="BZ7" s="1440">
        <v>64237511</v>
      </c>
      <c r="CA7" s="1223" t="s">
        <v>269</v>
      </c>
    </row>
    <row customHeight="1" ht="11.25">
      <c r="A8" s="1229" t="s">
        <v>1282</v>
      </c>
      <c r="B8" s="1230">
        <v>2006</v>
      </c>
      <c r="E8" s="1231" t="s">
        <v>1283</v>
      </c>
      <c r="F8" s="1248"/>
      <c r="H8" s="1232" t="s">
        <v>1284</v>
      </c>
      <c r="I8" s="1231" t="s">
        <v>90</v>
      </c>
      <c r="J8" s="1231" t="s">
        <v>1285</v>
      </c>
      <c r="N8" s="1319" t="s">
        <v>1286</v>
      </c>
      <c r="O8" s="1231" t="s">
        <v>1287</v>
      </c>
      <c r="V8" s="524" t="s">
        <v>90</v>
      </c>
      <c r="W8" s="1239"/>
      <c r="X8" s="1230" t="s">
        <v>181</v>
      </c>
      <c r="Y8" s="1230" t="s">
        <v>1231</v>
      </c>
      <c r="Z8" s="1246"/>
      <c r="AA8" s="1249"/>
      <c r="AK8" s="1231" t="s">
        <v>1288</v>
      </c>
      <c r="AP8" s="1242" t="s">
        <v>181</v>
      </c>
      <c r="AQ8" s="1243" t="s">
        <v>181</v>
      </c>
      <c r="AU8" s="1276" t="s">
        <v>1289</v>
      </c>
      <c r="AW8" s="1276" t="s">
        <v>1290</v>
      </c>
      <c r="AX8" s="1276" t="s">
        <v>1290</v>
      </c>
      <c r="AZ8" s="1276" t="s">
        <v>1291</v>
      </c>
      <c r="BB8" s="1276" t="s">
        <v>1292</v>
      </c>
      <c r="BC8" s="1276" t="s">
        <v>1240</v>
      </c>
      <c r="BE8" s="1276">
        <v>2006</v>
      </c>
      <c r="BF8" s="1276" t="s">
        <v>1293</v>
      </c>
      <c r="BH8" s="1223" t="s">
        <v>1294</v>
      </c>
      <c r="BJ8" s="1223" t="s">
        <v>1295</v>
      </c>
      <c r="BL8" s="1223" t="s">
        <v>1295</v>
      </c>
      <c r="BN8" s="1223" t="s">
        <v>1296</v>
      </c>
      <c r="BQ8" s="1440">
        <v>4213776</v>
      </c>
      <c r="BR8" s="1223" t="s">
        <v>163</v>
      </c>
      <c r="BS8" s="1588"/>
      <c r="BT8" s="1440">
        <v>64236874</v>
      </c>
      <c r="BU8" s="1454" t="s">
        <v>1297</v>
      </c>
      <c r="BV8" s="1225"/>
      <c r="BW8" s="1854">
        <v>4213770</v>
      </c>
      <c r="BX8" s="1855" t="s">
        <v>1298</v>
      </c>
      <c r="BZ8" s="1440">
        <v>64237512</v>
      </c>
      <c r="CA8" s="1223" t="s">
        <v>264</v>
      </c>
    </row>
    <row customHeight="1" ht="11.25">
      <c r="A9" s="1229" t="s">
        <v>1299</v>
      </c>
      <c r="B9" s="1230">
        <v>2007</v>
      </c>
      <c r="E9" s="1231" t="s">
        <v>1300</v>
      </c>
      <c r="F9" s="1248"/>
      <c r="G9" s="1222" t="s">
        <v>1301</v>
      </c>
      <c r="H9" s="1222" t="s">
        <v>1302</v>
      </c>
      <c r="I9" s="1231" t="s">
        <v>109</v>
      </c>
      <c r="O9" s="1231" t="s">
        <v>1303</v>
      </c>
      <c r="V9" s="524" t="s">
        <v>109</v>
      </c>
      <c r="W9" s="1239"/>
      <c r="X9" s="1230" t="s">
        <v>187</v>
      </c>
      <c r="Y9" s="1230" t="s">
        <v>1137</v>
      </c>
      <c r="Z9" s="1246">
        <v>1</v>
      </c>
      <c r="AA9" s="1249"/>
      <c r="AK9" s="1231" t="s">
        <v>1304</v>
      </c>
      <c r="AP9" s="1242" t="s">
        <v>1305</v>
      </c>
      <c r="AQ9" s="1243" t="s">
        <v>1305</v>
      </c>
      <c r="AW9" s="1276" t="s">
        <v>1306</v>
      </c>
      <c r="AX9" s="1276" t="s">
        <v>1306</v>
      </c>
      <c r="AZ9" s="1276" t="s">
        <v>1307</v>
      </c>
      <c r="BB9" s="1276" t="s">
        <v>1308</v>
      </c>
      <c r="BC9" s="1276" t="s">
        <v>1240</v>
      </c>
      <c r="BE9" s="1276">
        <v>2007</v>
      </c>
      <c r="BF9" s="1276" t="s">
        <v>1309</v>
      </c>
      <c r="BH9" s="1223" t="s">
        <v>1310</v>
      </c>
      <c r="BJ9" s="1223" t="s">
        <v>1311</v>
      </c>
      <c r="BL9" s="1223" t="s">
        <v>1311</v>
      </c>
      <c r="BN9" s="1223" t="s">
        <v>1312</v>
      </c>
      <c r="BQ9" s="1440">
        <v>4213777</v>
      </c>
      <c r="BR9" s="1223" t="s">
        <v>169</v>
      </c>
      <c r="BS9" s="1588"/>
      <c r="BT9" s="1440">
        <v>64236875</v>
      </c>
      <c r="BU9" s="1223" t="s">
        <v>239</v>
      </c>
      <c r="BV9" s="1225"/>
      <c r="BW9" s="1849"/>
      <c r="BX9" s="1849"/>
    </row>
    <row customHeight="1" ht="11.25">
      <c r="A10" s="1229" t="s">
        <v>1313</v>
      </c>
      <c r="B10" s="1230">
        <v>2008</v>
      </c>
      <c r="E10" s="1231" t="s">
        <v>1314</v>
      </c>
      <c r="F10" s="1248"/>
      <c r="G10" s="1231" t="s">
        <v>1315</v>
      </c>
      <c r="H10" s="1231" t="s">
        <v>1316</v>
      </c>
      <c r="I10" s="1231" t="s">
        <v>145</v>
      </c>
      <c r="J10" s="1222" t="s">
        <v>1317</v>
      </c>
      <c r="K10" s="1222" t="s">
        <v>1318</v>
      </c>
      <c r="O10" s="1231" t="s">
        <v>1319</v>
      </c>
      <c r="V10" s="525" t="s">
        <v>145</v>
      </c>
      <c r="W10" s="1252"/>
      <c r="X10" s="1252" t="s">
        <v>199</v>
      </c>
      <c r="Y10" s="1253" t="s">
        <v>1320</v>
      </c>
      <c r="Z10" s="1246"/>
      <c r="AP10" s="1242" t="s">
        <v>199</v>
      </c>
      <c r="AQ10" s="1243" t="s">
        <v>199</v>
      </c>
      <c r="AW10" s="1276" t="s">
        <v>1321</v>
      </c>
      <c r="AX10" s="1276" t="s">
        <v>1321</v>
      </c>
      <c r="AZ10" s="1276" t="s">
        <v>1322</v>
      </c>
      <c r="BB10" s="1276" t="s">
        <v>1323</v>
      </c>
      <c r="BC10" s="1276" t="s">
        <v>1240</v>
      </c>
      <c r="BE10" s="1276">
        <v>2008</v>
      </c>
      <c r="BF10" s="1276" t="s">
        <v>1324</v>
      </c>
      <c r="BH10" s="1223" t="s">
        <v>1325</v>
      </c>
      <c r="BJ10" s="1223" t="s">
        <v>1326</v>
      </c>
      <c r="BL10" s="1223" t="s">
        <v>1326</v>
      </c>
      <c r="BN10" s="1223" t="s">
        <v>1327</v>
      </c>
      <c r="BQ10" s="1440">
        <v>4213778</v>
      </c>
      <c r="BR10" s="1223" t="s">
        <v>175</v>
      </c>
      <c r="BS10" s="1588"/>
      <c r="BT10" s="1440">
        <v>64236876</v>
      </c>
      <c r="BU10" s="1223" t="s">
        <v>219</v>
      </c>
      <c r="BV10" s="1225"/>
      <c r="BW10" s="1849"/>
      <c r="BX10" s="1849"/>
    </row>
    <row customHeight="1" ht="11.25">
      <c r="A11" s="1229" t="s">
        <v>1328</v>
      </c>
      <c r="B11" s="1230">
        <v>2009</v>
      </c>
      <c r="E11" s="1231" t="s">
        <v>1329</v>
      </c>
      <c r="F11" s="1248"/>
      <c r="G11" s="1231" t="s">
        <v>1330</v>
      </c>
      <c r="H11" s="1231" t="s">
        <v>1331</v>
      </c>
      <c r="I11" s="1231" t="s">
        <v>146</v>
      </c>
      <c r="J11" s="1232" t="s">
        <v>1332</v>
      </c>
      <c r="K11" s="1254" t="s">
        <v>1333</v>
      </c>
      <c r="O11" s="1232" t="s">
        <v>1334</v>
      </c>
      <c r="V11" s="524" t="s">
        <v>146</v>
      </c>
      <c r="W11" s="429"/>
      <c r="X11" s="1239" t="s">
        <v>1305</v>
      </c>
      <c r="Y11" s="1230" t="s">
        <v>1335</v>
      </c>
      <c r="Z11" s="1246"/>
      <c r="AP11" s="1242" t="s">
        <v>187</v>
      </c>
      <c r="AQ11" s="1244" t="s">
        <v>187</v>
      </c>
      <c r="AW11" s="1276" t="s">
        <v>1336</v>
      </c>
      <c r="AX11" s="1276" t="s">
        <v>1336</v>
      </c>
      <c r="AZ11" s="1276" t="s">
        <v>1337</v>
      </c>
      <c r="BB11" s="1276" t="s">
        <v>1338</v>
      </c>
      <c r="BC11" s="1276" t="s">
        <v>1240</v>
      </c>
      <c r="BE11" s="1276">
        <v>2009</v>
      </c>
      <c r="BF11" s="1276" t="s">
        <v>1339</v>
      </c>
      <c r="BH11" s="1223" t="s">
        <v>1340</v>
      </c>
      <c r="BJ11" s="1223" t="s">
        <v>1310</v>
      </c>
      <c r="BL11" s="1223" t="s">
        <v>1310</v>
      </c>
      <c r="BN11" s="1223" t="s">
        <v>1341</v>
      </c>
      <c r="BQ11" s="1440">
        <v>4213780</v>
      </c>
      <c r="BR11" s="1223" t="s">
        <v>181</v>
      </c>
      <c r="BS11" s="1588"/>
      <c r="BW11" s="1849"/>
      <c r="BX11" s="1849"/>
    </row>
    <row customHeight="1" ht="11.25">
      <c r="A12" s="1229" t="s">
        <v>1342</v>
      </c>
      <c r="B12" s="1230">
        <v>2010</v>
      </c>
      <c r="E12" s="1231" t="s">
        <v>1343</v>
      </c>
      <c r="F12" s="1248"/>
      <c r="G12" s="1231" t="s">
        <v>1331</v>
      </c>
      <c r="I12" s="1231" t="s">
        <v>147</v>
      </c>
      <c r="J12" s="1232" t="s">
        <v>1344</v>
      </c>
      <c r="K12" s="1254" t="s">
        <v>1345</v>
      </c>
      <c r="O12" s="1232" t="s">
        <v>543</v>
      </c>
      <c r="V12" s="524" t="s">
        <v>147</v>
      </c>
      <c r="W12" s="1244"/>
      <c r="X12" s="1239" t="s">
        <v>1346</v>
      </c>
      <c r="Y12" s="1230" t="s">
        <v>1137</v>
      </c>
      <c r="AP12" s="1242"/>
      <c r="AW12" s="1276" t="s">
        <v>146</v>
      </c>
      <c r="AX12" s="1276" t="s">
        <v>146</v>
      </c>
      <c r="AZ12" s="1276" t="s">
        <v>1347</v>
      </c>
      <c r="BB12" s="1276" t="s">
        <v>1348</v>
      </c>
      <c r="BC12" s="1276" t="s">
        <v>1240</v>
      </c>
      <c r="BE12" s="1276">
        <v>2010</v>
      </c>
      <c r="BF12" s="1276" t="s">
        <v>1349</v>
      </c>
      <c r="BH12" s="1223" t="s">
        <v>1350</v>
      </c>
      <c r="BJ12" s="1223" t="s">
        <v>1351</v>
      </c>
      <c r="BL12" s="1223" t="s">
        <v>1351</v>
      </c>
      <c r="BN12" s="1223" t="s">
        <v>1352</v>
      </c>
      <c r="BQ12" s="1440">
        <v>4213779</v>
      </c>
      <c r="BR12" s="1223" t="s">
        <v>1305</v>
      </c>
      <c r="BS12" s="1588"/>
      <c r="BT12" s="1225"/>
      <c r="BU12" s="1225"/>
      <c r="BV12" s="1225"/>
      <c r="BW12" s="1849"/>
      <c r="BX12" s="1849"/>
    </row>
    <row customHeight="1" ht="11.25">
      <c r="A13" s="1229" t="s">
        <v>1353</v>
      </c>
      <c r="B13" s="1230">
        <v>2011</v>
      </c>
      <c r="E13" s="1231" t="s">
        <v>1354</v>
      </c>
      <c r="F13" s="1248"/>
      <c r="I13" s="1231" t="s">
        <v>148</v>
      </c>
      <c r="K13" s="1254" t="s">
        <v>1304</v>
      </c>
      <c r="V13" s="524" t="s">
        <v>148</v>
      </c>
      <c r="W13" s="1244"/>
      <c r="X13" s="1244"/>
      <c r="Y13" s="1244"/>
      <c r="AW13" s="1276" t="s">
        <v>147</v>
      </c>
      <c r="AX13" s="1276" t="s">
        <v>147</v>
      </c>
      <c r="BB13" s="1276" t="s">
        <v>1355</v>
      </c>
      <c r="BC13" s="1276" t="s">
        <v>1356</v>
      </c>
      <c r="BE13" s="1276">
        <v>2011</v>
      </c>
      <c r="BF13" s="1276" t="s">
        <v>1357</v>
      </c>
      <c r="BH13" s="1223" t="s">
        <v>1358</v>
      </c>
      <c r="BJ13" s="1223" t="s">
        <v>1340</v>
      </c>
      <c r="BL13" s="1223" t="s">
        <v>1340</v>
      </c>
      <c r="BN13" s="1223" t="s">
        <v>1359</v>
      </c>
      <c r="BQ13" s="1440">
        <v>4213783</v>
      </c>
      <c r="BR13" s="1223" t="s">
        <v>199</v>
      </c>
      <c r="BS13" s="1588"/>
      <c r="BT13" s="1225"/>
      <c r="BU13" s="1225"/>
      <c r="BV13" s="1225"/>
      <c r="BW13" s="1853"/>
      <c r="BX13" s="1849"/>
    </row>
    <row customHeight="1" ht="11.25">
      <c r="A14" s="1229" t="s">
        <v>1360</v>
      </c>
      <c r="B14" s="1230">
        <v>2012</v>
      </c>
      <c r="I14" s="1231" t="s">
        <v>149</v>
      </c>
      <c r="J14" s="1222" t="s">
        <v>1361</v>
      </c>
      <c r="N14" s="1222" t="s">
        <v>1362</v>
      </c>
      <c r="V14" s="1238">
        <v>13</v>
      </c>
      <c r="W14" s="1239"/>
      <c r="X14" s="1239" t="s">
        <v>1171</v>
      </c>
      <c r="Y14" s="1230" t="s">
        <v>1137</v>
      </c>
      <c r="AW14" s="1276" t="s">
        <v>148</v>
      </c>
      <c r="AX14" s="1276" t="s">
        <v>148</v>
      </c>
      <c r="AZ14" s="1222" t="s">
        <v>1363</v>
      </c>
      <c r="BB14" s="1276" t="s">
        <v>1364</v>
      </c>
      <c r="BC14" s="1276" t="s">
        <v>1356</v>
      </c>
      <c r="BE14" s="1276">
        <v>2012</v>
      </c>
      <c r="BH14" s="1223" t="s">
        <v>1280</v>
      </c>
      <c r="BJ14" s="1375" t="s">
        <v>1365</v>
      </c>
      <c r="BL14" s="1375" t="s">
        <v>1365</v>
      </c>
      <c r="BN14" s="1223" t="s">
        <v>1366</v>
      </c>
      <c r="BQ14" s="1440">
        <v>4213782</v>
      </c>
      <c r="BR14" s="1223" t="s">
        <v>187</v>
      </c>
      <c r="BS14" s="1588"/>
      <c r="BT14" s="1225"/>
      <c r="BU14" s="1225"/>
      <c r="BV14" s="1225"/>
      <c r="BW14" s="1853"/>
      <c r="BX14" s="1849"/>
    </row>
    <row customHeight="1" ht="19.5">
      <c r="A15" s="1229" t="s">
        <v>1367</v>
      </c>
      <c r="B15" s="1230">
        <v>2013</v>
      </c>
      <c r="E15" s="1857" t="s">
        <v>1368</v>
      </c>
      <c r="G15" s="1222" t="s">
        <v>1369</v>
      </c>
      <c r="H15" s="1222" t="s">
        <v>1370</v>
      </c>
      <c r="I15" s="1233" t="s">
        <v>150</v>
      </c>
      <c r="J15" s="1244" t="s">
        <v>584</v>
      </c>
      <c r="N15" s="1314" t="s">
        <v>1371</v>
      </c>
      <c r="X15" s="1242"/>
      <c r="AW15" s="1276" t="s">
        <v>149</v>
      </c>
      <c r="AX15" s="1276" t="s">
        <v>149</v>
      </c>
      <c r="AZ15" s="1276" t="s">
        <v>1291</v>
      </c>
      <c r="BB15" s="1276" t="s">
        <v>1372</v>
      </c>
      <c r="BC15" s="1276" t="s">
        <v>1356</v>
      </c>
      <c r="BE15" s="1276">
        <v>2013</v>
      </c>
      <c r="BH15" s="1223" t="s">
        <v>1296</v>
      </c>
      <c r="BJ15" s="1375" t="s">
        <v>1373</v>
      </c>
      <c r="BL15" s="1375" t="s">
        <v>1373</v>
      </c>
      <c r="BN15" s="1223" t="s">
        <v>1374</v>
      </c>
      <c r="BR15" s="1225"/>
      <c r="BS15" s="1590"/>
      <c r="BT15" s="1225"/>
      <c r="BU15" s="1225"/>
      <c r="BV15" s="1225"/>
      <c r="BW15" s="1853"/>
      <c r="BX15" s="1849"/>
    </row>
    <row customHeight="1" ht="21">
      <c r="A16" s="2030" t="s">
        <v>1375</v>
      </c>
      <c r="B16" s="1230">
        <v>2014</v>
      </c>
      <c r="E16" s="1858" t="s">
        <v>1376</v>
      </c>
      <c r="G16" s="1231" t="s">
        <v>1377</v>
      </c>
      <c r="H16" s="1231" t="s">
        <v>1378</v>
      </c>
      <c r="I16" s="1233" t="s">
        <v>1379</v>
      </c>
      <c r="J16" s="1244" t="s">
        <v>557</v>
      </c>
      <c r="N16" s="1314" t="s">
        <v>1380</v>
      </c>
      <c r="AW16" s="1276" t="s">
        <v>150</v>
      </c>
      <c r="AX16" s="1276" t="s">
        <v>150</v>
      </c>
      <c r="AZ16" s="1276" t="s">
        <v>1307</v>
      </c>
      <c r="BB16" s="1276" t="s">
        <v>1381</v>
      </c>
      <c r="BC16" s="1276" t="s">
        <v>1356</v>
      </c>
      <c r="BE16" s="1276">
        <v>2014</v>
      </c>
      <c r="BH16" s="1223" t="s">
        <v>1312</v>
      </c>
      <c r="BJ16" s="1375" t="s">
        <v>1382</v>
      </c>
      <c r="BL16" s="1375" t="s">
        <v>1382</v>
      </c>
      <c r="BN16" s="1223" t="s">
        <v>1383</v>
      </c>
      <c r="BR16" s="1225"/>
      <c r="BS16" s="1590"/>
      <c r="BT16" s="1225"/>
      <c r="BU16" s="1225"/>
      <c r="BV16" s="1225"/>
      <c r="BW16" s="1853"/>
      <c r="BX16" s="1849"/>
    </row>
    <row customHeight="1" ht="21">
      <c r="A17" s="1229" t="s">
        <v>1384</v>
      </c>
      <c r="B17" s="1230">
        <v>2015</v>
      </c>
      <c r="G17" s="1231" t="s">
        <v>1331</v>
      </c>
      <c r="H17" s="1231" t="s">
        <v>1331</v>
      </c>
      <c r="I17" s="1231" t="s">
        <v>1385</v>
      </c>
      <c r="N17" s="1314" t="s">
        <v>1386</v>
      </c>
      <c r="X17" s="1242"/>
      <c r="AW17" s="1276" t="s">
        <v>1379</v>
      </c>
      <c r="AX17" s="1276" t="s">
        <v>1379</v>
      </c>
      <c r="AZ17" s="1276" t="s">
        <v>1387</v>
      </c>
      <c r="BB17" s="1276" t="s">
        <v>1388</v>
      </c>
      <c r="BC17" s="1276" t="s">
        <v>1240</v>
      </c>
      <c r="BE17" s="1276">
        <v>2015</v>
      </c>
      <c r="BH17" s="1223" t="s">
        <v>1327</v>
      </c>
      <c r="BJ17" s="1375" t="s">
        <v>1389</v>
      </c>
      <c r="BL17" s="1375" t="s">
        <v>1389</v>
      </c>
      <c r="BN17" s="1223" t="s">
        <v>1390</v>
      </c>
      <c r="BR17" s="1222" t="s">
        <v>1182</v>
      </c>
      <c r="BS17" s="1587"/>
      <c r="BU17" s="1222" t="s">
        <v>1391</v>
      </c>
      <c r="BV17" s="1225"/>
      <c r="BW17" s="1849"/>
      <c r="BX17" s="1851" t="s">
        <v>1392</v>
      </c>
      <c r="CA17" s="1222" t="s">
        <v>1393</v>
      </c>
      <c r="CD17" s="1222" t="s">
        <v>1394</v>
      </c>
    </row>
    <row customHeight="1" ht="21">
      <c r="A18" s="1229" t="s">
        <v>1395</v>
      </c>
      <c r="B18" s="1230">
        <v>2016</v>
      </c>
      <c r="I18" s="1231" t="s">
        <v>1396</v>
      </c>
      <c r="N18" s="1314" t="s">
        <v>1397</v>
      </c>
      <c r="X18" s="1242"/>
      <c r="AW18" s="1276" t="s">
        <v>1385</v>
      </c>
      <c r="AX18" s="1276" t="s">
        <v>1385</v>
      </c>
      <c r="BB18" s="1276" t="s">
        <v>1398</v>
      </c>
      <c r="BC18" s="1276" t="s">
        <v>1240</v>
      </c>
      <c r="BE18" s="1276">
        <v>2016</v>
      </c>
      <c r="BH18" s="1223" t="s">
        <v>1341</v>
      </c>
      <c r="BJ18" s="1375" t="s">
        <v>1399</v>
      </c>
      <c r="BL18" s="1375" t="s">
        <v>1399</v>
      </c>
      <c r="BN18" s="1223" t="s">
        <v>1400</v>
      </c>
      <c r="BQ18" s="1591" t="s">
        <v>1212</v>
      </c>
      <c r="BR18" s="1315" t="s">
        <v>1213</v>
      </c>
      <c r="BS18" s="428"/>
      <c r="BT18" s="1591" t="s">
        <v>1401</v>
      </c>
      <c r="BU18" s="1315" t="s">
        <v>1402</v>
      </c>
      <c r="BV18" s="1225"/>
      <c r="BW18" s="1856" t="s">
        <v>1403</v>
      </c>
      <c r="BX18" s="1850" t="s">
        <v>1404</v>
      </c>
      <c r="BZ18" s="1591" t="s">
        <v>1405</v>
      </c>
      <c r="CA18" s="1315" t="s">
        <v>1406</v>
      </c>
      <c r="CC18" s="1591" t="s">
        <v>1407</v>
      </c>
      <c r="CD18" s="1315" t="s">
        <v>1408</v>
      </c>
    </row>
    <row customHeight="1" ht="21">
      <c r="A19" s="2030" t="s">
        <v>1409</v>
      </c>
      <c r="B19" s="1230">
        <v>2017</v>
      </c>
      <c r="I19" s="1231" t="s">
        <v>1410</v>
      </c>
      <c r="N19" s="1314" t="s">
        <v>1411</v>
      </c>
      <c r="X19" s="1242"/>
      <c r="AW19" s="1276" t="s">
        <v>1396</v>
      </c>
      <c r="AX19" s="1276" t="s">
        <v>1396</v>
      </c>
      <c r="AZ19" s="1222" t="s">
        <v>1412</v>
      </c>
      <c r="BB19" s="1276" t="s">
        <v>1413</v>
      </c>
      <c r="BC19" s="1276" t="s">
        <v>1240</v>
      </c>
      <c r="BE19" s="1276">
        <v>2017</v>
      </c>
      <c r="BH19" s="1223" t="s">
        <v>1414</v>
      </c>
      <c r="BJ19" s="1375" t="s">
        <v>1415</v>
      </c>
      <c r="BL19" s="1375" t="s">
        <v>1415</v>
      </c>
      <c r="BQ19" s="1440">
        <v>4190064</v>
      </c>
      <c r="BR19" s="1223" t="s">
        <v>1416</v>
      </c>
      <c r="BS19" s="1588"/>
      <c r="BT19" s="1440">
        <v>4189671</v>
      </c>
      <c r="BU19" s="1223" t="s">
        <v>1417</v>
      </c>
      <c r="BV19" s="1225"/>
      <c r="BW19" s="1854">
        <v>4189706</v>
      </c>
      <c r="BX19" s="1852" t="s">
        <v>1418</v>
      </c>
      <c r="BZ19" s="1440">
        <v>4189714</v>
      </c>
      <c r="CA19" s="1223" t="s">
        <v>1419</v>
      </c>
      <c r="CC19" s="1440">
        <v>4189708</v>
      </c>
      <c r="CD19" s="1223" t="s">
        <v>1420</v>
      </c>
    </row>
    <row customHeight="1" ht="21">
      <c r="A20" s="1229" t="s">
        <v>1421</v>
      </c>
      <c r="B20" s="1230">
        <v>2018</v>
      </c>
      <c r="I20" s="1231" t="s">
        <v>1422</v>
      </c>
      <c r="N20" s="1314" t="s">
        <v>1423</v>
      </c>
      <c r="AW20" s="1276" t="s">
        <v>1410</v>
      </c>
      <c r="AX20" s="1276" t="s">
        <v>1410</v>
      </c>
      <c r="AZ20" s="1276" t="s">
        <v>1424</v>
      </c>
      <c r="BB20" s="1276" t="s">
        <v>1425</v>
      </c>
      <c r="BC20" s="1276" t="s">
        <v>1356</v>
      </c>
      <c r="BE20" s="1276">
        <v>2018</v>
      </c>
      <c r="BH20" s="1223" t="s">
        <v>1352</v>
      </c>
      <c r="BJ20" s="1223" t="s">
        <v>1280</v>
      </c>
      <c r="BL20" s="1223" t="s">
        <v>1280</v>
      </c>
      <c r="BQ20" s="1440">
        <v>4190065</v>
      </c>
      <c r="BR20" s="1223" t="s">
        <v>1426</v>
      </c>
      <c r="BS20" s="1588"/>
      <c r="BT20" s="1440">
        <v>4189672</v>
      </c>
      <c r="BU20" s="1223" t="s">
        <v>1427</v>
      </c>
      <c r="BV20" s="1225"/>
      <c r="BW20" s="1854">
        <v>4189705</v>
      </c>
      <c r="BX20" s="1852" t="s">
        <v>1428</v>
      </c>
      <c r="BZ20" s="1440">
        <v>4189713</v>
      </c>
      <c r="CA20" s="1223" t="s">
        <v>1428</v>
      </c>
      <c r="CC20" s="1440">
        <v>4189709</v>
      </c>
      <c r="CD20" s="1223" t="s">
        <v>1429</v>
      </c>
    </row>
    <row customHeight="1" ht="21">
      <c r="A21" s="1229" t="s">
        <v>1430</v>
      </c>
      <c r="B21" s="1230">
        <v>2019</v>
      </c>
      <c r="I21" s="1231" t="s">
        <v>1431</v>
      </c>
      <c r="N21" s="1314" t="s">
        <v>1432</v>
      </c>
      <c r="AW21" s="1276" t="s">
        <v>1422</v>
      </c>
      <c r="AX21" s="1276" t="s">
        <v>1422</v>
      </c>
      <c r="AZ21" s="1276" t="s">
        <v>1433</v>
      </c>
      <c r="BB21" s="1276" t="s">
        <v>1434</v>
      </c>
      <c r="BC21" s="1276" t="s">
        <v>1240</v>
      </c>
      <c r="BE21" s="1276">
        <v>2019</v>
      </c>
      <c r="BH21" s="1223" t="s">
        <v>1359</v>
      </c>
      <c r="BJ21" s="1223" t="s">
        <v>1296</v>
      </c>
      <c r="BL21" s="1223" t="s">
        <v>1296</v>
      </c>
      <c r="BQ21" s="1440">
        <v>4190066</v>
      </c>
      <c r="BR21" s="1223" t="s">
        <v>1435</v>
      </c>
      <c r="BS21" s="1588"/>
      <c r="BT21" s="1440">
        <v>4189673</v>
      </c>
      <c r="BU21" s="1223" t="s">
        <v>1436</v>
      </c>
      <c r="BV21" s="1225"/>
      <c r="BW21" s="1854">
        <v>4189707</v>
      </c>
      <c r="BX21" s="1852" t="s">
        <v>1437</v>
      </c>
      <c r="BZ21" s="1440">
        <v>4189712</v>
      </c>
      <c r="CA21" s="1223" t="s">
        <v>1438</v>
      </c>
      <c r="CC21" s="1440">
        <v>4189710</v>
      </c>
      <c r="CD21" s="1223" t="s">
        <v>1439</v>
      </c>
    </row>
    <row customHeight="1" ht="21">
      <c r="A22" s="1229" t="s">
        <v>1440</v>
      </c>
      <c r="B22" s="1230">
        <v>2020</v>
      </c>
      <c r="N22" s="1314" t="s">
        <v>1441</v>
      </c>
      <c r="AW22" s="1276" t="s">
        <v>1431</v>
      </c>
      <c r="AX22" s="1276" t="s">
        <v>1431</v>
      </c>
      <c r="AZ22" s="1276" t="s">
        <v>1442</v>
      </c>
      <c r="BB22" s="1276" t="s">
        <v>1443</v>
      </c>
      <c r="BC22" s="1276" t="s">
        <v>1240</v>
      </c>
      <c r="BE22" s="1276">
        <v>2020</v>
      </c>
      <c r="BH22" s="1223" t="s">
        <v>1366</v>
      </c>
      <c r="BJ22" s="1223" t="s">
        <v>1312</v>
      </c>
      <c r="BL22" s="1223" t="s">
        <v>1312</v>
      </c>
      <c r="BQ22" s="1440">
        <v>4190067</v>
      </c>
      <c r="BR22" s="1223" t="s">
        <v>1444</v>
      </c>
      <c r="BS22" s="1588"/>
      <c r="BT22" s="1440">
        <v>4189674</v>
      </c>
      <c r="BU22" s="1223" t="s">
        <v>1445</v>
      </c>
      <c r="BV22" s="1225"/>
      <c r="BW22" s="1225"/>
      <c r="CC22" s="1440">
        <v>4189711</v>
      </c>
      <c r="CD22" s="1223" t="s">
        <v>293</v>
      </c>
    </row>
    <row customHeight="1" ht="21">
      <c r="A23" s="1229" t="s">
        <v>1446</v>
      </c>
      <c r="B23" s="1230">
        <v>2021</v>
      </c>
      <c r="AW23" s="1276" t="s">
        <v>1447</v>
      </c>
      <c r="AX23" s="1276" t="s">
        <v>1447</v>
      </c>
      <c r="AZ23" s="1276" t="s">
        <v>1448</v>
      </c>
      <c r="BB23" s="1276" t="s">
        <v>1449</v>
      </c>
      <c r="BC23" s="1276" t="s">
        <v>1148</v>
      </c>
      <c r="BE23" s="1276">
        <v>2021</v>
      </c>
      <c r="BH23" s="1223" t="s">
        <v>1374</v>
      </c>
      <c r="BJ23" s="1223" t="s">
        <v>1327</v>
      </c>
      <c r="BL23" s="1223" t="s">
        <v>1327</v>
      </c>
      <c r="BQ23" s="1440">
        <v>4190068</v>
      </c>
      <c r="BR23" s="1223" t="s">
        <v>1450</v>
      </c>
      <c r="BS23" s="1588"/>
      <c r="BT23" s="1440">
        <v>4189675</v>
      </c>
      <c r="BU23" s="1223" t="s">
        <v>1451</v>
      </c>
      <c r="BV23" s="1225"/>
      <c r="BW23" s="1225"/>
      <c r="CC23" s="1440">
        <v>5110778</v>
      </c>
      <c r="CD23" s="1223" t="s">
        <v>1452</v>
      </c>
    </row>
    <row customHeight="1" ht="21">
      <c r="A24" s="1229" t="s">
        <v>1453</v>
      </c>
      <c r="B24" s="1230">
        <v>2022</v>
      </c>
      <c r="AW24" s="1276" t="s">
        <v>1454</v>
      </c>
      <c r="AX24" s="1276" t="s">
        <v>1454</v>
      </c>
      <c r="AZ24" s="1276" t="s">
        <v>1455</v>
      </c>
      <c r="BB24" s="1276" t="s">
        <v>1456</v>
      </c>
      <c r="BC24" s="1276" t="s">
        <v>1457</v>
      </c>
      <c r="BE24" s="1276">
        <v>2022</v>
      </c>
      <c r="BH24" s="1223" t="s">
        <v>1383</v>
      </c>
      <c r="BJ24" s="1223" t="s">
        <v>1341</v>
      </c>
      <c r="BL24" s="1223" t="s">
        <v>1341</v>
      </c>
      <c r="BQ24" s="1440">
        <v>4190069</v>
      </c>
      <c r="BR24" s="1223" t="s">
        <v>1458</v>
      </c>
      <c r="BS24" s="1588"/>
      <c r="BT24" s="1440">
        <v>4189676</v>
      </c>
      <c r="BU24" s="1223" t="s">
        <v>1459</v>
      </c>
      <c r="BV24" s="1225"/>
      <c r="BW24" s="1225"/>
      <c r="CC24" s="1440">
        <v>25575374</v>
      </c>
      <c r="CD24" s="1223" t="s">
        <v>1460</v>
      </c>
    </row>
    <row customHeight="1" ht="11.25">
      <c r="A25" s="1229" t="s">
        <v>1461</v>
      </c>
      <c r="B25" s="1230">
        <v>2023</v>
      </c>
      <c r="AW25" s="1276" t="s">
        <v>1462</v>
      </c>
      <c r="AX25" s="1276" t="s">
        <v>1462</v>
      </c>
      <c r="AZ25" s="1276" t="s">
        <v>1463</v>
      </c>
      <c r="BB25" s="1276" t="s">
        <v>1464</v>
      </c>
      <c r="BC25" s="1276" t="s">
        <v>1457</v>
      </c>
      <c r="BE25" s="1276">
        <v>2023</v>
      </c>
      <c r="BH25" s="1223" t="s">
        <v>1390</v>
      </c>
      <c r="BJ25" s="1223" t="s">
        <v>1414</v>
      </c>
      <c r="BL25" s="1223" t="s">
        <v>1414</v>
      </c>
      <c r="BQ25" s="1440">
        <v>4190070</v>
      </c>
      <c r="BR25" s="1223" t="s">
        <v>1465</v>
      </c>
      <c r="BS25" s="1588"/>
      <c r="BT25" s="1440">
        <v>4189677</v>
      </c>
      <c r="BU25" s="1223" t="s">
        <v>1466</v>
      </c>
      <c r="BV25" s="1225"/>
      <c r="BW25" s="1225"/>
    </row>
    <row customHeight="1" ht="11.25">
      <c r="A26" s="1229" t="s">
        <v>1467</v>
      </c>
      <c r="B26" s="1230">
        <v>2024</v>
      </c>
      <c r="J26" s="1890" t="s">
        <v>1468</v>
      </c>
      <c r="AX26" s="1276" t="s">
        <v>1469</v>
      </c>
      <c r="AZ26" s="1276" t="s">
        <v>1334</v>
      </c>
      <c r="BB26" s="1276" t="s">
        <v>1470</v>
      </c>
      <c r="BC26" s="1276" t="s">
        <v>1457</v>
      </c>
      <c r="BE26" s="1276">
        <v>2024</v>
      </c>
      <c r="BH26" s="1223" t="s">
        <v>1400</v>
      </c>
      <c r="BJ26" s="1223" t="s">
        <v>1352</v>
      </c>
      <c r="BL26" s="1223" t="s">
        <v>1352</v>
      </c>
      <c r="BQ26" s="1440">
        <v>4190071</v>
      </c>
      <c r="BR26" s="1223" t="s">
        <v>1471</v>
      </c>
      <c r="BS26" s="1588"/>
      <c r="BV26" s="1225"/>
      <c r="BW26" s="1225"/>
    </row>
    <row customHeight="1" ht="11.25">
      <c r="A27" s="1229" t="s">
        <v>1472</v>
      </c>
      <c r="B27" s="1230">
        <v>2025</v>
      </c>
      <c r="J27" s="331" t="s">
        <v>542</v>
      </c>
      <c r="AX27" s="1276" t="s">
        <v>1473</v>
      </c>
      <c r="BB27" s="1276" t="s">
        <v>1474</v>
      </c>
      <c r="BC27" s="1276" t="s">
        <v>1457</v>
      </c>
      <c r="BE27" s="1276">
        <v>2025</v>
      </c>
      <c r="BH27" s="1225" t="s">
        <v>24</v>
      </c>
      <c r="BJ27" s="1223" t="s">
        <v>1359</v>
      </c>
      <c r="BL27" s="1223" t="s">
        <v>1359</v>
      </c>
      <c r="BN27" s="1225" t="s">
        <v>24</v>
      </c>
      <c r="BQ27" s="1440">
        <v>4190072</v>
      </c>
      <c r="BR27" s="1223" t="s">
        <v>1475</v>
      </c>
      <c r="BS27" s="1588"/>
      <c r="BV27" s="1225"/>
      <c r="BW27" s="1225"/>
    </row>
    <row customHeight="1" ht="11.25">
      <c r="A28" s="1229" t="s">
        <v>1476</v>
      </c>
      <c r="D28" s="1256"/>
      <c r="E28" s="1257"/>
      <c r="F28" s="1257"/>
      <c r="H28" s="1258" t="s">
        <v>1477</v>
      </c>
      <c r="AX28" s="1276" t="s">
        <v>1478</v>
      </c>
      <c r="AZ28" s="1222" t="s">
        <v>1479</v>
      </c>
      <c r="BB28" s="1276" t="s">
        <v>1480</v>
      </c>
      <c r="BC28" s="1276" t="s">
        <v>1481</v>
      </c>
      <c r="BE28" s="1276">
        <v>2026</v>
      </c>
      <c r="BH28" s="1225" t="s">
        <v>24</v>
      </c>
      <c r="BJ28" s="1223" t="s">
        <v>1366</v>
      </c>
      <c r="BL28" s="1223" t="s">
        <v>1366</v>
      </c>
      <c r="BN28" s="1225" t="s">
        <v>24</v>
      </c>
      <c r="BQ28" s="1440">
        <v>4190073</v>
      </c>
      <c r="BR28" s="1223" t="s">
        <v>1482</v>
      </c>
      <c r="BS28" s="1588"/>
      <c r="BV28" s="1225"/>
      <c r="BW28" s="1225"/>
    </row>
    <row customHeight="1" ht="11.25">
      <c r="A29" s="1229" t="s">
        <v>1483</v>
      </c>
      <c r="D29" s="1259" t="s">
        <v>1484</v>
      </c>
      <c r="E29" s="1260" t="str">
        <f>IF(TEMPLATE_GROUP="","",INDEX(StartDateList,MATCH(TEMPLATE_GROUP,CodeTemplateList,0),1))</f>
        <v>45292.600011574075</v>
      </c>
      <c r="F29" s="1260" t="str">
        <f>IF(TEMPLATE_GROUP="","",INDEX(EndDateList,MATCH(TEMPLATE_GROUP,CodeTemplateList,0),1))</f>
        <v>45657.603854166664</v>
      </c>
      <c r="H29" s="1261" t="s">
        <v>1485</v>
      </c>
      <c r="AX29" s="1276" t="s">
        <v>1486</v>
      </c>
      <c r="AZ29" s="1276" t="s">
        <v>1132</v>
      </c>
      <c r="BB29" s="1276" t="s">
        <v>1334</v>
      </c>
      <c r="BC29" s="1246"/>
      <c r="BE29" s="1276">
        <v>2027</v>
      </c>
      <c r="BJ29" s="1223" t="s">
        <v>1374</v>
      </c>
      <c r="BL29" s="1223" t="s">
        <v>1374</v>
      </c>
    </row>
    <row customHeight="1" ht="11.25">
      <c r="A30" s="1229" t="s">
        <v>1487</v>
      </c>
      <c r="D30" s="1262"/>
      <c r="E30" s="1263"/>
      <c r="F30" s="1263"/>
      <c r="AX30" s="1276" t="s">
        <v>1488</v>
      </c>
      <c r="AZ30" s="1276" t="s">
        <v>1160</v>
      </c>
      <c r="BE30" s="1276">
        <v>2028</v>
      </c>
      <c r="BJ30" s="1223" t="s">
        <v>1489</v>
      </c>
      <c r="BL30" s="1223" t="s">
        <v>1489</v>
      </c>
    </row>
    <row customHeight="1" ht="12.75">
      <c r="A31" s="1229" t="s">
        <v>1490</v>
      </c>
      <c r="D31" s="1256"/>
      <c r="E31" s="1257"/>
      <c r="F31" s="1257"/>
      <c r="H31" s="1264"/>
      <c r="AX31" s="1276" t="s">
        <v>1491</v>
      </c>
      <c r="AZ31" s="1276" t="s">
        <v>541</v>
      </c>
      <c r="BE31" s="1276">
        <v>2029</v>
      </c>
      <c r="BJ31" s="1223" t="s">
        <v>1492</v>
      </c>
      <c r="BL31" s="1223" t="s">
        <v>1492</v>
      </c>
    </row>
    <row customHeight="1" ht="11.25">
      <c r="A32" s="1229" t="s">
        <v>1493</v>
      </c>
      <c r="D32" s="1259" t="s">
        <v>1494</v>
      </c>
      <c r="E32" s="1260" t="str">
        <f>IF(TEMPLATE_GROUP="","",INDEX(StartDateList,MATCH(TEMPLATE_GROUP,CodeTemplateList,0),1))</f>
        <v>45292.600011574075</v>
      </c>
      <c r="F32" s="1260" t="str">
        <f>IF(TEMPLATE_GROUP="","",INDEX(EndDateList,MATCH(TEMPLATE_GROUP,CodeTemplateList,0),1))</f>
        <v>45657.603854166664</v>
      </c>
      <c r="H32" s="1265" t="s">
        <v>1495</v>
      </c>
      <c r="O32" s="1229" t="s">
        <v>1131</v>
      </c>
      <c r="AX32" s="1276" t="s">
        <v>1496</v>
      </c>
      <c r="AZ32" s="1276" t="s">
        <v>1228</v>
      </c>
      <c r="BE32" s="1276">
        <v>2030</v>
      </c>
      <c r="BJ32" s="1223" t="s">
        <v>1383</v>
      </c>
      <c r="BL32" s="1223" t="s">
        <v>1383</v>
      </c>
    </row>
    <row customHeight="1" ht="11.25">
      <c r="A33" s="1229" t="s">
        <v>1497</v>
      </c>
      <c r="O33" s="1229" t="s">
        <v>1157</v>
      </c>
      <c r="AX33" s="1276" t="s">
        <v>1498</v>
      </c>
      <c r="AZ33" s="1276" t="s">
        <v>543</v>
      </c>
      <c r="BE33" s="1276">
        <v>2031</v>
      </c>
      <c r="BJ33" s="1223" t="s">
        <v>1390</v>
      </c>
      <c r="BL33" s="1223" t="s">
        <v>1390</v>
      </c>
    </row>
    <row customHeight="1" ht="11.25">
      <c r="A34" s="1229" t="s">
        <v>1499</v>
      </c>
      <c r="O34" s="1229" t="s">
        <v>1193</v>
      </c>
      <c r="AX34" s="1276" t="s">
        <v>1500</v>
      </c>
      <c r="BE34" s="1276">
        <v>2032</v>
      </c>
      <c r="BJ34" s="1223" t="s">
        <v>1400</v>
      </c>
      <c r="BL34" s="1223" t="s">
        <v>1400</v>
      </c>
    </row>
    <row customHeight="1" ht="11.25">
      <c r="A35" s="1229" t="s">
        <v>1501</v>
      </c>
      <c r="O35" s="1229" t="s">
        <v>1226</v>
      </c>
      <c r="AX35" s="1276" t="s">
        <v>1502</v>
      </c>
      <c r="AZ35" s="1222" t="s">
        <v>1503</v>
      </c>
      <c r="BE35" s="1276">
        <v>2033</v>
      </c>
      <c r="BL35" s="1223" t="s">
        <v>1504</v>
      </c>
    </row>
    <row customHeight="1" ht="11.25">
      <c r="A36" s="2030" t="s">
        <v>1505</v>
      </c>
      <c r="D36" s="1266" t="s">
        <v>1506</v>
      </c>
      <c r="E36" s="1267" t="s">
        <v>810</v>
      </c>
      <c r="F36" s="1268" t="str">
        <f>INDEX(E37:E41,MATCH(TEMPLATE_SPHERE,F37:F41,0))</f>
        <v>горячего водоснабжения</v>
      </c>
      <c r="G36" s="1268" t="str">
        <f>INDEX(G37:G41,MATCH(TEMPLATE_SPHERE,F37:F41,0))</f>
        <v>горячее водоснабжение</v>
      </c>
      <c r="O36" s="1229" t="s">
        <v>1251</v>
      </c>
      <c r="AX36" s="1276" t="s">
        <v>1507</v>
      </c>
      <c r="AZ36" s="1276" t="s">
        <v>543</v>
      </c>
      <c r="BE36" s="1276">
        <v>2034</v>
      </c>
      <c r="BL36" s="1223" t="s">
        <v>1508</v>
      </c>
    </row>
    <row customHeight="1" ht="11.25">
      <c r="A37" s="1229" t="s">
        <v>1509</v>
      </c>
      <c r="E37" s="561" t="s">
        <v>1510</v>
      </c>
      <c r="F37" s="1269" t="s">
        <v>723</v>
      </c>
      <c r="G37" s="561" t="s">
        <v>1511</v>
      </c>
      <c r="O37" s="1229" t="s">
        <v>1270</v>
      </c>
      <c r="AX37" s="1276" t="s">
        <v>1512</v>
      </c>
      <c r="AZ37" s="1276" t="s">
        <v>1159</v>
      </c>
      <c r="BE37" s="1276">
        <v>2035</v>
      </c>
    </row>
    <row customHeight="1" ht="11.25">
      <c r="A38" s="1229" t="s">
        <v>1513</v>
      </c>
      <c r="E38" s="561" t="s">
        <v>1514</v>
      </c>
      <c r="F38" s="1270" t="s">
        <v>769</v>
      </c>
      <c r="G38" s="561" t="s">
        <v>1515</v>
      </c>
      <c r="O38" s="1229" t="s">
        <v>1287</v>
      </c>
      <c r="AX38" s="1276" t="s">
        <v>1516</v>
      </c>
      <c r="AZ38" s="1276" t="s">
        <v>1194</v>
      </c>
      <c r="BE38" s="1276">
        <v>2036</v>
      </c>
      <c r="BH38" s="1222" t="s">
        <v>1517</v>
      </c>
      <c r="BJ38" s="1222" t="s">
        <v>1518</v>
      </c>
      <c r="BL38" s="1222" t="s">
        <v>1519</v>
      </c>
      <c r="BN38" s="1222" t="s">
        <v>1520</v>
      </c>
    </row>
    <row customHeight="1" ht="11.25">
      <c r="A39" s="1229" t="s">
        <v>1521</v>
      </c>
      <c r="E39" s="561" t="s">
        <v>1522</v>
      </c>
      <c r="F39" s="1270" t="s">
        <v>824</v>
      </c>
      <c r="G39" s="561" t="s">
        <v>1523</v>
      </c>
      <c r="O39" s="1229" t="s">
        <v>1303</v>
      </c>
      <c r="AX39" s="1276" t="s">
        <v>1524</v>
      </c>
      <c r="AZ39" s="1276" t="s">
        <v>1227</v>
      </c>
      <c r="BE39" s="1276">
        <v>2037</v>
      </c>
      <c r="BH39" s="1223" t="s">
        <v>1525</v>
      </c>
      <c r="BJ39" s="1375" t="s">
        <v>1525</v>
      </c>
      <c r="BL39" s="1375" t="s">
        <v>1525</v>
      </c>
      <c r="BN39" s="1223" t="s">
        <v>1526</v>
      </c>
    </row>
    <row customHeight="1" ht="11.25">
      <c r="A40" s="1229" t="s">
        <v>1527</v>
      </c>
      <c r="E40" s="561" t="s">
        <v>1528</v>
      </c>
      <c r="F40" s="1270" t="s">
        <v>810</v>
      </c>
      <c r="G40" s="561" t="s">
        <v>1529</v>
      </c>
      <c r="O40" s="1229" t="s">
        <v>1319</v>
      </c>
      <c r="AX40" s="1276" t="s">
        <v>1530</v>
      </c>
      <c r="BE40" s="1276">
        <v>2038</v>
      </c>
      <c r="BH40" s="1223" t="s">
        <v>1531</v>
      </c>
      <c r="BJ40" s="1375" t="s">
        <v>945</v>
      </c>
      <c r="BL40" s="1375" t="s">
        <v>945</v>
      </c>
      <c r="BN40" s="1223" t="s">
        <v>979</v>
      </c>
    </row>
    <row customHeight="1" ht="11.25">
      <c r="A41" s="1229" t="s">
        <v>1532</v>
      </c>
      <c r="E41" s="561" t="s">
        <v>1533</v>
      </c>
      <c r="F41" s="1270" t="s">
        <v>1534</v>
      </c>
      <c r="G41" s="561" t="s">
        <v>1533</v>
      </c>
      <c r="O41" s="1229" t="s">
        <v>1334</v>
      </c>
      <c r="AX41" s="1276" t="s">
        <v>1535</v>
      </c>
      <c r="AZ41" s="1222" t="s">
        <v>1536</v>
      </c>
      <c r="BE41" s="1276">
        <v>2039</v>
      </c>
      <c r="BH41" s="1223" t="s">
        <v>1537</v>
      </c>
      <c r="BJ41" s="1375" t="s">
        <v>941</v>
      </c>
      <c r="BL41" s="1375" t="s">
        <v>941</v>
      </c>
      <c r="BN41" s="1223" t="s">
        <v>966</v>
      </c>
    </row>
    <row customHeight="1" ht="11.25">
      <c r="A42" s="1229" t="s">
        <v>1538</v>
      </c>
      <c r="AX42" s="1276" t="s">
        <v>1539</v>
      </c>
      <c r="AZ42" s="1276" t="s">
        <v>1131</v>
      </c>
      <c r="BE42" s="1276">
        <v>2040</v>
      </c>
      <c r="BH42" s="1223" t="s">
        <v>963</v>
      </c>
      <c r="BJ42" s="1375" t="s">
        <v>943</v>
      </c>
      <c r="BL42" s="1375" t="s">
        <v>943</v>
      </c>
      <c r="BN42" s="1223" t="s">
        <v>1540</v>
      </c>
    </row>
    <row customHeight="1" ht="11.25">
      <c r="A43" s="1229" t="s">
        <v>1541</v>
      </c>
      <c r="AX43" s="1276" t="s">
        <v>1542</v>
      </c>
      <c r="AZ43" s="1276" t="s">
        <v>1157</v>
      </c>
      <c r="BE43" s="1276">
        <v>2041</v>
      </c>
      <c r="BH43" s="1223" t="s">
        <v>1543</v>
      </c>
      <c r="BJ43" s="1375" t="s">
        <v>1537</v>
      </c>
      <c r="BL43" s="1375" t="s">
        <v>1537</v>
      </c>
      <c r="BN43" s="1223" t="s">
        <v>1544</v>
      </c>
    </row>
    <row customHeight="1" ht="11.25">
      <c r="A44" s="1229" t="s">
        <v>1545</v>
      </c>
      <c r="I44" s="953" t="s">
        <v>1546</v>
      </c>
      <c r="J44" s="1244" t="s">
        <v>1547</v>
      </c>
      <c r="K44" s="1244" t="s">
        <v>1548</v>
      </c>
      <c r="AX44" s="1276" t="s">
        <v>1549</v>
      </c>
      <c r="AZ44" s="1276" t="s">
        <v>1193</v>
      </c>
      <c r="BE44" s="1276">
        <v>2042</v>
      </c>
      <c r="BH44" s="1223" t="s">
        <v>1550</v>
      </c>
      <c r="BJ44" s="1375" t="s">
        <v>963</v>
      </c>
      <c r="BL44" s="1375" t="s">
        <v>963</v>
      </c>
      <c r="BN44" s="1223" t="s">
        <v>1551</v>
      </c>
    </row>
    <row customHeight="1" ht="11.25">
      <c r="A45" s="1229" t="s">
        <v>1552</v>
      </c>
      <c r="D45" s="1266" t="s">
        <v>1553</v>
      </c>
      <c r="E45" s="1267" t="s">
        <v>1554</v>
      </c>
      <c r="F45" s="951" t="s">
        <v>1555</v>
      </c>
      <c r="G45" s="950" t="s">
        <v>1556</v>
      </c>
      <c r="H45" s="953" t="s">
        <v>1557</v>
      </c>
      <c r="I45" s="1900">
        <f>INDEX(PeriodIsEmptyList,MATCH(TEMPLATE_GROUP,CodeTemplateList,0),1)</f>
        <v>0</v>
      </c>
      <c r="J45" s="1903" t="str">
        <f>INDEX(NameTemplatesInTitleList,MATCH(TEMPLATE_GROUP,CodeTemplateList,0),1)</f>
        <v>Показатели, подлежащие раскрытию в сфере горячего водоснабжения (цены и тарифы)</v>
      </c>
      <c r="K45" s="1903" t="str">
        <f>"Перечень муниципальных районов и муниципальных образований (территорий "&amp;IF(OR(TEMPLATE_GROUP="P",TEMPLATE_GROUP="R",TEMPLATE_GROUP="Q"),"действия тарифа","оказания услуг")&amp;")"</f>
        <v>Перечень муниципальных районов и муниципальных образований (территорий действия тарифа)</v>
      </c>
      <c r="AX45" s="1276" t="s">
        <v>1558</v>
      </c>
      <c r="AZ45" s="1276" t="s">
        <v>1226</v>
      </c>
      <c r="BE45" s="1276">
        <v>2043</v>
      </c>
      <c r="BH45" s="1223" t="s">
        <v>1559</v>
      </c>
      <c r="BJ45" s="1375" t="s">
        <v>957</v>
      </c>
      <c r="BL45" s="1375" t="s">
        <v>957</v>
      </c>
      <c r="BN45" s="1223" t="s">
        <v>1560</v>
      </c>
    </row>
    <row customHeight="1" ht="11.25">
      <c r="A46" s="1229" t="s">
        <v>1561</v>
      </c>
      <c r="E46" s="561" t="s">
        <v>22</v>
      </c>
      <c r="F46" s="1269" t="s">
        <v>1562</v>
      </c>
      <c r="G46" s="1271"/>
      <c r="H46" s="1271"/>
      <c r="I46" s="1901">
        <f>IF(TITLE_DATE_FIL="",TRUE,FALSE)</f>
        <v>1</v>
      </c>
      <c r="J46" s="1904" t="str">
        <f>"Общая информация о регулируемой организации ("&amp;TEMPLATE_SPHERE_RUS&amp;")"</f>
        <v>Общая информация о регулируемой организации (горячего водоснабжения)</v>
      </c>
      <c r="K46" s="1905"/>
      <c r="AX46" s="1276" t="s">
        <v>1563</v>
      </c>
      <c r="AZ46" s="1276" t="s">
        <v>1251</v>
      </c>
      <c r="BE46" s="1276">
        <v>2044</v>
      </c>
      <c r="BH46" s="1223" t="s">
        <v>966</v>
      </c>
      <c r="BJ46" s="1375" t="s">
        <v>947</v>
      </c>
      <c r="BL46" s="1375" t="s">
        <v>947</v>
      </c>
      <c r="BN46" s="1223" t="s">
        <v>1564</v>
      </c>
    </row>
    <row customHeight="1" ht="11.25">
      <c r="A47" s="1229" t="s">
        <v>1565</v>
      </c>
      <c r="E47" s="561" t="s">
        <v>29</v>
      </c>
      <c r="F47" s="1270" t="s">
        <v>1566</v>
      </c>
      <c r="G47" s="1272" t="str">
        <f>IF(f_year="","",IF(LEN(f_quart)=0,"",IF(f_quart="I квартал","01.01."&amp;f_year,IF(f_quart="II квартал","01.04."&amp;f_year,(IF(f_quart="III квартал","01.07."&amp;f_year,"01.10."&amp;f_year))))))</f>
        <v/>
      </c>
      <c r="H47" s="1272" t="str">
        <f>IF(f_year="","",IF(LEN(f_quart)=0,"",IF(f_quart="I квартал","31.03."&amp;f_year,IF(f_quart="II квартал","30.06."&amp;f_year,(IF(f_quart="III квартал","30.09."&amp;f_year,"31.12."&amp;f_year))))))</f>
        <v/>
      </c>
      <c r="I47" s="1902">
        <f>IF(OR(f_year="",f_quart=""),TRUE,FALSE)</f>
        <v>1</v>
      </c>
      <c r="J47" s="1904" t="str">
        <f>"Информация о наличии (отсутствии) технической возможности подключения к централизованной системе "&amp;TEMPLATE_SPHERE_RUS&amp;", а также о регистрации и ходе реализации заявок о подключении к централизованной системе "&amp;TEMPLATE_SPHERE_RUS</f>
        <v>Информация о наличии (отсутствии) технической возможности подключения к централизованной системе горячего водоснабжения, а также о регистрации и ходе реализации заявок о подключении к централизованной системе горячего водоснабжения</v>
      </c>
      <c r="K47" s="1905"/>
      <c r="AX47" s="1276" t="s">
        <v>1567</v>
      </c>
      <c r="AZ47" s="1276" t="s">
        <v>1270</v>
      </c>
      <c r="BE47" s="1276">
        <v>2045</v>
      </c>
      <c r="BH47" s="1223" t="s">
        <v>1540</v>
      </c>
      <c r="BJ47" s="1375" t="s">
        <v>949</v>
      </c>
      <c r="BL47" s="1375" t="s">
        <v>949</v>
      </c>
      <c r="BN47" s="1223" t="s">
        <v>1568</v>
      </c>
    </row>
    <row customHeight="1" ht="11.25">
      <c r="A48" s="1229" t="s">
        <v>1569</v>
      </c>
      <c r="E48" s="561" t="s">
        <v>1570</v>
      </c>
      <c r="F48" s="1270" t="s">
        <v>1571</v>
      </c>
      <c r="G48" s="1272" t="str">
        <f>IF(f_year="","","01.01."&amp;f_year)</f>
        <v/>
      </c>
      <c r="H48" s="1272" t="str">
        <f>IF(f_year="","","31.12."&amp;f_year)</f>
        <v/>
      </c>
      <c r="I48" s="1901">
        <f>IF(f_year="",TRUE,FALSE)</f>
        <v>1</v>
      </c>
      <c r="J48" s="1904" t="s">
        <v>1572</v>
      </c>
      <c r="K48" s="1905"/>
      <c r="AX48" s="1276" t="s">
        <v>1573</v>
      </c>
      <c r="AZ48" s="1276" t="s">
        <v>1287</v>
      </c>
      <c r="BE48" s="1276">
        <v>2046</v>
      </c>
      <c r="BH48" s="1223" t="s">
        <v>1544</v>
      </c>
      <c r="BJ48" s="1375" t="s">
        <v>951</v>
      </c>
      <c r="BL48" s="1375" t="s">
        <v>951</v>
      </c>
      <c r="BN48" s="1223" t="s">
        <v>1574</v>
      </c>
    </row>
    <row customHeight="1" ht="11.25">
      <c r="A49" s="1229" t="s">
        <v>1575</v>
      </c>
      <c r="E49" s="561" t="s">
        <v>1576</v>
      </c>
      <c r="F49" s="1270" t="s">
        <v>1577</v>
      </c>
      <c r="G49" s="1272" t="str">
        <f>IF(f_year="","","01.01."&amp;f_year)</f>
        <v/>
      </c>
      <c r="H49" s="1272" t="str">
        <f>IF(f_year="","","31.12."&amp;f_year)</f>
        <v/>
      </c>
      <c r="I49" s="1901">
        <f>IF(f_year="",TRUE,FALSE)</f>
        <v>1</v>
      </c>
      <c r="J49" s="1904" t="str">
        <f>"Информация об условиях, на которых осуществляется поставка товаров (оказание услуг) в сфере "&amp;TEMPLATE_SPHERE_RUS</f>
        <v>Информация об условиях, на которых осуществляется поставка товаров (оказание услуг) в сфере горячего водоснабжения</v>
      </c>
      <c r="K49" s="1905"/>
      <c r="AX49" s="1276" t="s">
        <v>1578</v>
      </c>
      <c r="AZ49" s="1276" t="s">
        <v>1303</v>
      </c>
      <c r="BE49" s="1276">
        <v>2047</v>
      </c>
      <c r="BH49" s="1223" t="s">
        <v>967</v>
      </c>
      <c r="BJ49" s="1375" t="s">
        <v>953</v>
      </c>
      <c r="BL49" s="1375" t="s">
        <v>953</v>
      </c>
    </row>
    <row customHeight="1" ht="11.25">
      <c r="A50" s="1229" t="s">
        <v>1579</v>
      </c>
      <c r="E50" s="561" t="s">
        <v>1580</v>
      </c>
      <c r="F50" s="1270" t="s">
        <v>937</v>
      </c>
      <c r="G50" s="1272" t="str">
        <f>IF(f_year="","","01.01."&amp;f_year)</f>
        <v/>
      </c>
      <c r="H50" s="1272" t="str">
        <f>IF(f_year="","","31.12."&amp;f_year)</f>
        <v/>
      </c>
      <c r="I50" s="1901">
        <f>IF(f_year="",TRUE,FALSE)</f>
        <v>1</v>
      </c>
      <c r="J50" s="1904" t="str">
        <f>"Информация об инвестиционных программах регулируемой организации в области "&amp;TEMPLATE_SPHERE_RUS</f>
        <v>Информация об инвестиционных программах регулируемой организации в области горячего водоснабжения</v>
      </c>
      <c r="K50" s="1905"/>
      <c r="AX50" s="1276" t="s">
        <v>1581</v>
      </c>
      <c r="AZ50" s="1276" t="s">
        <v>1319</v>
      </c>
      <c r="BE50" s="1276">
        <v>2048</v>
      </c>
      <c r="BH50" s="1223" t="s">
        <v>1551</v>
      </c>
      <c r="BJ50" s="1375" t="s">
        <v>955</v>
      </c>
      <c r="BL50" s="1375" t="s">
        <v>955</v>
      </c>
    </row>
    <row customHeight="1" ht="11.25">
      <c r="A51" s="1229" t="s">
        <v>1582</v>
      </c>
      <c r="E51" s="561" t="s">
        <v>1583</v>
      </c>
      <c r="F51" s="1270" t="s">
        <v>1584</v>
      </c>
      <c r="G51" s="1272" t="str">
        <f>IF(TITLE_PERIOD_START="","",TITLE_PERIOD_START)</f>
        <v>45292.600011574075</v>
      </c>
      <c r="H51" s="1272" t="str">
        <f>IF(TITLE_PERIOD_END="","",TITLE_PERIOD_END)</f>
        <v>45657.603854166664</v>
      </c>
      <c r="I51" s="1902">
        <f>IF(OR(TITLE_PERIOD_START="",TITLE_PERIOD_END=""),TRUE,FALSE)</f>
        <v>0</v>
      </c>
      <c r="J51" s="1904" t="str">
        <f>"Предложение регулируемой организации об установлении тарифов в сфере "&amp;TEMPLATE_SPHERE_RUS&amp;", информация о способах приобретения, стоимости и объемах товаров, необходимых для производства регулируемых товаров и (или) оказания регулируемых услуг"</f>
        <v>Предложение регулируемой организации об установлении тарифов в сфере горячего водоснабжения,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K51" s="1905"/>
      <c r="AX51" s="1276" t="s">
        <v>1585</v>
      </c>
      <c r="AZ51" s="1276" t="s">
        <v>1334</v>
      </c>
      <c r="BE51" s="1276">
        <v>2049</v>
      </c>
      <c r="BH51" s="1223" t="s">
        <v>1560</v>
      </c>
      <c r="BJ51" s="1375" t="s">
        <v>1586</v>
      </c>
      <c r="BL51" s="1375" t="s">
        <v>1586</v>
      </c>
    </row>
    <row customHeight="1" ht="11.25">
      <c r="A52" s="1229" t="s">
        <v>1587</v>
      </c>
      <c r="E52" s="561" t="s">
        <v>1588</v>
      </c>
      <c r="F52" s="1270" t="s">
        <v>1554</v>
      </c>
      <c r="G52" s="1272" t="str">
        <f>IF(TITLE_PERIOD_START="","",TITLE_PERIOD_START)</f>
        <v>45292.600011574075</v>
      </c>
      <c r="H52" s="1272" t="str">
        <f>IF(TITLE_PERIOD_END="","",TITLE_PERIOD_END)</f>
        <v>45657.603854166664</v>
      </c>
      <c r="I52" s="1902">
        <f>IF(OR(TITLE_PERIOD_START="",TITLE_PERIOD_END=""),TRUE,FALSE)</f>
        <v>0</v>
      </c>
      <c r="J52" s="1904" t="str">
        <f>"Показатели, подлежащие раскрытию в сфере "&amp;TEMPLATE_SPHERE_RUS&amp;" (цены и тарифы)"</f>
        <v>Показатели, подлежащие раскрытию в сфере горячего водоснабжения (цены и тарифы)</v>
      </c>
      <c r="K52" s="1905"/>
      <c r="AX52" s="1276" t="s">
        <v>1589</v>
      </c>
      <c r="AZ52" s="1276" t="s">
        <v>543</v>
      </c>
      <c r="BE52" s="1276">
        <v>2050</v>
      </c>
      <c r="BH52" s="1223" t="s">
        <v>1564</v>
      </c>
      <c r="BJ52" s="1375" t="s">
        <v>966</v>
      </c>
      <c r="BL52" s="1375" t="s">
        <v>966</v>
      </c>
    </row>
    <row customHeight="1" ht="11.25">
      <c r="A53" s="1229" t="s">
        <v>1590</v>
      </c>
      <c r="E53" s="561" t="s">
        <v>1591</v>
      </c>
      <c r="F53" s="1270" t="s">
        <v>1591</v>
      </c>
      <c r="G53" s="1272" t="str">
        <f>IF(f_year="","","01.01."&amp;f_year)</f>
        <v/>
      </c>
      <c r="H53" s="1272" t="str">
        <f>IF(f_year="","","31.12."&amp;f_year)</f>
        <v/>
      </c>
      <c r="I53" s="1901">
        <f>IF(AND(f_year="",TITLE_DATE_FIL=""),TRUE,FALSE)</f>
        <v>1</v>
      </c>
      <c r="J53" s="1904" t="s">
        <v>1592</v>
      </c>
      <c r="K53" s="1905"/>
      <c r="AX53" s="1276" t="s">
        <v>1593</v>
      </c>
      <c r="BE53" s="1276">
        <v>2051</v>
      </c>
      <c r="BH53" s="1223" t="s">
        <v>1568</v>
      </c>
      <c r="BJ53" s="1375" t="s">
        <v>1540</v>
      </c>
      <c r="BL53" s="1375" t="s">
        <v>1540</v>
      </c>
    </row>
    <row customHeight="1" ht="11.25">
      <c r="A54" s="1229" t="s">
        <v>1594</v>
      </c>
      <c r="AX54" s="1276" t="s">
        <v>1595</v>
      </c>
      <c r="AZ54" s="1222" t="s">
        <v>1596</v>
      </c>
      <c r="BE54" s="1276">
        <v>2052</v>
      </c>
      <c r="BH54" s="1223" t="s">
        <v>1574</v>
      </c>
      <c r="BJ54" s="1375" t="s">
        <v>1544</v>
      </c>
      <c r="BL54" s="1375" t="s">
        <v>1544</v>
      </c>
    </row>
    <row customHeight="1" ht="11.25">
      <c r="A55" s="1229" t="s">
        <v>1597</v>
      </c>
      <c r="AX55" s="1276" t="s">
        <v>1598</v>
      </c>
      <c r="AZ55" s="1276" t="s">
        <v>1133</v>
      </c>
      <c r="BE55" s="1276">
        <v>2053</v>
      </c>
      <c r="BH55" s="1225" t="s">
        <v>24</v>
      </c>
      <c r="BJ55" s="1375" t="s">
        <v>967</v>
      </c>
      <c r="BL55" s="1375" t="s">
        <v>967</v>
      </c>
    </row>
    <row customHeight="1" ht="11.25">
      <c r="A56" s="1229" t="s">
        <v>1599</v>
      </c>
      <c r="D56" s="1274" t="s">
        <v>1600</v>
      </c>
      <c r="E56" s="1250">
        <v>55</v>
      </c>
      <c r="F56" s="1229" t="s">
        <v>1601</v>
      </c>
      <c r="AX56" s="1276" t="s">
        <v>1602</v>
      </c>
      <c r="AZ56" s="1276" t="s">
        <v>1161</v>
      </c>
      <c r="BE56" s="1276">
        <v>2054</v>
      </c>
      <c r="BH56" s="1225" t="s">
        <v>24</v>
      </c>
      <c r="BJ56" s="1375" t="s">
        <v>1551</v>
      </c>
      <c r="BL56" s="1375" t="s">
        <v>1551</v>
      </c>
    </row>
    <row customHeight="1" ht="11.25">
      <c r="A57" s="1229" t="s">
        <v>1603</v>
      </c>
      <c r="D57" s="1274" t="s">
        <v>1604</v>
      </c>
      <c r="E57" s="1250">
        <v>66</v>
      </c>
      <c r="F57" s="1229" t="s">
        <v>1601</v>
      </c>
      <c r="AX57" s="1276" t="s">
        <v>1605</v>
      </c>
      <c r="AZ57" s="1276" t="s">
        <v>1196</v>
      </c>
      <c r="BE57" s="1276">
        <v>2055</v>
      </c>
      <c r="BJ57" s="1375" t="s">
        <v>1560</v>
      </c>
      <c r="BL57" s="1375" t="s">
        <v>1560</v>
      </c>
    </row>
    <row customHeight="1" ht="11.25">
      <c r="A58" s="1229" t="s">
        <v>1606</v>
      </c>
      <c r="D58" s="1274" t="s">
        <v>1607</v>
      </c>
      <c r="E58" s="1250">
        <v>44</v>
      </c>
      <c r="F58" s="1229" t="s">
        <v>1601</v>
      </c>
      <c r="AX58" s="1276" t="s">
        <v>1608</v>
      </c>
      <c r="BE58" s="1276">
        <v>2056</v>
      </c>
      <c r="BJ58" s="1375" t="s">
        <v>1564</v>
      </c>
      <c r="BL58" s="1375" t="s">
        <v>1564</v>
      </c>
    </row>
    <row customHeight="1" ht="11.25">
      <c r="A59" s="1229" t="s">
        <v>1609</v>
      </c>
      <c r="D59" s="1274" t="s">
        <v>128</v>
      </c>
      <c r="E59" s="1250" t="s">
        <v>1431</v>
      </c>
      <c r="F59" s="1229" t="s">
        <v>1610</v>
      </c>
      <c r="AX59" s="1276" t="s">
        <v>1611</v>
      </c>
      <c r="AZ59" s="1222" t="s">
        <v>1612</v>
      </c>
      <c r="BE59" s="1276">
        <v>2057</v>
      </c>
      <c r="BJ59" s="1375" t="s">
        <v>1568</v>
      </c>
      <c r="BL59" s="1375" t="s">
        <v>1568</v>
      </c>
    </row>
    <row customHeight="1" ht="11.25">
      <c r="A60" s="1229" t="s">
        <v>1613</v>
      </c>
      <c r="D60" s="1274" t="s">
        <v>1614</v>
      </c>
      <c r="E60" s="1250" t="s">
        <v>1431</v>
      </c>
      <c r="F60" s="1229" t="s">
        <v>1610</v>
      </c>
      <c r="AX60" s="1276" t="s">
        <v>1615</v>
      </c>
      <c r="AZ60" s="1276" t="s">
        <v>1134</v>
      </c>
      <c r="BE60" s="1276">
        <v>2058</v>
      </c>
      <c r="BJ60" s="1375" t="s">
        <v>1574</v>
      </c>
      <c r="BL60" s="1375" t="s">
        <v>1574</v>
      </c>
    </row>
    <row customHeight="1" ht="11.25">
      <c r="A61" s="1229" t="s">
        <v>1616</v>
      </c>
      <c r="D61" s="1274" t="s">
        <v>1617</v>
      </c>
      <c r="E61" s="1250">
        <v>26</v>
      </c>
      <c r="F61" s="1229" t="s">
        <v>1610</v>
      </c>
      <c r="AX61" s="1276" t="s">
        <v>1618</v>
      </c>
      <c r="AZ61" s="1276" t="s">
        <v>1162</v>
      </c>
      <c r="BE61" s="1276">
        <v>2059</v>
      </c>
      <c r="BL61" s="1375" t="s">
        <v>959</v>
      </c>
    </row>
    <row customHeight="1" ht="11.25">
      <c r="A62" s="1229" t="s">
        <v>1619</v>
      </c>
      <c r="D62" s="1274" t="s">
        <v>127</v>
      </c>
      <c r="E62" s="1250">
        <v>30</v>
      </c>
      <c r="F62" s="1229" t="s">
        <v>1610</v>
      </c>
      <c r="AZ62" s="1276" t="s">
        <v>1197</v>
      </c>
      <c r="BE62" s="1276">
        <v>2060</v>
      </c>
      <c r="BL62" s="1375" t="s">
        <v>961</v>
      </c>
    </row>
    <row customHeight="1" ht="11.25">
      <c r="A63" s="1229" t="s">
        <v>1620</v>
      </c>
      <c r="D63" s="1274" t="s">
        <v>1621</v>
      </c>
      <c r="E63" s="1250">
        <v>30</v>
      </c>
      <c r="F63" s="1229" t="s">
        <v>1610</v>
      </c>
      <c r="AZ63" s="1276" t="s">
        <v>1229</v>
      </c>
      <c r="BE63" s="1276">
        <v>2061</v>
      </c>
    </row>
    <row customHeight="1" ht="11.25">
      <c r="A64" s="1229" t="s">
        <v>1622</v>
      </c>
      <c r="D64" s="1274" t="s">
        <v>1623</v>
      </c>
      <c r="E64" s="1250">
        <v>30</v>
      </c>
      <c r="F64" s="1229" t="s">
        <v>1610</v>
      </c>
      <c r="AZ64" s="1276" t="s">
        <v>1252</v>
      </c>
      <c r="BE64" s="1276">
        <v>2062</v>
      </c>
    </row>
    <row customHeight="1" ht="11.25">
      <c r="A65" s="1229" t="s">
        <v>1624</v>
      </c>
      <c r="D65" s="1229"/>
      <c r="BE65" s="1276">
        <v>2063</v>
      </c>
    </row>
    <row customHeight="1" ht="11.25">
      <c r="A66" s="1229" t="s">
        <v>1625</v>
      </c>
      <c r="AZ66" s="1222" t="s">
        <v>1626</v>
      </c>
      <c r="BE66" s="1276">
        <v>2064</v>
      </c>
    </row>
    <row customHeight="1" ht="11.25">
      <c r="A67" s="1229" t="s">
        <v>1627</v>
      </c>
      <c r="AZ67" s="1276" t="s">
        <v>1135</v>
      </c>
      <c r="BE67" s="1276">
        <v>2065</v>
      </c>
    </row>
    <row customHeight="1" ht="11.25">
      <c r="A68" s="1229" t="s">
        <v>14</v>
      </c>
      <c r="AZ68" s="1276" t="s">
        <v>1163</v>
      </c>
      <c r="BE68" s="1276">
        <v>2066</v>
      </c>
      <c r="BH68" s="1222" t="s">
        <v>1628</v>
      </c>
      <c r="BJ68" s="1222" t="s">
        <v>1629</v>
      </c>
      <c r="BL68" s="1222" t="s">
        <v>1630</v>
      </c>
      <c r="BN68" s="1222" t="s">
        <v>1631</v>
      </c>
    </row>
    <row customHeight="1" ht="11.25">
      <c r="A69" s="1229" t="s">
        <v>1632</v>
      </c>
      <c r="AZ69" s="1276" t="s">
        <v>1198</v>
      </c>
      <c r="BE69" s="1276">
        <v>2067</v>
      </c>
      <c r="BH69" s="1223" t="s">
        <v>1633</v>
      </c>
      <c r="BI69" s="1273" t="s">
        <v>106</v>
      </c>
      <c r="BJ69" s="1223" t="s">
        <v>1634</v>
      </c>
      <c r="BK69" s="1273" t="s">
        <v>106</v>
      </c>
      <c r="BL69" s="1223" t="s">
        <v>1635</v>
      </c>
      <c r="BN69" s="1223" t="s">
        <v>1636</v>
      </c>
    </row>
    <row customHeight="1" ht="11.25">
      <c r="A70" s="1229" t="s">
        <v>1637</v>
      </c>
      <c r="AZ70" s="1276" t="s">
        <v>1230</v>
      </c>
      <c r="BE70" s="1276">
        <v>2068</v>
      </c>
      <c r="BH70" s="1223" t="s">
        <v>1638</v>
      </c>
      <c r="BJ70" s="1223" t="s">
        <v>1639</v>
      </c>
      <c r="BL70" s="1223" t="s">
        <v>1640</v>
      </c>
      <c r="BN70" s="1223" t="s">
        <v>1641</v>
      </c>
    </row>
    <row customHeight="1" ht="11.25">
      <c r="A71" s="1229" t="s">
        <v>1642</v>
      </c>
      <c r="AZ71" s="1276" t="s">
        <v>1232</v>
      </c>
      <c r="BE71" s="1276">
        <v>2069</v>
      </c>
      <c r="BH71" s="1223" t="s">
        <v>1643</v>
      </c>
      <c r="BI71" s="1273" t="s">
        <v>87</v>
      </c>
      <c r="BJ71" s="1223" t="s">
        <v>1644</v>
      </c>
      <c r="BK71" s="1273" t="s">
        <v>87</v>
      </c>
      <c r="BL71" s="1223" t="s">
        <v>1645</v>
      </c>
      <c r="BN71" s="1223" t="s">
        <v>1646</v>
      </c>
    </row>
    <row customHeight="1" ht="11.25">
      <c r="A72" s="1229" t="s">
        <v>1647</v>
      </c>
      <c r="AZ72" s="1276" t="s">
        <v>54</v>
      </c>
      <c r="BE72" s="1276">
        <v>2070</v>
      </c>
      <c r="BH72" s="1223" t="s">
        <v>1648</v>
      </c>
      <c r="BJ72" s="1223" t="s">
        <v>1648</v>
      </c>
      <c r="BL72" s="1223" t="s">
        <v>1648</v>
      </c>
      <c r="BN72" s="1223" t="s">
        <v>1649</v>
      </c>
    </row>
    <row customHeight="1" ht="11.25">
      <c r="A73" s="1229" t="s">
        <v>1650</v>
      </c>
      <c r="BH73" s="1223" t="s">
        <v>1651</v>
      </c>
      <c r="BI73" s="1273" t="s">
        <v>108</v>
      </c>
      <c r="BJ73" s="1223" t="s">
        <v>1652</v>
      </c>
      <c r="BK73" s="1273" t="s">
        <v>108</v>
      </c>
      <c r="BL73" s="1223" t="s">
        <v>1653</v>
      </c>
      <c r="BN73" s="1223" t="s">
        <v>1654</v>
      </c>
    </row>
    <row customHeight="1" ht="11.25">
      <c r="A74" s="1229" t="s">
        <v>1655</v>
      </c>
      <c r="BH74" s="1223" t="s">
        <v>1656</v>
      </c>
      <c r="BJ74" s="1223" t="s">
        <v>1657</v>
      </c>
      <c r="BL74" s="1223" t="s">
        <v>1658</v>
      </c>
      <c r="BN74" s="1223" t="s">
        <v>1659</v>
      </c>
    </row>
    <row customHeight="1" ht="11.25">
      <c r="A75" s="1229" t="s">
        <v>1660</v>
      </c>
      <c r="AZ75" s="1222" t="s">
        <v>1661</v>
      </c>
      <c r="BH75" s="1223" t="s">
        <v>1662</v>
      </c>
      <c r="BJ75" s="1223" t="s">
        <v>1662</v>
      </c>
      <c r="BL75" s="1223" t="s">
        <v>1662</v>
      </c>
    </row>
    <row customHeight="1" ht="11.25">
      <c r="A76" s="1229" t="s">
        <v>1663</v>
      </c>
      <c r="AZ76" s="1276" t="s">
        <v>1144</v>
      </c>
      <c r="BH76" s="1223" t="s">
        <v>1664</v>
      </c>
      <c r="BJ76" s="1223" t="s">
        <v>1665</v>
      </c>
      <c r="BL76" s="1223" t="s">
        <v>1666</v>
      </c>
    </row>
    <row customHeight="1" ht="11.25">
      <c r="A77" s="1229" t="s">
        <v>1667</v>
      </c>
      <c r="AZ77" s="1276" t="s">
        <v>1173</v>
      </c>
    </row>
    <row customHeight="1" ht="11.25">
      <c r="A78" s="1229" t="s">
        <v>1668</v>
      </c>
      <c r="AZ78" s="1276" t="s">
        <v>1205</v>
      </c>
    </row>
    <row customHeight="1" ht="11.25">
      <c r="A79" s="1229" t="s">
        <v>1669</v>
      </c>
      <c r="AZ79" s="1276" t="s">
        <v>1236</v>
      </c>
      <c r="BH79" s="1222" t="s">
        <v>1670</v>
      </c>
      <c r="BJ79" s="1222" t="s">
        <v>1671</v>
      </c>
      <c r="BL79" s="1222" t="s">
        <v>1672</v>
      </c>
    </row>
    <row customHeight="1" ht="11.25">
      <c r="A80" s="1229" t="s">
        <v>1673</v>
      </c>
      <c r="AZ80" s="1276" t="s">
        <v>1257</v>
      </c>
      <c r="BH80" s="1223" t="s">
        <v>1674</v>
      </c>
      <c r="BJ80" s="1223" t="s">
        <v>1675</v>
      </c>
      <c r="BL80" s="1223" t="s">
        <v>1676</v>
      </c>
    </row>
    <row customHeight="1" ht="11.25">
      <c r="A81" s="1229" t="s">
        <v>1677</v>
      </c>
      <c r="AZ81" s="1276" t="s">
        <v>1274</v>
      </c>
      <c r="BH81" s="1223" t="s">
        <v>1678</v>
      </c>
      <c r="BJ81" s="1223" t="s">
        <v>1679</v>
      </c>
      <c r="BL81" s="1223" t="s">
        <v>1680</v>
      </c>
    </row>
    <row customHeight="1" ht="11.25">
      <c r="A82" s="1229" t="s">
        <v>1681</v>
      </c>
      <c r="AZ82" s="1276" t="s">
        <v>1289</v>
      </c>
      <c r="BH82" s="1223" t="s">
        <v>1682</v>
      </c>
      <c r="BJ82" s="1223" t="s">
        <v>1683</v>
      </c>
      <c r="BL82" s="1223" t="s">
        <v>1684</v>
      </c>
    </row>
    <row customHeight="1" ht="11.25">
      <c r="A83" s="1229" t="s">
        <v>1685</v>
      </c>
      <c r="BH83" s="1223" t="s">
        <v>1686</v>
      </c>
      <c r="BJ83" s="1223" t="s">
        <v>1687</v>
      </c>
      <c r="BL83" s="1223" t="s">
        <v>1688</v>
      </c>
    </row>
    <row customHeight="1" ht="11.25">
      <c r="A84" s="1229" t="s">
        <v>1689</v>
      </c>
      <c r="AZ84" s="1222" t="s">
        <v>1690</v>
      </c>
    </row>
    <row customHeight="1" ht="11.25">
      <c r="A85" s="2030" t="s">
        <v>1691</v>
      </c>
      <c r="AZ85" s="1276" t="s">
        <v>1692</v>
      </c>
    </row>
    <row customHeight="1" ht="11.25">
      <c r="A86" s="1229" t="s">
        <v>1693</v>
      </c>
      <c r="AZ86" s="1276" t="s">
        <v>1694</v>
      </c>
      <c r="BH86" s="1222" t="s">
        <v>1695</v>
      </c>
      <c r="BJ86" s="1222" t="s">
        <v>1696</v>
      </c>
      <c r="BL86" s="1222" t="s">
        <v>1697</v>
      </c>
    </row>
    <row customHeight="1" ht="11.25">
      <c r="A87" s="1229" t="s">
        <v>1698</v>
      </c>
      <c r="AZ87" s="1276" t="s">
        <v>1699</v>
      </c>
      <c r="BH87" s="1223" t="s">
        <v>1700</v>
      </c>
      <c r="BJ87" s="1223" t="s">
        <v>1701</v>
      </c>
      <c r="BL87" s="1223" t="s">
        <v>1702</v>
      </c>
    </row>
    <row customHeight="1" ht="11.25">
      <c r="A88" s="1229" t="s">
        <v>1703</v>
      </c>
      <c r="AZ88" s="1765"/>
      <c r="BH88" s="1223" t="s">
        <v>1704</v>
      </c>
      <c r="BJ88" s="1223" t="s">
        <v>1705</v>
      </c>
      <c r="BL88" s="1223" t="s">
        <v>1706</v>
      </c>
    </row>
    <row customHeight="1" ht="11.25">
      <c r="A89" s="1229" t="s">
        <v>1707</v>
      </c>
      <c r="AZ89" s="1222" t="s">
        <v>1708</v>
      </c>
    </row>
    <row customHeight="1" ht="11.25">
      <c r="A90" s="1229" t="s">
        <v>1709</v>
      </c>
      <c r="AZ90" s="1276" t="s">
        <v>937</v>
      </c>
    </row>
    <row customHeight="1" ht="11.25">
      <c r="A91" s="1229" t="s">
        <v>1710</v>
      </c>
      <c r="AZ91" s="1276" t="s">
        <v>973</v>
      </c>
      <c r="BH91" s="1222" t="s">
        <v>1711</v>
      </c>
      <c r="BJ91" s="1222" t="s">
        <v>1712</v>
      </c>
      <c r="BL91" s="1222" t="s">
        <v>1713</v>
      </c>
    </row>
    <row customHeight="1" ht="11.25">
      <c r="AZ92" s="1276" t="s">
        <v>1714</v>
      </c>
      <c r="BH92" s="1223" t="s">
        <v>1715</v>
      </c>
      <c r="BJ92" s="1223" t="s">
        <v>1716</v>
      </c>
      <c r="BL92" s="1223" t="s">
        <v>1717</v>
      </c>
    </row>
    <row customHeight="1" ht="11.25">
      <c r="AZ93" s="1276" t="s">
        <v>1718</v>
      </c>
      <c r="BH93" s="1223" t="s">
        <v>1719</v>
      </c>
      <c r="BJ93" s="1223" t="s">
        <v>1720</v>
      </c>
      <c r="BL93" s="1223" t="s">
        <v>1721</v>
      </c>
    </row>
    <row customHeight="1" ht="11.25">
      <c r="AZ94" s="1276" t="s">
        <v>1722</v>
      </c>
    </row>
    <row r="96" customHeight="1" ht="11.25">
      <c r="AZ96" s="1222" t="s">
        <v>1723</v>
      </c>
      <c r="BH96" s="1222" t="s">
        <v>1724</v>
      </c>
      <c r="BJ96" s="1222" t="s">
        <v>1725</v>
      </c>
      <c r="BL96" s="1222" t="s">
        <v>1726</v>
      </c>
      <c r="BN96" s="1222" t="s">
        <v>1727</v>
      </c>
    </row>
    <row customHeight="1" ht="11.25">
      <c r="AZ97" s="2061" t="s">
        <v>1728</v>
      </c>
      <c r="BA97" s="2062" t="s">
        <v>1729</v>
      </c>
      <c r="BH97" s="1223" t="s">
        <v>1730</v>
      </c>
      <c r="BJ97" s="1223" t="s">
        <v>1731</v>
      </c>
      <c r="BL97" s="1223" t="s">
        <v>1732</v>
      </c>
      <c r="BN97" s="1223" t="s">
        <v>1733</v>
      </c>
    </row>
    <row customHeight="1" ht="11.25">
      <c r="AZ98" s="2061" t="s">
        <v>1734</v>
      </c>
      <c r="BA98" s="2062" t="s">
        <v>1735</v>
      </c>
      <c r="BH98" s="1223" t="s">
        <v>1736</v>
      </c>
      <c r="BJ98" s="1223" t="s">
        <v>1737</v>
      </c>
      <c r="BL98" s="1223" t="s">
        <v>1738</v>
      </c>
      <c r="BN98" s="1223" t="s">
        <v>1739</v>
      </c>
    </row>
    <row customHeight="1" ht="22.5">
      <c r="AZ99" s="2061" t="s">
        <v>1740</v>
      </c>
      <c r="BA99" s="2062" t="str">
        <f>"не позднее чем за "&amp;IF(TEMPLATE_SPHERE="TKO","3","10")&amp;" дней до дня проведения заседания правления"</f>
        <v>не позднее чем за 10 дней до дня проведения заседания правления</v>
      </c>
      <c r="BH99" s="1223" t="s">
        <v>1741</v>
      </c>
      <c r="BJ99" s="1223" t="s">
        <v>1742</v>
      </c>
      <c r="BL99" s="1223" t="s">
        <v>1743</v>
      </c>
      <c r="BN99" s="1223" t="s">
        <v>1744</v>
      </c>
    </row>
    <row customHeight="1" ht="22.5">
      <c r="AZ100" s="2061" t="s">
        <v>1745</v>
      </c>
      <c r="BA100" s="2062"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J100" s="1223" t="s">
        <v>1334</v>
      </c>
      <c r="BL100" s="1223" t="s">
        <v>1334</v>
      </c>
      <c r="BN100" s="1223" t="s">
        <v>1746</v>
      </c>
    </row>
    <row customHeight="1" ht="22.5">
      <c r="AZ101" s="2061" t="s">
        <v>1747</v>
      </c>
      <c r="BA101" s="2062" t="s">
        <v>1748</v>
      </c>
      <c r="BN101" s="1223" t="s">
        <v>1749</v>
      </c>
    </row>
    <row customHeight="1" ht="22.5">
      <c r="AZ102" s="2061" t="s">
        <v>1750</v>
      </c>
      <c r="BA102" s="2062"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N102" s="1223" t="s">
        <v>1751</v>
      </c>
    </row>
    <row customHeight="1" ht="11.25">
      <c r="AZ103" s="2061" t="s">
        <v>1752</v>
      </c>
      <c r="BA103" s="2062" t="s">
        <v>1753</v>
      </c>
      <c r="BN103" s="1223" t="s">
        <v>1754</v>
      </c>
    </row>
    <row customHeight="1" ht="11.25">
      <c r="BN104" s="1223" t="s">
        <v>1755</v>
      </c>
    </row>
    <row customHeight="1" ht="11.25">
      <c r="AZ105" s="1851" t="s">
        <v>1756</v>
      </c>
    </row>
    <row customHeight="1" ht="11.25">
      <c r="AZ106" s="1276" t="s">
        <v>1757</v>
      </c>
    </row>
    <row customHeight="1" ht="11.25">
      <c r="AZ107" s="1276" t="s">
        <v>1758</v>
      </c>
      <c r="BH107" s="1222" t="s">
        <v>1759</v>
      </c>
      <c r="BJ107" s="1222" t="s">
        <v>1760</v>
      </c>
      <c r="BL107" s="1222" t="s">
        <v>1761</v>
      </c>
      <c r="BN107" s="1222" t="s">
        <v>1762</v>
      </c>
    </row>
    <row customHeight="1" ht="11.25">
      <c r="AZ108" s="1276" t="s">
        <v>572</v>
      </c>
      <c r="BH108" s="1223" t="s">
        <v>1763</v>
      </c>
      <c r="BJ108" s="1223" t="s">
        <v>1764</v>
      </c>
      <c r="BL108" s="1223" t="s">
        <v>1419</v>
      </c>
      <c r="BN108" s="1223" t="s">
        <v>1765</v>
      </c>
    </row>
    <row customHeight="1" ht="11.25">
      <c r="BH109" s="1223" t="s">
        <v>1766</v>
      </c>
    </row>
    <row customHeight="1" ht="11.25">
      <c r="AZ110" s="1851" t="s">
        <v>1767</v>
      </c>
      <c r="BH110" s="1223" t="s">
        <v>1766</v>
      </c>
    </row>
    <row customHeight="1" ht="11.25">
      <c r="AZ111" s="2061" t="s">
        <v>1728</v>
      </c>
      <c r="BA111" s="2062" t="s">
        <v>1729</v>
      </c>
    </row>
    <row customHeight="1" ht="11.25">
      <c r="AZ112" s="2061" t="s">
        <v>1734</v>
      </c>
      <c r="BA112" s="2062" t="s">
        <v>1735</v>
      </c>
    </row>
    <row customHeight="1" ht="22.5">
      <c r="AZ113" s="2061" t="s">
        <v>1740</v>
      </c>
      <c r="BA113" s="2062" t="str">
        <f>"не позднее чем за "&amp;IF(TEMPLATE_SPHERE="TKO","3","10")&amp;" дней до дня проведения заседания правления"</f>
        <v>не позднее чем за 10 дней до дня проведения заседания правления</v>
      </c>
    </row>
    <row customHeight="1" ht="22.5">
      <c r="AZ114" s="2061" t="s">
        <v>1745</v>
      </c>
      <c r="BA114" s="2062"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H114" s="1222" t="s">
        <v>1768</v>
      </c>
    </row>
    <row customHeight="1" ht="22.5">
      <c r="AZ115" s="2061" t="s">
        <v>1750</v>
      </c>
      <c r="BA115" s="2062"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H115" s="1223" t="s">
        <v>543</v>
      </c>
    </row>
    <row customHeight="1" ht="11.25">
      <c r="AZ116" s="2061" t="s">
        <v>1752</v>
      </c>
      <c r="BA116" s="2062" t="s">
        <v>1753</v>
      </c>
      <c r="BH116" s="1223" t="s">
        <v>1159</v>
      </c>
    </row>
    <row customHeight="1" ht="11.25">
      <c r="BH117" s="1223" t="s">
        <v>1194</v>
      </c>
    </row>
    <row customHeight="1" ht="11.25">
      <c r="BH118" s="1223" t="s">
        <v>1227</v>
      </c>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74A01D4-A8F6-BF0F-83E3-29EA5E49AFB4}" mc:Ignorable="x14ac xr xr2 xr3">
  <dimension ref="A1:I24"/>
  <sheetViews>
    <sheetView topLeftCell="A1" showGridLines="0" zoomScale="90" workbookViewId="0">
      <selection activeCell="A1" sqref="A1"/>
    </sheetView>
  </sheetViews>
  <sheetFormatPr defaultColWidth="9.140625" customHeight="1" defaultRowHeight="11.25"/>
  <cols>
    <col min="1" max="2" style="8466" width="15.00390625" hidden="1" customWidth="1"/>
    <col min="3" max="3" style="8508" width="3.7109375" customWidth="1"/>
    <col min="4" max="4" style="8509" width="6.8515625" customWidth="1"/>
    <col min="5" max="5" style="8508" width="52.28125" customWidth="1"/>
    <col min="6" max="6" style="8508" width="48.8515625" customWidth="1"/>
    <col min="7" max="7" style="8508" width="93.421875" customWidth="1"/>
    <col min="8" max="8" style="8508" width="9.140625"/>
    <col min="9" max="9" style="8508" width="65.00390625" customWidth="1"/>
  </cols>
  <sheetData>
    <row customHeight="1" ht="11.25" hidden="1">
      <c r="A1" s="655" t="s">
        <v>299</v>
      </c>
    </row>
    <row customHeight="1" ht="22.5" hidden="1">
      <c r="A2" s="656"/>
      <c r="B2" s="656"/>
      <c r="C2" s="1889" t="s">
        <v>542</v>
      </c>
      <c r="D2" s="1679"/>
      <c r="E2" s="1685"/>
      <c r="F2" s="1708"/>
      <c r="H2" s="629"/>
    </row>
    <row customHeight="1" ht="11.25" hidden="1"/>
    <row customHeight="1" ht="11.25">
      <c r="A4" s="1709"/>
      <c r="B4" s="1709"/>
    </row>
    <row customHeight="1" ht="26.25">
      <c r="D5" s="2304" t="str">
        <f>"Форма "&amp;IF(TEMPLATE_SPHERE="HEAT","2","1")&amp;". Информация об органе регулирования тарифов в сфере "&amp;IF(OR(TEMPLATE_SPHERE="HEAT",TEMPLATE_SPHERE="TKO"),TEMPLATE_SPHERE_RUS,"водоснабжения и водоотведения")&amp;" (далее – орган регулирования тарифов)"</f>
        <v>Форма 1. Информация об органе регулирования тарифов в сфере водоснабжения и водоотведения (далее – орган регулирования тарифов)</v>
      </c>
      <c r="E5" s="2305"/>
      <c r="F5" s="2306"/>
      <c r="I5" s="869"/>
    </row>
    <row customHeight="1" ht="17.25">
      <c r="D6" s="2267" t="str">
        <f>IF(region_name=0,"Не определено",region_name)</f>
        <v>Ростовская область</v>
      </c>
      <c r="E6" s="2267"/>
      <c r="F6" s="2267"/>
      <c r="I6" s="869"/>
    </row>
    <row s="8426" customFormat="1" customHeight="1" ht="11.25">
      <c r="A7" s="655"/>
      <c r="B7" s="655"/>
      <c r="D7" s="868"/>
      <c r="E7" s="868"/>
      <c r="F7" s="906"/>
      <c r="G7" s="868"/>
    </row>
    <row customHeight="1" ht="11.25" hidden="1">
      <c r="A8" s="656"/>
      <c r="B8" s="656"/>
      <c r="C8" s="611"/>
      <c r="D8" s="617"/>
      <c r="E8" s="2273"/>
      <c r="F8" s="2273"/>
    </row>
    <row customHeight="1" ht="11.25">
      <c r="A9" s="656"/>
      <c r="B9" s="656"/>
      <c r="C9" s="611"/>
      <c r="D9" s="2270" t="s">
        <v>300</v>
      </c>
      <c r="E9" s="2271"/>
      <c r="F9" s="2271"/>
      <c r="G9" s="2274" t="s">
        <v>301</v>
      </c>
    </row>
    <row customHeight="1" ht="11.25">
      <c r="A10" s="656"/>
      <c r="B10" s="656"/>
      <c r="C10" s="611"/>
      <c r="D10" s="1633" t="s">
        <v>85</v>
      </c>
      <c r="E10" s="1635" t="s">
        <v>302</v>
      </c>
      <c r="F10" s="1635" t="s">
        <v>303</v>
      </c>
      <c r="G10" s="2275"/>
    </row>
    <row customHeight="1" ht="0.75">
      <c r="A11" s="656"/>
      <c r="B11" s="656"/>
      <c r="C11" s="611"/>
      <c r="D11" s="618"/>
      <c r="E11" s="618"/>
      <c r="F11" s="618"/>
      <c r="G11" s="618"/>
    </row>
    <row customHeight="1" ht="22.5">
      <c r="A12" s="656"/>
      <c r="B12" s="656"/>
      <c r="C12" s="611"/>
      <c r="D12" s="1679">
        <v>1</v>
      </c>
      <c r="E12" s="628" t="str">
        <f>"Наименование "&amp;IF(TEMPLATE_SPHERE="TKO","регионального органа","органа "&amp;IF(TEMPLATE_SPHERE="HEAT","тарифного ",""))&amp;"регулирования "&amp;IF(TEMPLATE_SPHERE="TKO","(орган местного самоуправления)",IF(TEMPLATE_SPHERE="HEAT","","тарифов"))</f>
        <v>Наименование органа регулирования тарифов</v>
      </c>
      <c r="F12" s="2068" t="str">
        <f>IF(org="","",org)</f>
        <v>АО "Теплокоммунэнерго"</v>
      </c>
      <c r="G12" s="628" t="str">
        <f>"Указывается в соответствии с нормативным правовым актом, на основании которого "&amp;IF(TEMPLATE_SPHERE="TKO","региональный орган","орган "&amp;IF(TEMPLATE_SPHERE="HEAT","тарифного ",""))&amp;" регулирования "&amp;IF(TEMPLATE_SPHERE="TKO","(орган местного самоуправления)",IF(TEMPLATE_SPHERE="HEAT","","тарифов"))&amp;" образован."</f>
        <v>Указывается в соответствии с нормативным правовым актом, на основании которого орган  регулирования тарифов образован.</v>
      </c>
      <c r="H12" s="1692"/>
    </row>
    <row customHeight="1" ht="18.75">
      <c r="A13" s="656"/>
      <c r="B13" s="656"/>
      <c r="C13" s="611"/>
      <c r="D13" s="1679">
        <v>2</v>
      </c>
      <c r="E13" s="1686" t="s">
        <v>1769</v>
      </c>
      <c r="F13" s="1680" t="s">
        <v>306</v>
      </c>
      <c r="G13" s="628"/>
      <c r="H13" s="1692"/>
    </row>
    <row customHeight="1" ht="18.75">
      <c r="A14" s="656"/>
      <c r="B14" s="656"/>
      <c r="C14" s="611"/>
      <c r="D14" s="1682" t="s">
        <v>623</v>
      </c>
      <c r="E14" s="1683" t="s">
        <v>1770</v>
      </c>
      <c r="F14" s="1685"/>
      <c r="G14" s="1684" t="s">
        <v>1771</v>
      </c>
      <c r="H14" s="1692"/>
    </row>
    <row customHeight="1" ht="18.75">
      <c r="A15" s="656"/>
      <c r="B15" s="656"/>
      <c r="C15" s="611"/>
      <c r="D15" s="1682" t="s">
        <v>307</v>
      </c>
      <c r="E15" s="1683" t="s">
        <v>1772</v>
      </c>
      <c r="F15" s="1685"/>
      <c r="G15" s="1684" t="s">
        <v>1773</v>
      </c>
      <c r="H15" s="1692"/>
    </row>
    <row customHeight="1" ht="22.5">
      <c r="A16" s="656"/>
      <c r="B16" s="656"/>
      <c r="C16" s="611"/>
      <c r="D16" s="1682" t="s">
        <v>310</v>
      </c>
      <c r="E16" s="1681" t="s">
        <v>1774</v>
      </c>
      <c r="F16" s="1690"/>
      <c r="G16" s="628" t="s">
        <v>1775</v>
      </c>
      <c r="H16" s="1692"/>
    </row>
    <row customHeight="1" ht="45">
      <c r="A17" s="656"/>
      <c r="B17" s="656"/>
      <c r="C17" s="611"/>
      <c r="D17" s="1679">
        <v>3</v>
      </c>
      <c r="E17" s="1686" t="s">
        <v>1776</v>
      </c>
      <c r="F17" s="1685"/>
      <c r="G17" s="628" t="s">
        <v>1777</v>
      </c>
      <c r="H17" s="1692"/>
    </row>
    <row customHeight="1" ht="45">
      <c r="A18" s="1634">
        <v>1</v>
      </c>
      <c r="B18" s="656"/>
      <c r="C18" s="1636"/>
      <c r="D18" s="1679" t="s">
        <v>88</v>
      </c>
      <c r="E18" s="1686" t="s">
        <v>1778</v>
      </c>
      <c r="F18" s="1685"/>
      <c r="G18" s="628" t="s">
        <v>1777</v>
      </c>
      <c r="H18" s="1692"/>
      <c r="I18" s="1006"/>
    </row>
    <row customHeight="1" ht="22.5">
      <c r="A19" s="656"/>
      <c r="B19" s="656"/>
      <c r="C19" s="611"/>
      <c r="D19" s="1679" t="s">
        <v>108</v>
      </c>
      <c r="E19" s="1686" t="s">
        <v>1779</v>
      </c>
      <c r="F19" s="1680" t="s">
        <v>306</v>
      </c>
      <c r="G19" s="2530" t="s">
        <v>1780</v>
      </c>
      <c r="H19" s="629"/>
    </row>
    <row s="9994" customFormat="1" customHeight="1" ht="5.25" hidden="1">
      <c r="A20" s="656"/>
      <c r="B20" s="656"/>
      <c r="C20" s="1688"/>
      <c r="D20" s="1687" t="s">
        <v>1034</v>
      </c>
      <c r="E20" s="1169"/>
      <c r="F20" s="1168"/>
      <c r="G20" s="2531"/>
    </row>
    <row customHeight="1" ht="15">
      <c r="A21" s="656"/>
      <c r="B21" s="656"/>
      <c r="C21" s="611"/>
      <c r="D21" s="621"/>
      <c r="E21" s="569" t="s">
        <v>339</v>
      </c>
      <c r="F21" s="623"/>
      <c r="G21" s="2532"/>
      <c r="H21" s="1692"/>
    </row>
    <row s="8466" customFormat="1" customHeight="1" ht="24.75">
      <c r="A22" s="656"/>
      <c r="B22" s="656"/>
      <c r="C22" s="656"/>
      <c r="D22" s="1679" t="s">
        <v>89</v>
      </c>
      <c r="E22" s="628" t="s">
        <v>1781</v>
      </c>
      <c r="F22" s="1685"/>
      <c r="G22" s="628" t="s">
        <v>1782</v>
      </c>
      <c r="H22" s="1691"/>
    </row>
    <row s="8466" customFormat="1" customHeight="1" ht="18.75">
      <c r="A23" s="656"/>
      <c r="B23" s="656"/>
      <c r="C23" s="656"/>
      <c r="D23" s="1679" t="s">
        <v>90</v>
      </c>
      <c r="E23" s="1686" t="s">
        <v>1783</v>
      </c>
      <c r="F23" s="1690"/>
      <c r="G23" s="628" t="s">
        <v>1784</v>
      </c>
      <c r="H23" s="1691"/>
    </row>
    <row s="8466" customFormat="1" customHeight="1" ht="144" hidden="1">
      <c r="A24" s="656"/>
      <c r="B24" s="656"/>
      <c r="C24" s="656"/>
      <c r="D24" s="1679" t="s">
        <v>109</v>
      </c>
      <c r="E24" s="2057" t="str">
        <f>"Доклад,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"&amp;IF(TEMPLATE_SPHERE="HEAT","цен (тарифов)","тарифов")&amp;" в сфере "&amp;IF(OR(TEMPLATE_SPHERE="HEAT",TEMPLATE_SPHERE="TKO"),TEMPLATE_SPHERE_RUS,"водоснабжения и водоотведения")&amp;" в случае, если региональный государственный контроль (надзор) в области регулирования "&amp;IF(TEMPLATE_SPHERE="HEAT","цен (тарифов)","тарифов")&amp;" в сфере "&amp;IF(OR(TEMPLATE_SPHERE="HEAT",TEMPLATE_SPHERE="TKO"),TEMPLATE_SPHERE_RUS,"водоснабжения и водоотведения")&amp;" в соответствии с положением, утвержденным высшим исполнительным органом субъекта Российской Федерации, осуществляется "&amp;IF(TEMPLATE_SPHERE="TKO","региональным органом регулирования","исполнительным органом субъекта Российской Федерации в области государственного регулирования "&amp;IF(TEMPLATE_SPHERE="HEAT","цен (тарифов)","тарифов"))</f>
        <v>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тарифов в сфере водоснабжения и водоотведения в случае, если региональный государственный контроль (надзор) в области регулирования тарифов в сфере водоснабжения и водоотведения в соответствии с положением, утвержденным высшим исполнительным органом субъекта Российской Федерации, осуществляется исполнительным органом субъекта Российской Федерации в области государственного регулирования тарифов</v>
      </c>
      <c r="F24" s="2058"/>
      <c r="G24" s="2056" t="str">
        <f>IF(TEMPLATE_SPHERE="TKO","Раскрывается региональным органом регулирования. ",IF(TEMPLATE_SPHERE="HEAT","Раскрывается исполнительным органом субъекта Российской Федерации в области государственного регулирования цен (тарифов). ",""))&amp;"Указывается ссылка на документ, предварительно загруженный в хранилище файлов ФГИС ЕИАС."</f>
        <v>Указывается ссылка на документ, предварительно загруженный в хранилище файлов ФГИС ЕИАС.</v>
      </c>
      <c r="H24" s="1691"/>
    </row>
  </sheetData>
  <sheetProtection formatColumns="0" formatRows="0" autoFilter="0" sort="0" insertRows="0" insertColumns="1" deleteRows="0" deleteColumns="0"/>
  <mergeCells count="6">
    <mergeCell ref="G19:G21"/>
    <mergeCell ref="D5:F5"/>
    <mergeCell ref="D6:F6"/>
    <mergeCell ref="E8:F8"/>
    <mergeCell ref="D9:F9"/>
    <mergeCell ref="G9:G10"/>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F24">
      <formula1>900</formula1>
    </dataValidation>
    <dataValidation type="textLength" operator="lessThanOrEqual" allowBlank="1" showInputMessage="1" showErrorMessage="1" errorTitle="Ошибка" error="Допускается ввод не более 900 символов!" sqref="F12 F14:F18 F22:F23">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8D44F94-8462-733C-33EA-E300159A97F2}" mc:Ignorable="x14ac xr xr2 xr3">
  <dimension ref="A1:IT23"/>
  <sheetViews>
    <sheetView topLeftCell="A1" showGridLines="0" zoomScale="90" workbookViewId="0">
      <selection activeCell="A1" sqref="A1"/>
    </sheetView>
  </sheetViews>
  <sheetFormatPr defaultColWidth="9.140625" customHeight="1" defaultRowHeight="14.25"/>
  <cols>
    <col min="1" max="1" style="8807" width="9.140625" hidden="1"/>
    <col min="2" max="2" style="8721" width="9.140625" hidden="1"/>
    <col min="3" max="3" style="8807" width="3.7109375" hidden="1" customWidth="1"/>
    <col min="4" max="4" style="8575" width="3.8515625" customWidth="1"/>
    <col min="5" max="5" style="8807" width="6.28125" customWidth="1"/>
    <col min="6" max="6" style="8807" width="46.7109375" customWidth="1"/>
    <col min="7" max="8" style="8807" width="16.7109375" customWidth="1"/>
    <col min="9" max="9" style="8807" width="35.28125" customWidth="1"/>
    <col min="10" max="10" style="8807" width="89.57421875" customWidth="1"/>
    <col min="11" max="11" style="10019" width="3.7109375" customWidth="1"/>
    <col min="12" max="14" style="10019" width="9.140625"/>
    <col min="15" max="15" style="8085" width="25.7109375" customWidth="1"/>
    <col min="16" max="16" style="10019" width="14.421875" customWidth="1"/>
    <col min="17" max="20" style="8086" width="9.140625"/>
    <col min="21" max="254" style="8807" width="9.140625"/>
  </cols>
  <sheetData>
    <row customHeight="1" ht="14.25" hidden="1"/>
    <row s="8053" customFormat="1" customHeight="1" ht="22.5" hidden="1">
      <c r="A2" s="985"/>
      <c r="B2" s="1316">
        <v>1</v>
      </c>
      <c r="C2" s="1316"/>
      <c r="D2" s="2085" t="s">
        <v>542</v>
      </c>
      <c r="E2" s="1643"/>
      <c r="F2" s="1650"/>
      <c r="G2" s="1650"/>
      <c r="H2" s="1650"/>
      <c r="I2" s="1697"/>
      <c r="J2" s="382"/>
      <c r="K2" s="1694"/>
      <c r="L2" s="665"/>
      <c r="M2" s="665"/>
      <c r="N2" s="654" t="str">
        <f t="array" ref="N2:N2">IF(ISERROR(MATCH(MID(O2,1,250),MID(note_ter,1,250),0)),"n","y")</f>
        <v>n</v>
      </c>
      <c r="O2" s="665"/>
      <c r="P2" s="654" t="str">
        <f>G2&amp;"("&amp;J2&amp;")"</f>
        <v>()</v>
      </c>
      <c r="Q2" s="1316"/>
      <c r="R2" s="1316"/>
      <c r="S2" s="574"/>
      <c r="T2" s="1316"/>
      <c r="U2" s="1316"/>
      <c r="V2" s="1316"/>
      <c r="W2" s="576"/>
      <c r="X2" s="576"/>
      <c r="Y2" s="573"/>
      <c r="Z2" s="573"/>
      <c r="AA2" s="573"/>
      <c r="AB2" s="573"/>
      <c r="AC2" s="573"/>
      <c r="AD2" s="573"/>
      <c r="AE2" s="573"/>
      <c r="AF2" s="573"/>
      <c r="AG2" s="573"/>
      <c r="AH2" s="573"/>
      <c r="AI2" s="573"/>
      <c r="AJ2" s="573"/>
      <c r="AK2" s="573"/>
      <c r="AL2" s="573"/>
      <c r="AM2" s="573"/>
      <c r="AN2" s="573"/>
      <c r="AO2" s="573"/>
      <c r="AP2" s="573"/>
      <c r="AQ2" s="573"/>
      <c r="AR2" s="573"/>
      <c r="AS2" s="573"/>
      <c r="AT2" s="573"/>
      <c r="AU2" s="573"/>
      <c r="AV2" s="573"/>
      <c r="AW2" s="573"/>
      <c r="AX2" s="573"/>
      <c r="AY2" s="573"/>
      <c r="AZ2" s="573"/>
      <c r="BA2" s="573"/>
      <c r="BB2" s="573"/>
      <c r="BC2" s="573"/>
      <c r="BD2" s="573"/>
      <c r="BE2" s="573"/>
      <c r="BF2" s="573"/>
      <c r="BG2" s="573"/>
      <c r="BH2" s="573"/>
      <c r="BI2" s="573"/>
      <c r="BJ2" s="573"/>
      <c r="BK2" s="573"/>
      <c r="BL2" s="573"/>
      <c r="BM2" s="573"/>
      <c r="BN2" s="573"/>
      <c r="BO2" s="573"/>
      <c r="BP2" s="573"/>
      <c r="BQ2" s="573"/>
      <c r="BR2" s="573"/>
      <c r="BS2" s="573"/>
      <c r="BT2" s="576"/>
      <c r="BU2" s="576"/>
      <c r="BV2" s="576"/>
      <c r="BW2" s="576"/>
      <c r="BX2" s="576"/>
      <c r="BY2" s="576"/>
      <c r="BZ2" s="576"/>
      <c r="CA2" s="576"/>
      <c r="CB2" s="576"/>
      <c r="CC2" s="576"/>
    </row>
    <row s="8794" customFormat="1" customHeight="1" ht="5.25" hidden="1">
      <c r="A3" s="650"/>
      <c r="D3" s="648"/>
      <c r="F3" s="401" t="s">
        <v>80</v>
      </c>
      <c r="G3" s="648" t="s">
        <v>81</v>
      </c>
      <c r="H3" s="648"/>
      <c r="I3" s="648"/>
      <c r="J3" s="381" t="s">
        <v>82</v>
      </c>
      <c r="K3" s="401" t="s">
        <v>80</v>
      </c>
      <c r="L3" s="401"/>
      <c r="M3" s="401"/>
      <c r="N3" s="401"/>
      <c r="O3" s="402"/>
      <c r="P3" s="401"/>
      <c r="Q3" s="401"/>
      <c r="R3" s="401"/>
      <c r="S3" s="401"/>
      <c r="T3" s="401"/>
      <c r="U3" s="381"/>
      <c r="V3" s="381"/>
      <c r="W3" s="381"/>
      <c r="X3" s="381"/>
      <c r="Y3" s="381"/>
      <c r="Z3" s="381"/>
      <c r="AA3" s="381"/>
      <c r="AB3" s="381"/>
      <c r="AC3" s="381"/>
      <c r="AD3" s="381"/>
      <c r="AE3" s="381"/>
      <c r="AF3" s="381"/>
      <c r="AG3" s="381"/>
      <c r="AH3" s="381"/>
      <c r="AI3" s="381"/>
      <c r="AJ3" s="381"/>
      <c r="AK3" s="381"/>
      <c r="AL3" s="381"/>
      <c r="AM3" s="381"/>
      <c r="AN3" s="381"/>
      <c r="AO3" s="381"/>
      <c r="AP3" s="381"/>
      <c r="AQ3" s="381"/>
      <c r="AR3" s="381"/>
      <c r="AS3" s="381"/>
      <c r="AT3" s="381"/>
      <c r="AU3" s="381"/>
      <c r="AV3" s="381"/>
      <c r="AW3" s="381"/>
      <c r="AX3" s="381"/>
      <c r="AY3" s="381"/>
      <c r="AZ3" s="381"/>
      <c r="BA3" s="381"/>
      <c r="BB3" s="381"/>
      <c r="BC3" s="381"/>
      <c r="BD3" s="381"/>
      <c r="BE3" s="381"/>
      <c r="BF3" s="381"/>
      <c r="BG3" s="381"/>
      <c r="BH3" s="381"/>
      <c r="BI3" s="381"/>
      <c r="BJ3" s="381"/>
      <c r="BK3" s="381"/>
      <c r="BL3" s="381"/>
      <c r="BM3" s="381"/>
      <c r="BN3" s="381"/>
      <c r="BO3" s="381"/>
      <c r="BP3" s="381"/>
      <c r="BQ3" s="381"/>
      <c r="BR3" s="381"/>
      <c r="BS3" s="381"/>
      <c r="BT3" s="381"/>
      <c r="BU3" s="381"/>
      <c r="BV3" s="381"/>
      <c r="BW3" s="381"/>
      <c r="BX3" s="381"/>
      <c r="BY3" s="381"/>
      <c r="BZ3" s="381"/>
      <c r="CA3" s="381"/>
      <c r="CB3" s="381"/>
      <c r="CC3" s="381"/>
      <c r="CD3" s="381"/>
      <c r="CE3" s="381"/>
      <c r="CF3" s="381"/>
      <c r="CG3" s="381"/>
      <c r="CH3" s="381"/>
      <c r="CI3" s="381"/>
      <c r="CJ3" s="381"/>
      <c r="CK3" s="381"/>
      <c r="CL3" s="381"/>
      <c r="CM3" s="381"/>
      <c r="CN3" s="381"/>
      <c r="CO3" s="381"/>
      <c r="CP3" s="381"/>
      <c r="CQ3" s="381"/>
      <c r="CR3" s="381"/>
      <c r="CS3" s="381"/>
      <c r="CT3" s="381"/>
      <c r="CU3" s="381"/>
      <c r="CV3" s="381"/>
      <c r="CW3" s="381"/>
      <c r="CX3" s="381"/>
      <c r="CY3" s="381"/>
      <c r="CZ3" s="381"/>
      <c r="DA3" s="381"/>
      <c r="DB3" s="381"/>
      <c r="DC3" s="381"/>
      <c r="DD3" s="381"/>
      <c r="DE3" s="381"/>
      <c r="DF3" s="381"/>
      <c r="DG3" s="381"/>
      <c r="DH3" s="381"/>
      <c r="DI3" s="381"/>
      <c r="DJ3" s="381"/>
      <c r="DK3" s="381"/>
      <c r="DL3" s="381"/>
      <c r="DM3" s="381"/>
      <c r="DN3" s="381"/>
      <c r="DO3" s="381"/>
      <c r="DP3" s="381"/>
      <c r="DQ3" s="381"/>
      <c r="DR3" s="381"/>
      <c r="DS3" s="381"/>
      <c r="DT3" s="381"/>
      <c r="DU3" s="381"/>
      <c r="DV3" s="381"/>
      <c r="DW3" s="381"/>
      <c r="DX3" s="381"/>
      <c r="DY3" s="381"/>
      <c r="DZ3" s="381"/>
      <c r="EA3" s="381"/>
      <c r="EB3" s="381"/>
      <c r="EC3" s="381"/>
      <c r="ED3" s="381"/>
      <c r="EE3" s="381"/>
      <c r="EF3" s="381"/>
      <c r="EG3" s="381"/>
      <c r="EH3" s="381"/>
      <c r="EI3" s="381"/>
      <c r="EJ3" s="381"/>
      <c r="EK3" s="381"/>
      <c r="EL3" s="381"/>
      <c r="EM3" s="381"/>
      <c r="EN3" s="381"/>
      <c r="EO3" s="381"/>
      <c r="EP3" s="381"/>
      <c r="EQ3" s="381"/>
      <c r="ER3" s="381"/>
      <c r="ES3" s="381"/>
      <c r="ET3" s="381"/>
      <c r="EU3" s="381"/>
      <c r="EV3" s="381"/>
      <c r="EW3" s="381"/>
      <c r="EX3" s="381"/>
      <c r="EY3" s="381"/>
      <c r="EZ3" s="381"/>
      <c r="FA3" s="381"/>
      <c r="FB3" s="381"/>
      <c r="FC3" s="381"/>
      <c r="FD3" s="381"/>
      <c r="FE3" s="381"/>
      <c r="FF3" s="381"/>
      <c r="FG3" s="381"/>
      <c r="FH3" s="381"/>
      <c r="FI3" s="381"/>
      <c r="FJ3" s="381"/>
      <c r="FK3" s="381"/>
      <c r="FL3" s="381"/>
      <c r="FM3" s="381"/>
      <c r="FN3" s="381"/>
      <c r="FO3" s="381"/>
      <c r="FP3" s="381"/>
      <c r="FQ3" s="381"/>
      <c r="FR3" s="381"/>
      <c r="FS3" s="381"/>
      <c r="FT3" s="381"/>
      <c r="FU3" s="381"/>
      <c r="FV3" s="381"/>
      <c r="FW3" s="381"/>
      <c r="FX3" s="381"/>
      <c r="FY3" s="381"/>
      <c r="FZ3" s="381"/>
      <c r="GA3" s="381"/>
      <c r="GB3" s="381"/>
      <c r="GC3" s="381"/>
      <c r="GD3" s="381"/>
      <c r="GE3" s="381"/>
      <c r="GF3" s="381"/>
      <c r="GG3" s="381"/>
      <c r="GH3" s="381"/>
      <c r="GI3" s="381"/>
      <c r="GJ3" s="381"/>
      <c r="GK3" s="381"/>
      <c r="GL3" s="381"/>
      <c r="GM3" s="381"/>
      <c r="GN3" s="381"/>
      <c r="GO3" s="381"/>
      <c r="GP3" s="381"/>
      <c r="GQ3" s="381"/>
      <c r="GR3" s="381"/>
      <c r="GS3" s="381"/>
      <c r="GT3" s="381"/>
      <c r="GU3" s="381"/>
      <c r="GV3" s="381"/>
      <c r="GW3" s="381"/>
      <c r="GX3" s="381"/>
      <c r="GY3" s="381"/>
      <c r="GZ3" s="381"/>
      <c r="HA3" s="381"/>
      <c r="HB3" s="381"/>
      <c r="HC3" s="381"/>
      <c r="HD3" s="381"/>
      <c r="HE3" s="381"/>
      <c r="HF3" s="381"/>
      <c r="HG3" s="381"/>
      <c r="HH3" s="381"/>
      <c r="HI3" s="381"/>
      <c r="HJ3" s="381"/>
      <c r="HK3" s="381"/>
      <c r="HL3" s="381"/>
      <c r="HM3" s="381"/>
      <c r="HN3" s="381"/>
      <c r="HO3" s="381"/>
      <c r="HP3" s="381"/>
      <c r="HQ3" s="381"/>
      <c r="HR3" s="381"/>
      <c r="HS3" s="381"/>
      <c r="HT3" s="381"/>
      <c r="HU3" s="381"/>
      <c r="HV3" s="381"/>
      <c r="HW3" s="381"/>
      <c r="HX3" s="381"/>
      <c r="HY3" s="381"/>
      <c r="HZ3" s="381"/>
      <c r="IA3" s="381"/>
      <c r="IB3" s="381"/>
      <c r="IC3" s="381"/>
      <c r="ID3" s="381"/>
      <c r="IE3" s="381"/>
      <c r="IF3" s="381"/>
      <c r="IG3" s="381"/>
      <c r="IH3" s="381"/>
      <c r="II3" s="381"/>
      <c r="IJ3" s="381"/>
      <c r="IK3" s="381"/>
      <c r="IL3" s="381"/>
      <c r="IM3" s="381"/>
      <c r="IN3" s="381"/>
      <c r="IO3" s="381"/>
      <c r="IP3" s="381"/>
      <c r="IQ3" s="381"/>
      <c r="IR3" s="381"/>
      <c r="IS3" s="381"/>
      <c r="IT3" s="381"/>
    </row>
    <row s="8044" customFormat="1" customHeight="1" ht="14.25">
      <c r="A4" s="1311"/>
      <c r="B4" s="1316"/>
      <c r="C4" s="1311"/>
      <c r="D4" s="1654"/>
      <c r="E4" s="663"/>
      <c r="F4" s="663"/>
      <c r="G4" s="663"/>
      <c r="H4" s="663"/>
      <c r="I4" s="663"/>
      <c r="J4" s="321"/>
      <c r="K4" s="401"/>
      <c r="L4" s="654"/>
      <c r="M4" s="654"/>
      <c r="N4" s="654"/>
      <c r="O4" s="380"/>
      <c r="P4" s="654"/>
      <c r="Q4" s="379"/>
      <c r="R4" s="379"/>
      <c r="S4" s="379"/>
      <c r="T4" s="379"/>
    </row>
    <row s="8044" customFormat="1" customHeight="1" ht="25.5">
      <c r="A5" s="1311"/>
      <c r="B5" s="1316"/>
      <c r="C5" s="1311"/>
      <c r="D5" s="1654"/>
      <c r="E5" s="2168" t="str">
        <f>"Форма "&amp;IF(TEMPLATE_SPHERE="HEAT","3","2")&amp;". Перечень "&amp;IF(TEMPLATE_SPHERE="HEAT","регулируемых организаций (единых теплоснабжающих организаций в ценовых зонах теплоснабжения, теплоснабжающих организаций в ценовых зонах теплоснабжения и теплосетевых организаций в ценовых зонах теплоснабжения)","организаций, в отношении которых "&amp;IF(TEMPLATE_SPHERE="TKO","осуществляется регулирование предельных тарифов, а также перечень операторов по обращению с твердыми коммунальными отходами, осуществляющих деятельность по транспортированию твердых коммунальных отходов","орган регулирования тарифов осуществляет регулирование тарифов в сфере водоснабжения и водоотведения"))</f>
        <v>Форма 2. Перечень организаций, в отношении которых орган регулирования тарифов осуществляет регулирование тарифов в сфере водоснабжения и водоотведения</v>
      </c>
      <c r="F5" s="2168"/>
      <c r="G5" s="2168"/>
      <c r="H5" s="2168"/>
      <c r="I5" s="2168"/>
      <c r="J5" s="2168"/>
      <c r="K5" s="401"/>
      <c r="L5" s="654"/>
      <c r="M5" s="654"/>
      <c r="N5" s="654"/>
      <c r="O5" s="380"/>
      <c r="P5" s="654"/>
      <c r="Q5" s="379"/>
      <c r="R5" s="379"/>
      <c r="S5" s="379"/>
      <c r="T5" s="379"/>
    </row>
    <row s="8044" customFormat="1" customHeight="1" ht="14.25">
      <c r="A6" s="1311"/>
      <c r="B6" s="1316"/>
      <c r="C6" s="1311"/>
      <c r="D6" s="1654"/>
      <c r="E6" s="663"/>
      <c r="F6" s="322"/>
      <c r="G6" s="322"/>
      <c r="H6" s="322"/>
      <c r="I6" s="322"/>
      <c r="J6" s="323"/>
      <c r="K6" s="654"/>
      <c r="L6" s="654"/>
      <c r="M6" s="654"/>
      <c r="N6" s="654"/>
      <c r="O6" s="380"/>
      <c r="P6" s="654"/>
      <c r="Q6" s="379"/>
      <c r="R6" s="379"/>
      <c r="S6" s="379"/>
      <c r="T6" s="379"/>
    </row>
    <row s="8044" customFormat="1" customHeight="1" ht="14.25">
      <c r="A7" s="1311"/>
      <c r="B7" s="1316"/>
      <c r="C7" s="1311"/>
      <c r="D7" s="1654"/>
      <c r="E7" s="2169" t="s">
        <v>300</v>
      </c>
      <c r="F7" s="2170"/>
      <c r="G7" s="2170"/>
      <c r="H7" s="2170"/>
      <c r="I7" s="2170"/>
      <c r="J7" s="2533" t="s">
        <v>301</v>
      </c>
      <c r="K7" s="654"/>
      <c r="L7" s="654"/>
      <c r="M7" s="654"/>
      <c r="N7" s="654"/>
      <c r="O7" s="380"/>
      <c r="P7" s="654"/>
      <c r="Q7" s="379"/>
      <c r="R7" s="379"/>
      <c r="S7" s="379"/>
      <c r="T7" s="379"/>
    </row>
    <row s="8044" customFormat="1" customHeight="1" ht="20.25">
      <c r="A8" s="1311"/>
      <c r="B8" s="1316"/>
      <c r="C8" s="1311"/>
      <c r="D8" s="1654"/>
      <c r="E8" s="1707" t="s">
        <v>85</v>
      </c>
      <c r="F8" s="1699" t="s">
        <v>1785</v>
      </c>
      <c r="G8" s="1699" t="s">
        <v>46</v>
      </c>
      <c r="H8" s="1699" t="s">
        <v>48</v>
      </c>
      <c r="I8" s="1699" t="s">
        <v>1786</v>
      </c>
      <c r="J8" s="2534"/>
      <c r="K8" s="654"/>
      <c r="L8" s="654"/>
      <c r="M8" s="654"/>
      <c r="N8" s="654"/>
      <c r="O8" s="380"/>
      <c r="P8" s="654"/>
      <c r="Q8" s="379"/>
      <c r="R8" s="379"/>
      <c r="S8" s="379"/>
      <c r="T8" s="379"/>
    </row>
    <row s="8053" customFormat="1" customHeight="1" ht="22.5">
      <c r="A9" s="2167"/>
      <c r="B9" s="1316">
        <v>1</v>
      </c>
      <c r="C9" s="1316"/>
      <c r="D9" s="955"/>
      <c r="E9" s="1643">
        <v>1</v>
      </c>
      <c r="F9" s="1706"/>
      <c r="G9" s="1650"/>
      <c r="H9" s="1650"/>
      <c r="I9" s="1697"/>
      <c r="J9" s="2229" t="str">
        <f>IF(TEMPLATE_SPHERE="TKO","Региональным органом регулирования (органом местного самоуправления) раскрывается информация по указанной форме в отношении"&amp;" операторов по обращению с твердыми коммунальными отходами, осуществляющих деятельность по транспортированию твердых коммунальных отходов, "&amp;"сведения о которых содержатся в договорах на транспортирование твердых коммунальных отходов, заключенных региональным оператором с таким оператором,"&amp;" и о предложении об установлении единого тарифа на услугу регионального оператора.","")&amp;"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налогоплательщика."&amp;"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f>
        <v>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K9" s="1694"/>
      <c r="L9" s="665"/>
      <c r="M9" s="665"/>
      <c r="N9" s="654" t="str">
        <f t="array" ref="N9:N9">IF(ISERROR(MATCH(MID(O9,1,250),MID(note_ter,1,250),0)),"n","y")</f>
        <v>n</v>
      </c>
      <c r="O9" s="665"/>
      <c r="P9" s="654" t="str">
        <f>G9&amp;"("&amp;J9&amp;")"</f>
        <v>(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Q9" s="1316"/>
      <c r="R9" s="1316"/>
      <c r="S9" s="574"/>
      <c r="T9" s="1316"/>
      <c r="U9" s="1316"/>
      <c r="V9" s="1316"/>
      <c r="W9" s="576"/>
      <c r="X9" s="576"/>
      <c r="Y9" s="573"/>
      <c r="Z9" s="573"/>
      <c r="AA9" s="573"/>
      <c r="AB9" s="573"/>
      <c r="AC9" s="573"/>
      <c r="AD9" s="573"/>
      <c r="AE9" s="573"/>
      <c r="AF9" s="573"/>
      <c r="AG9" s="573"/>
      <c r="AH9" s="573"/>
      <c r="AI9" s="573"/>
      <c r="AJ9" s="573"/>
      <c r="AK9" s="573"/>
      <c r="AL9" s="573"/>
      <c r="AM9" s="573"/>
      <c r="AN9" s="573"/>
      <c r="AO9" s="573"/>
      <c r="AP9" s="573"/>
      <c r="AQ9" s="573"/>
      <c r="AR9" s="573"/>
      <c r="AS9" s="573"/>
      <c r="AT9" s="573"/>
      <c r="AU9" s="573"/>
      <c r="AV9" s="573"/>
      <c r="AW9" s="573"/>
      <c r="AX9" s="573"/>
      <c r="AY9" s="573"/>
      <c r="AZ9" s="573"/>
      <c r="BA9" s="573"/>
      <c r="BB9" s="573"/>
      <c r="BC9" s="573"/>
      <c r="BD9" s="573"/>
      <c r="BE9" s="573"/>
      <c r="BF9" s="573"/>
      <c r="BG9" s="573"/>
      <c r="BH9" s="573"/>
      <c r="BI9" s="573"/>
      <c r="BJ9" s="573"/>
      <c r="BK9" s="573"/>
      <c r="BL9" s="573"/>
      <c r="BM9" s="573"/>
      <c r="BN9" s="573"/>
      <c r="BO9" s="573"/>
      <c r="BP9" s="573"/>
      <c r="BQ9" s="573"/>
      <c r="BR9" s="573"/>
      <c r="BS9" s="573"/>
      <c r="BT9" s="576"/>
      <c r="BU9" s="576"/>
      <c r="BV9" s="576"/>
      <c r="BW9" s="576"/>
      <c r="BX9" s="576"/>
      <c r="BY9" s="576"/>
      <c r="BZ9" s="576"/>
      <c r="CA9" s="576"/>
      <c r="CB9" s="576"/>
      <c r="CC9" s="576"/>
    </row>
    <row s="8053" customFormat="1" customHeight="1" ht="15">
      <c r="A10" s="2167"/>
      <c r="B10" s="1316"/>
      <c r="C10" s="566"/>
      <c r="D10" s="955"/>
      <c r="E10" s="1700"/>
      <c r="F10" s="1659" t="s">
        <v>1787</v>
      </c>
      <c r="G10" s="1701"/>
      <c r="H10" s="1701"/>
      <c r="I10" s="2059"/>
      <c r="J10" s="2231"/>
      <c r="K10" s="1695"/>
      <c r="L10" s="665"/>
      <c r="M10" s="665"/>
      <c r="N10" s="665"/>
      <c r="O10" s="654"/>
      <c r="P10" s="665"/>
      <c r="Q10" s="1316"/>
      <c r="R10" s="1316"/>
      <c r="S10" s="574"/>
      <c r="T10" s="1316"/>
      <c r="U10" s="1316"/>
      <c r="V10" s="1316"/>
      <c r="W10" s="576"/>
      <c r="X10" s="576"/>
      <c r="Y10" s="573"/>
      <c r="Z10" s="573"/>
      <c r="AA10" s="573"/>
      <c r="AB10" s="573"/>
      <c r="AC10" s="573"/>
      <c r="AD10" s="573"/>
      <c r="AE10" s="573"/>
      <c r="AF10" s="573"/>
      <c r="AG10" s="573"/>
      <c r="AH10" s="573"/>
      <c r="AI10" s="573"/>
      <c r="AJ10" s="573"/>
      <c r="AK10" s="573"/>
      <c r="AL10" s="573"/>
      <c r="AM10" s="573"/>
      <c r="AN10" s="573"/>
      <c r="AO10" s="573"/>
      <c r="AP10" s="573"/>
      <c r="AQ10" s="573"/>
      <c r="AR10" s="573"/>
      <c r="AS10" s="573"/>
      <c r="AT10" s="573"/>
      <c r="AU10" s="573"/>
      <c r="AV10" s="573"/>
      <c r="AW10" s="573"/>
      <c r="AX10" s="573"/>
      <c r="AY10" s="573"/>
      <c r="AZ10" s="573"/>
      <c r="BA10" s="573"/>
      <c r="BB10" s="573"/>
      <c r="BC10" s="573"/>
      <c r="BD10" s="573"/>
      <c r="BE10" s="573"/>
      <c r="BF10" s="573"/>
      <c r="BG10" s="573"/>
      <c r="BH10" s="573"/>
      <c r="BI10" s="573"/>
      <c r="BJ10" s="573"/>
      <c r="BK10" s="573"/>
      <c r="BL10" s="573"/>
      <c r="BM10" s="573"/>
      <c r="BN10" s="573"/>
      <c r="BO10" s="573"/>
      <c r="BP10" s="573"/>
      <c r="BQ10" s="573"/>
      <c r="BR10" s="573"/>
      <c r="BS10" s="573"/>
      <c r="BT10" s="576"/>
      <c r="BU10" s="576"/>
      <c r="BV10" s="576"/>
      <c r="BW10" s="576"/>
      <c r="BX10" s="576"/>
      <c r="BY10" s="576"/>
      <c r="BZ10" s="576"/>
      <c r="CA10" s="576"/>
      <c r="CB10" s="576"/>
      <c r="CC10" s="576"/>
    </row>
    <row s="8044" customFormat="1" customHeight="1" ht="21">
      <c r="A11" s="1311"/>
      <c r="B11" s="1316"/>
      <c r="C11" s="1311"/>
      <c r="D11" s="605"/>
      <c r="E11" s="335"/>
      <c r="F11" s="335"/>
      <c r="G11" s="335"/>
      <c r="H11" s="335"/>
      <c r="I11" s="335"/>
      <c r="J11" s="335"/>
      <c r="K11" s="654"/>
      <c r="L11" s="654"/>
      <c r="M11" s="654"/>
      <c r="N11" s="654"/>
      <c r="O11" s="380"/>
      <c r="P11" s="654"/>
      <c r="Q11" s="379"/>
      <c r="R11" s="379"/>
      <c r="S11" s="379"/>
      <c r="T11" s="379"/>
    </row>
    <row s="8044" customFormat="1" customHeight="1" ht="14.25">
      <c r="A12" s="1311"/>
      <c r="B12" s="1316"/>
      <c r="C12" s="1311"/>
      <c r="D12" s="605"/>
      <c r="E12" s="1311"/>
      <c r="F12" s="1311"/>
      <c r="G12" s="1311"/>
      <c r="H12" s="1311"/>
      <c r="I12" s="1311"/>
      <c r="J12" s="1311"/>
      <c r="K12" s="654"/>
      <c r="L12" s="654"/>
      <c r="M12" s="654"/>
      <c r="N12" s="654"/>
      <c r="O12" s="380"/>
      <c r="P12" s="654"/>
      <c r="Q12" s="379"/>
      <c r="R12" s="379"/>
      <c r="S12" s="379"/>
      <c r="T12" s="379"/>
    </row>
    <row s="8044" customFormat="1" customHeight="1" ht="0.75">
      <c r="A13" s="1311"/>
      <c r="B13" s="1316"/>
      <c r="C13" s="1311"/>
      <c r="D13" s="605"/>
      <c r="E13" s="1311"/>
      <c r="F13" s="1311"/>
      <c r="G13" s="1311"/>
      <c r="H13" s="1311"/>
      <c r="I13" s="1311"/>
      <c r="J13" s="1311"/>
      <c r="K13" s="654"/>
      <c r="L13" s="654"/>
      <c r="M13" s="654"/>
      <c r="N13" s="654"/>
      <c r="O13" s="380"/>
      <c r="P13" s="654"/>
      <c r="Q13" s="379"/>
      <c r="R13" s="379"/>
      <c r="S13" s="379"/>
      <c r="T13" s="379"/>
    </row>
    <row s="8076" customFormat="1" customHeight="1" ht="10.5">
      <c r="B14" s="988"/>
      <c r="D14" s="337"/>
      <c r="K14" s="654"/>
      <c r="L14" s="654"/>
      <c r="M14" s="654"/>
      <c r="N14" s="654"/>
      <c r="O14" s="380"/>
      <c r="P14" s="654"/>
      <c r="Q14" s="379"/>
      <c r="R14" s="379"/>
      <c r="S14" s="379"/>
      <c r="T14" s="379"/>
    </row>
    <row s="8076" customFormat="1" customHeight="1" ht="10.5">
      <c r="B15" s="988"/>
      <c r="D15" s="337"/>
      <c r="K15" s="654"/>
      <c r="L15" s="654"/>
      <c r="M15" s="654"/>
      <c r="N15" s="654"/>
      <c r="O15" s="380"/>
      <c r="P15" s="654"/>
      <c r="Q15" s="379"/>
      <c r="R15" s="379"/>
      <c r="S15" s="379"/>
      <c r="T15" s="379"/>
    </row>
    <row r="19" customHeight="1" ht="14.25">
      <c r="G19" s="527"/>
      <c r="H19" s="527"/>
      <c r="I19" s="527"/>
    </row>
    <row r="23" customHeight="1" ht="14.25">
      <c r="K23" s="1311"/>
      <c r="L23" s="1311"/>
      <c r="M23" s="1311"/>
    </row>
  </sheetData>
  <sheetProtection formatColumns="0" formatRows="0" autoFilter="0" sort="0" insertRows="0" insertColumns="1" deleteRows="0" deleteColumns="0"/>
  <mergeCells count="5">
    <mergeCell ref="E5:J5"/>
    <mergeCell ref="A9:A10"/>
    <mergeCell ref="E7:I7"/>
    <mergeCell ref="J7:J8"/>
    <mergeCell ref="J9:J10"/>
  </mergeCells>
  <dataValidations count="2">
    <dataValidation type="textLength" allowBlank="1" showInputMessage="1" showErrorMessage="1" prompt="ОГРН состоит из 13 цифр, ОГРНИП - из 15" sqref="I9 I2">
      <formula1>13</formula1>
      <formula2>15</formula2>
    </dataValidation>
    <dataValidation type="textLength" allowBlank="1" showInputMessage="1" showErrorMessage="1" sqref="I3">
      <formula1>13</formula1>
      <formula2>15</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7440A34-1CD9-E61E-80F9-BA2ED81C9991}" mc:Ignorable="x14ac xr xr2 xr3">
  <dimension ref="A1:IV14"/>
  <sheetViews>
    <sheetView topLeftCell="A1" showGridLines="0" zoomScale="90" workbookViewId="0">
      <selection activeCell="A1" sqref="A1"/>
    </sheetView>
  </sheetViews>
  <sheetFormatPr defaultColWidth="9.140625" customHeight="1" defaultRowHeight="14.25"/>
  <cols>
    <col min="1" max="1" style="8807" width="9.140625" hidden="1"/>
    <col min="2" max="2" style="8721" width="9.140625" hidden="1"/>
    <col min="3" max="3" style="8807" width="3.7109375" hidden="1" customWidth="1"/>
    <col min="4" max="4" style="8575" width="3.8515625" customWidth="1"/>
    <col min="5" max="5" style="8807" width="6.28125" customWidth="1"/>
    <col min="6" max="6" style="8807" width="27.28125" customWidth="1"/>
    <col min="7" max="7" style="8807" width="16.7109375" customWidth="1"/>
    <col min="8" max="8" style="8807" width="12.7109375" customWidth="1"/>
    <col min="9" max="9" style="8807" width="32.140625" customWidth="1"/>
    <col min="10" max="11" style="8807" width="41.8515625" customWidth="1"/>
    <col min="12" max="12" style="8807" width="89.57421875" customWidth="1"/>
    <col min="13" max="13" style="10019" width="3.7109375" customWidth="1"/>
    <col min="14" max="16" style="10019" width="9.140625"/>
    <col min="17" max="17" style="8085" width="25.7109375" customWidth="1"/>
    <col min="18" max="18" style="10019" width="14.421875" customWidth="1"/>
    <col min="19" max="22" style="8086" width="9.140625"/>
    <col min="23" max="256" style="8807" width="9.140625"/>
  </cols>
  <sheetData>
    <row customHeight="1" ht="14.25" hidden="1"/>
    <row s="8053" customFormat="1" customHeight="1" ht="22.5" hidden="1">
      <c r="A2" s="985"/>
      <c r="B2" s="1316">
        <v>1</v>
      </c>
      <c r="C2" s="1316"/>
      <c r="D2" s="2086" t="s">
        <v>542</v>
      </c>
      <c r="E2" s="2049"/>
      <c r="F2" s="2052" t="str">
        <f>IF(ROIV_INFO_NAME="","",ROIV_INFO_NAME)</f>
        <v>АО "Теплокоммунэнерго"</v>
      </c>
      <c r="G2" s="2077" t="s">
        <v>24</v>
      </c>
      <c r="H2" s="2076"/>
      <c r="I2" s="1697"/>
      <c r="J2" s="972"/>
      <c r="K2" s="972"/>
      <c r="L2" s="382"/>
      <c r="M2" s="1694">
        <f>MERGEVALUE(F2)</f>
      </c>
      <c r="N2" s="665"/>
      <c r="O2" s="665"/>
      <c r="P2" s="654" t="str">
        <f t="array" ref="P2:P2">IF(ISERROR(MATCH(MID(Q2,1,250),MID(note_ter,1,250),0)),"n","y")</f>
        <v>n</v>
      </c>
      <c r="Q2" s="665"/>
      <c r="R2" s="654" t="str">
        <f>G2&amp;"("&amp;L2&amp;")"</f>
        <v>()</v>
      </c>
      <c r="S2" s="1316"/>
      <c r="T2" s="1316"/>
      <c r="U2" s="574"/>
      <c r="V2" s="1316"/>
      <c r="W2" s="1316"/>
      <c r="X2" s="1316"/>
      <c r="Y2" s="576"/>
      <c r="Z2" s="576"/>
      <c r="AA2" s="573"/>
      <c r="AB2" s="573"/>
      <c r="AC2" s="573"/>
      <c r="AD2" s="573"/>
      <c r="AE2" s="573"/>
      <c r="AF2" s="573"/>
      <c r="AG2" s="573"/>
      <c r="AH2" s="573"/>
      <c r="AI2" s="573"/>
      <c r="AJ2" s="573"/>
      <c r="AK2" s="573"/>
      <c r="AL2" s="573"/>
      <c r="AM2" s="573"/>
      <c r="AN2" s="573"/>
      <c r="AO2" s="573"/>
      <c r="AP2" s="573"/>
      <c r="AQ2" s="573"/>
      <c r="AR2" s="573"/>
      <c r="AS2" s="573"/>
      <c r="AT2" s="573"/>
      <c r="AU2" s="573"/>
      <c r="AV2" s="573"/>
      <c r="AW2" s="573"/>
      <c r="AX2" s="573"/>
      <c r="AY2" s="573"/>
      <c r="AZ2" s="573"/>
      <c r="BA2" s="573"/>
      <c r="BB2" s="573"/>
      <c r="BC2" s="573"/>
      <c r="BD2" s="573"/>
      <c r="BE2" s="573"/>
      <c r="BF2" s="573"/>
      <c r="BG2" s="573"/>
      <c r="BH2" s="573"/>
      <c r="BI2" s="573"/>
      <c r="BJ2" s="573"/>
      <c r="BK2" s="573"/>
      <c r="BL2" s="573"/>
      <c r="BM2" s="573"/>
      <c r="BN2" s="573"/>
      <c r="BO2" s="573"/>
      <c r="BP2" s="573"/>
      <c r="BQ2" s="573"/>
      <c r="BR2" s="573"/>
      <c r="BS2" s="573"/>
      <c r="BT2" s="573"/>
      <c r="BU2" s="573"/>
      <c r="BV2" s="576"/>
      <c r="BW2" s="576"/>
      <c r="BX2" s="576"/>
      <c r="BY2" s="576"/>
      <c r="BZ2" s="576"/>
      <c r="CA2" s="576"/>
      <c r="CB2" s="576"/>
      <c r="CC2" s="576"/>
      <c r="CD2" s="576"/>
      <c r="CE2" s="576"/>
    </row>
    <row s="8794" customFormat="1" customHeight="1" ht="5.25" hidden="1">
      <c r="A3" s="650"/>
      <c r="D3" s="648"/>
      <c r="F3" s="401" t="s">
        <v>80</v>
      </c>
      <c r="G3" s="1894" t="s">
        <v>81</v>
      </c>
      <c r="H3" s="648"/>
      <c r="I3" s="648"/>
      <c r="J3" s="648"/>
      <c r="K3" s="648"/>
      <c r="L3" s="381" t="s">
        <v>82</v>
      </c>
      <c r="M3" s="401" t="s">
        <v>80</v>
      </c>
      <c r="N3" s="401"/>
      <c r="O3" s="401"/>
      <c r="P3" s="401"/>
      <c r="Q3" s="402"/>
      <c r="R3" s="401"/>
      <c r="S3" s="401"/>
      <c r="T3" s="401"/>
      <c r="U3" s="401"/>
      <c r="V3" s="401"/>
      <c r="W3" s="381"/>
      <c r="X3" s="381"/>
      <c r="Y3" s="381"/>
      <c r="Z3" s="381"/>
      <c r="AA3" s="381"/>
      <c r="AB3" s="381"/>
      <c r="AC3" s="381"/>
      <c r="AD3" s="381"/>
      <c r="AE3" s="381"/>
      <c r="AF3" s="381"/>
      <c r="AG3" s="381"/>
      <c r="AH3" s="381"/>
      <c r="AI3" s="381"/>
      <c r="AJ3" s="381"/>
      <c r="AK3" s="381"/>
      <c r="AL3" s="381"/>
      <c r="AM3" s="381"/>
      <c r="AN3" s="381"/>
      <c r="AO3" s="381"/>
      <c r="AP3" s="381"/>
      <c r="AQ3" s="381"/>
      <c r="AR3" s="381"/>
      <c r="AS3" s="381"/>
      <c r="AT3" s="381"/>
      <c r="AU3" s="381"/>
      <c r="AV3" s="381"/>
      <c r="AW3" s="381"/>
      <c r="AX3" s="381"/>
      <c r="AY3" s="381"/>
      <c r="AZ3" s="381"/>
      <c r="BA3" s="381"/>
      <c r="BB3" s="381"/>
      <c r="BC3" s="381"/>
      <c r="BD3" s="381"/>
      <c r="BE3" s="381"/>
      <c r="BF3" s="381"/>
      <c r="BG3" s="381"/>
      <c r="BH3" s="381"/>
      <c r="BI3" s="381"/>
      <c r="BJ3" s="381"/>
      <c r="BK3" s="381"/>
      <c r="BL3" s="381"/>
      <c r="BM3" s="381"/>
      <c r="BN3" s="381"/>
      <c r="BO3" s="381"/>
      <c r="BP3" s="381"/>
      <c r="BQ3" s="381"/>
      <c r="BR3" s="381"/>
      <c r="BS3" s="381"/>
      <c r="BT3" s="381"/>
      <c r="BU3" s="381"/>
      <c r="BV3" s="381"/>
      <c r="BW3" s="381"/>
      <c r="BX3" s="381"/>
      <c r="BY3" s="381"/>
      <c r="BZ3" s="381"/>
      <c r="CA3" s="381"/>
      <c r="CB3" s="381"/>
      <c r="CC3" s="381"/>
      <c r="CD3" s="381"/>
      <c r="CE3" s="381"/>
      <c r="CF3" s="381"/>
      <c r="CG3" s="381"/>
      <c r="CH3" s="381"/>
      <c r="CI3" s="381"/>
      <c r="CJ3" s="381"/>
      <c r="CK3" s="381"/>
      <c r="CL3" s="381"/>
      <c r="CM3" s="381"/>
      <c r="CN3" s="381"/>
      <c r="CO3" s="381"/>
      <c r="CP3" s="381"/>
      <c r="CQ3" s="381"/>
      <c r="CR3" s="381"/>
      <c r="CS3" s="381"/>
      <c r="CT3" s="381"/>
      <c r="CU3" s="381"/>
      <c r="CV3" s="381"/>
      <c r="CW3" s="381"/>
      <c r="CX3" s="381"/>
      <c r="CY3" s="381"/>
      <c r="CZ3" s="381"/>
      <c r="DA3" s="381"/>
      <c r="DB3" s="381"/>
      <c r="DC3" s="381"/>
      <c r="DD3" s="381"/>
      <c r="DE3" s="381"/>
      <c r="DF3" s="381"/>
      <c r="DG3" s="381"/>
      <c r="DH3" s="381"/>
      <c r="DI3" s="381"/>
      <c r="DJ3" s="381"/>
      <c r="DK3" s="381"/>
      <c r="DL3" s="381"/>
      <c r="DM3" s="381"/>
      <c r="DN3" s="381"/>
      <c r="DO3" s="381"/>
      <c r="DP3" s="381"/>
      <c r="DQ3" s="381"/>
      <c r="DR3" s="381"/>
      <c r="DS3" s="381"/>
      <c r="DT3" s="381"/>
      <c r="DU3" s="381"/>
      <c r="DV3" s="381"/>
      <c r="DW3" s="381"/>
      <c r="DX3" s="381"/>
      <c r="DY3" s="381"/>
      <c r="DZ3" s="381"/>
      <c r="EA3" s="381"/>
      <c r="EB3" s="381"/>
      <c r="EC3" s="381"/>
      <c r="ED3" s="381"/>
      <c r="EE3" s="381"/>
      <c r="EF3" s="381"/>
      <c r="EG3" s="381"/>
      <c r="EH3" s="381"/>
      <c r="EI3" s="381"/>
      <c r="EJ3" s="381"/>
      <c r="EK3" s="381"/>
      <c r="EL3" s="381"/>
      <c r="EM3" s="381"/>
      <c r="EN3" s="381"/>
      <c r="EO3" s="381"/>
      <c r="EP3" s="381"/>
      <c r="EQ3" s="381"/>
      <c r="ER3" s="381"/>
      <c r="ES3" s="381"/>
      <c r="ET3" s="381"/>
      <c r="EU3" s="381"/>
      <c r="EV3" s="381"/>
      <c r="EW3" s="381"/>
      <c r="EX3" s="381"/>
      <c r="EY3" s="381"/>
      <c r="EZ3" s="381"/>
      <c r="FA3" s="381"/>
      <c r="FB3" s="381"/>
      <c r="FC3" s="381"/>
      <c r="FD3" s="381"/>
      <c r="FE3" s="381"/>
      <c r="FF3" s="381"/>
      <c r="FG3" s="381"/>
      <c r="FH3" s="381"/>
      <c r="FI3" s="381"/>
      <c r="FJ3" s="381"/>
      <c r="FK3" s="381"/>
      <c r="FL3" s="381"/>
      <c r="FM3" s="381"/>
      <c r="FN3" s="381"/>
      <c r="FO3" s="381"/>
      <c r="FP3" s="381"/>
      <c r="FQ3" s="381"/>
      <c r="FR3" s="381"/>
      <c r="FS3" s="381"/>
      <c r="FT3" s="381"/>
      <c r="FU3" s="381"/>
      <c r="FV3" s="381"/>
      <c r="FW3" s="381"/>
      <c r="FX3" s="381"/>
      <c r="FY3" s="381"/>
      <c r="FZ3" s="381"/>
      <c r="GA3" s="381"/>
      <c r="GB3" s="381"/>
      <c r="GC3" s="381"/>
      <c r="GD3" s="381"/>
      <c r="GE3" s="381"/>
      <c r="GF3" s="381"/>
      <c r="GG3" s="381"/>
      <c r="GH3" s="381"/>
      <c r="GI3" s="381"/>
      <c r="GJ3" s="381"/>
      <c r="GK3" s="381"/>
      <c r="GL3" s="381"/>
      <c r="GM3" s="381"/>
      <c r="GN3" s="381"/>
      <c r="GO3" s="381"/>
      <c r="GP3" s="381"/>
      <c r="GQ3" s="381"/>
      <c r="GR3" s="381"/>
      <c r="GS3" s="381"/>
      <c r="GT3" s="381"/>
      <c r="GU3" s="381"/>
      <c r="GV3" s="381"/>
      <c r="GW3" s="381"/>
      <c r="GX3" s="381"/>
      <c r="GY3" s="381"/>
      <c r="GZ3" s="381"/>
      <c r="HA3" s="381"/>
      <c r="HB3" s="381"/>
      <c r="HC3" s="381"/>
      <c r="HD3" s="381"/>
      <c r="HE3" s="381"/>
      <c r="HF3" s="381"/>
      <c r="HG3" s="381"/>
      <c r="HH3" s="381"/>
      <c r="HI3" s="381"/>
      <c r="HJ3" s="381"/>
      <c r="HK3" s="381"/>
      <c r="HL3" s="381"/>
      <c r="HM3" s="381"/>
      <c r="HN3" s="381"/>
      <c r="HO3" s="381"/>
      <c r="HP3" s="381"/>
      <c r="HQ3" s="381"/>
      <c r="HR3" s="381"/>
      <c r="HS3" s="381"/>
      <c r="HT3" s="381"/>
      <c r="HU3" s="381"/>
      <c r="HV3" s="381"/>
      <c r="HW3" s="381"/>
      <c r="HX3" s="381"/>
      <c r="HY3" s="381"/>
      <c r="HZ3" s="381"/>
      <c r="IA3" s="381"/>
      <c r="IB3" s="381"/>
      <c r="IC3" s="381"/>
      <c r="ID3" s="381"/>
      <c r="IE3" s="381"/>
      <c r="IF3" s="381"/>
      <c r="IG3" s="381"/>
      <c r="IH3" s="381"/>
      <c r="II3" s="381"/>
      <c r="IJ3" s="381"/>
      <c r="IK3" s="381"/>
      <c r="IL3" s="381"/>
      <c r="IM3" s="381"/>
      <c r="IN3" s="381"/>
      <c r="IO3" s="381"/>
      <c r="IP3" s="381"/>
      <c r="IQ3" s="381"/>
      <c r="IR3" s="381"/>
      <c r="IS3" s="381"/>
      <c r="IT3" s="381"/>
      <c r="IU3" s="381"/>
      <c r="IV3" s="381"/>
    </row>
    <row s="8044" customFormat="1" customHeight="1" ht="14.25">
      <c r="A4" s="1311"/>
      <c r="B4" s="1316"/>
      <c r="C4" s="1311"/>
      <c r="D4" s="1654"/>
      <c r="E4" s="663"/>
      <c r="F4" s="663"/>
      <c r="G4" s="663"/>
      <c r="H4" s="663"/>
      <c r="I4" s="663"/>
      <c r="J4" s="663"/>
      <c r="K4" s="663"/>
      <c r="L4" s="321"/>
      <c r="M4" s="401"/>
      <c r="N4" s="654"/>
      <c r="O4" s="654"/>
      <c r="P4" s="654"/>
      <c r="Q4" s="380"/>
      <c r="R4" s="654"/>
      <c r="S4" s="379"/>
      <c r="T4" s="379"/>
      <c r="U4" s="379"/>
      <c r="V4" s="379"/>
    </row>
    <row s="8044" customFormat="1" customHeight="1" ht="25.5">
      <c r="A5" s="1311"/>
      <c r="B5" s="1316"/>
      <c r="C5" s="1311"/>
      <c r="D5" s="1654"/>
      <c r="E5" s="2168" t="str">
        <f>"Форма "&amp;IF(TEMPLATE_SPHERE="HEAT","4","3")&amp;". Информация о рассмотрении дел об установлении "&amp;IF(TEMPLATE_SPHERE="TKO","предельных тарифов","тарифов в сфере "&amp;TEMPLATE_SPHERE_RUS)</f>
        <v>Форма 3. Информация о рассмотрении дел об установлении тарифов в сфере горячего водоснабжения</v>
      </c>
      <c r="F5" s="2168"/>
      <c r="G5" s="2168"/>
      <c r="H5" s="2168"/>
      <c r="I5" s="2168"/>
      <c r="J5" s="2168"/>
      <c r="K5" s="2168"/>
      <c r="L5" s="742"/>
      <c r="M5" s="401"/>
      <c r="N5" s="654"/>
      <c r="O5" s="654"/>
      <c r="P5" s="654"/>
      <c r="Q5" s="380"/>
      <c r="R5" s="654"/>
      <c r="S5" s="379"/>
      <c r="T5" s="379"/>
      <c r="U5" s="379"/>
      <c r="V5" s="379"/>
    </row>
    <row s="8044" customFormat="1" customHeight="1" ht="14.25">
      <c r="A6" s="1311"/>
      <c r="B6" s="1316"/>
      <c r="C6" s="1311"/>
      <c r="D6" s="1654"/>
      <c r="E6" s="663"/>
      <c r="F6" s="322"/>
      <c r="G6" s="322"/>
      <c r="H6" s="322"/>
      <c r="I6" s="322"/>
      <c r="J6" s="322"/>
      <c r="K6" s="322"/>
      <c r="L6" s="323"/>
      <c r="M6" s="654"/>
      <c r="N6" s="654"/>
      <c r="O6" s="654"/>
      <c r="P6" s="654"/>
      <c r="Q6" s="380"/>
      <c r="R6" s="654"/>
      <c r="S6" s="379"/>
      <c r="T6" s="379"/>
      <c r="U6" s="379"/>
      <c r="V6" s="379"/>
    </row>
    <row s="8044" customFormat="1" customHeight="1" ht="14.25">
      <c r="A7" s="1311"/>
      <c r="B7" s="1316"/>
      <c r="C7" s="1311"/>
      <c r="D7" s="1654"/>
      <c r="E7" s="2169" t="s">
        <v>300</v>
      </c>
      <c r="F7" s="2170"/>
      <c r="G7" s="2170"/>
      <c r="H7" s="2170"/>
      <c r="I7" s="2170"/>
      <c r="J7" s="2170"/>
      <c r="K7" s="2170"/>
      <c r="L7" s="2533" t="s">
        <v>301</v>
      </c>
      <c r="M7" s="654"/>
      <c r="N7" s="654"/>
      <c r="O7" s="654"/>
      <c r="P7" s="654"/>
      <c r="Q7" s="380"/>
      <c r="R7" s="654"/>
      <c r="S7" s="379"/>
      <c r="T7" s="379"/>
      <c r="U7" s="379"/>
      <c r="V7" s="379"/>
    </row>
    <row s="8044" customFormat="1" customHeight="1" ht="64.5">
      <c r="A8" s="1311"/>
      <c r="B8" s="1316"/>
      <c r="C8" s="1311"/>
      <c r="D8" s="1654"/>
      <c r="E8" s="2537" t="s">
        <v>85</v>
      </c>
      <c r="F8" s="2537" t="str">
        <f>"Наименование "&amp;IF(TEMPLATE_SPHERE="TKO","регионального органа регулирования (органа местного самоуправления)","органа "&amp;IF(TEMPLATE_SPHERE="HEAT","тарифного регулирования","регулирования тарифов"))</f>
        <v>Наименование органа регулирования тарифов</v>
      </c>
      <c r="G8" s="2539" t="str">
        <f>"Заседание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на котором планируется рассмотрение дел об установлении "&amp;IF(TEMPLATE_SPHERE="TKO","предельных тарифов",IF(TEMPLATE_SPHERE="HEAT","цен (тарифов) в сфере теплоснабжения","тарифов в сфере водоснабжения и водоотведения"))</f>
        <v>Заседание правления (коллегии) органа регулирования тарифов, на котором планируется рассмотрение дел об установлении тарифов в сфере водоснабжения и водоотведения</v>
      </c>
      <c r="H8" s="2540"/>
      <c r="I8" s="2541"/>
      <c r="J8" s="2537" t="str">
        <f>"Принятые "&amp;IF(TEMPLATE_SPHERE="TKO","региональным органом регулирования (органом местного самоуправления)","органом "&amp;IF(TEMPLATE_SPHERE="HEAT","тарифного регулирования","регулирования тарифов"))&amp;" решения об установлении "&amp;IF(TEMPLATE_SPHERE="TKO","предельных тарифов",IF(TEMPLATE_SPHERE="HEAT","цен (тарифов) в сфере теплоснабжения, а также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теплоснабжении""","тарифов в сфере водоснабжения и водоотведения"))</f>
        <v>Принятые органом регулирования тарифов решения об установлении тарифов в сфере водоснабжения и водоотведения</v>
      </c>
      <c r="K8" s="2537"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регулирования тарифов, оформленный в соответствии 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v>
      </c>
      <c r="L8" s="2535"/>
      <c r="M8" s="654"/>
      <c r="N8" s="654"/>
      <c r="O8" s="654"/>
      <c r="P8" s="654"/>
      <c r="Q8" s="380"/>
      <c r="R8" s="654"/>
      <c r="S8" s="379"/>
      <c r="T8" s="379"/>
      <c r="U8" s="379"/>
      <c r="V8" s="379"/>
    </row>
    <row s="8044" customFormat="1" customHeight="1" ht="27.75">
      <c r="A9" s="1311"/>
      <c r="B9" s="1316"/>
      <c r="C9" s="1311"/>
      <c r="D9" s="1654"/>
      <c r="E9" s="2538"/>
      <c r="F9" s="2538"/>
      <c r="G9" s="1696" t="s">
        <v>1788</v>
      </c>
      <c r="H9" s="1696" t="s">
        <v>1789</v>
      </c>
      <c r="I9" s="1696" t="s">
        <v>1790</v>
      </c>
      <c r="J9" s="2538"/>
      <c r="K9" s="2538"/>
      <c r="L9" s="2534"/>
      <c r="M9" s="654"/>
      <c r="N9" s="654"/>
      <c r="O9" s="654"/>
      <c r="P9" s="654"/>
      <c r="Q9" s="380"/>
      <c r="R9" s="654"/>
      <c r="S9" s="379"/>
      <c r="T9" s="379"/>
      <c r="U9" s="379"/>
      <c r="V9" s="379"/>
    </row>
    <row s="8053" customFormat="1" customHeight="1" ht="22.5">
      <c r="A10" s="2167"/>
      <c r="B10" s="1316">
        <v>1</v>
      </c>
      <c r="C10" s="1316"/>
      <c r="D10" s="954"/>
      <c r="E10" s="952">
        <v>1</v>
      </c>
      <c r="F10" s="1698" t="str">
        <f>IF(ROIV_INFO_NAME="","",ROIV_INFO_NAME)</f>
        <v>АО "Теплокоммунэнерго"</v>
      </c>
      <c r="G10" s="1891" t="s">
        <v>24</v>
      </c>
      <c r="H10" s="2076"/>
      <c r="I10" s="1693"/>
      <c r="J10" s="972"/>
      <c r="K10" s="972"/>
      <c r="L10" s="2511"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регулирования тарифов р… » и «Протокол заседания правления (коллегии) …» указываются ссылка на документ, предварительно загруженный в хранилище файлов ФГИС ЕИАС.</v>
      </c>
      <c r="M10" s="1694">
        <f>MERGEVALUE(F10)</f>
      </c>
      <c r="N10" s="665"/>
      <c r="O10" s="665"/>
      <c r="P10" s="654" t="str">
        <f t="array" ref="P10:P10">IF(ISERROR(MATCH(MID(Q10,1,250),MID(note_ter,1,250),0)),"n","y")</f>
        <v>n</v>
      </c>
      <c r="Q10" s="665"/>
      <c r="R10" s="654" t="str">
        <f>G10&amp;"("&amp;L10&amp;")"</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регулирования тарифов р… » и «Протокол заседания правления (коллегии) …» указываются ссылка на документ, предварительно загруженный в хранилище файлов ФГИС ЕИАС.)</v>
      </c>
      <c r="S10" s="1316"/>
      <c r="T10" s="1316"/>
      <c r="U10" s="574"/>
      <c r="V10" s="1316"/>
      <c r="W10" s="1316"/>
      <c r="X10" s="1316"/>
      <c r="Y10" s="576"/>
      <c r="Z10" s="576"/>
      <c r="AA10" s="573"/>
      <c r="AB10" s="573"/>
      <c r="AC10" s="573"/>
      <c r="AD10" s="573"/>
      <c r="AE10" s="573"/>
      <c r="AF10" s="573"/>
      <c r="AG10" s="573"/>
      <c r="AH10" s="573"/>
      <c r="AI10" s="573"/>
      <c r="AJ10" s="573"/>
      <c r="AK10" s="573"/>
      <c r="AL10" s="573"/>
      <c r="AM10" s="573"/>
      <c r="AN10" s="573"/>
      <c r="AO10" s="573"/>
      <c r="AP10" s="573"/>
      <c r="AQ10" s="573"/>
      <c r="AR10" s="573"/>
      <c r="AS10" s="573"/>
      <c r="AT10" s="573"/>
      <c r="AU10" s="573"/>
      <c r="AV10" s="573"/>
      <c r="AW10" s="573"/>
      <c r="AX10" s="573"/>
      <c r="AY10" s="573"/>
      <c r="AZ10" s="573"/>
      <c r="BA10" s="573"/>
      <c r="BB10" s="573"/>
      <c r="BC10" s="573"/>
      <c r="BD10" s="573"/>
      <c r="BE10" s="573"/>
      <c r="BF10" s="573"/>
      <c r="BG10" s="573"/>
      <c r="BH10" s="573"/>
      <c r="BI10" s="573"/>
      <c r="BJ10" s="573"/>
      <c r="BK10" s="573"/>
      <c r="BL10" s="573"/>
      <c r="BM10" s="573"/>
      <c r="BN10" s="573"/>
      <c r="BO10" s="573"/>
      <c r="BP10" s="573"/>
      <c r="BQ10" s="573"/>
      <c r="BR10" s="573"/>
      <c r="BS10" s="573"/>
      <c r="BT10" s="573"/>
      <c r="BU10" s="573"/>
      <c r="BV10" s="576"/>
      <c r="BW10" s="576"/>
      <c r="BX10" s="576"/>
      <c r="BY10" s="576"/>
      <c r="BZ10" s="576"/>
      <c r="CA10" s="576"/>
      <c r="CB10" s="576"/>
      <c r="CC10" s="576"/>
      <c r="CD10" s="576"/>
      <c r="CE10" s="576"/>
    </row>
    <row s="8053" customFormat="1" customHeight="1" ht="15">
      <c r="A11" s="2167"/>
      <c r="B11" s="1316"/>
      <c r="C11" s="566"/>
      <c r="D11" s="955"/>
      <c r="E11" s="575"/>
      <c r="F11" s="570" t="s">
        <v>1791</v>
      </c>
      <c r="G11" s="341"/>
      <c r="H11" s="341"/>
      <c r="I11" s="341"/>
      <c r="J11" s="341"/>
      <c r="K11" s="578"/>
      <c r="L11" s="2536"/>
      <c r="M11" s="1695"/>
      <c r="N11" s="665"/>
      <c r="O11" s="665"/>
      <c r="P11" s="665"/>
      <c r="Q11" s="654"/>
      <c r="R11" s="665"/>
      <c r="S11" s="1316"/>
      <c r="T11" s="1316"/>
      <c r="U11" s="574"/>
      <c r="V11" s="1316"/>
      <c r="W11" s="1316"/>
      <c r="X11" s="1316"/>
      <c r="Y11" s="576"/>
      <c r="Z11" s="576"/>
      <c r="AA11" s="573"/>
      <c r="AB11" s="573"/>
      <c r="AC11" s="573"/>
      <c r="AD11" s="573"/>
      <c r="AE11" s="573"/>
      <c r="AF11" s="573"/>
      <c r="AG11" s="573"/>
      <c r="AH11" s="573"/>
      <c r="AI11" s="573"/>
      <c r="AJ11" s="573"/>
      <c r="AK11" s="573"/>
      <c r="AL11" s="573"/>
      <c r="AM11" s="573"/>
      <c r="AN11" s="573"/>
      <c r="AO11" s="573"/>
      <c r="AP11" s="573"/>
      <c r="AQ11" s="573"/>
      <c r="AR11" s="573"/>
      <c r="AS11" s="573"/>
      <c r="AT11" s="573"/>
      <c r="AU11" s="573"/>
      <c r="AV11" s="573"/>
      <c r="AW11" s="573"/>
      <c r="AX11" s="573"/>
      <c r="AY11" s="573"/>
      <c r="AZ11" s="573"/>
      <c r="BA11" s="573"/>
      <c r="BB11" s="573"/>
      <c r="BC11" s="573"/>
      <c r="BD11" s="573"/>
      <c r="BE11" s="573"/>
      <c r="BF11" s="573"/>
      <c r="BG11" s="573"/>
      <c r="BH11" s="573"/>
      <c r="BI11" s="573"/>
      <c r="BJ11" s="573"/>
      <c r="BK11" s="573"/>
      <c r="BL11" s="573"/>
      <c r="BM11" s="573"/>
      <c r="BN11" s="573"/>
      <c r="BO11" s="573"/>
      <c r="BP11" s="573"/>
      <c r="BQ11" s="573"/>
      <c r="BR11" s="573"/>
      <c r="BS11" s="573"/>
      <c r="BT11" s="573"/>
      <c r="BU11" s="573"/>
      <c r="BV11" s="576"/>
      <c r="BW11" s="576"/>
      <c r="BX11" s="576"/>
      <c r="BY11" s="576"/>
      <c r="BZ11" s="576"/>
      <c r="CA11" s="576"/>
      <c r="CB11" s="576"/>
      <c r="CC11" s="576"/>
      <c r="CD11" s="576"/>
      <c r="CE11" s="576"/>
    </row>
    <row s="8044" customFormat="1" customHeight="1" ht="21">
      <c r="A12" s="1311"/>
      <c r="B12" s="1316"/>
      <c r="C12" s="1311"/>
      <c r="D12" s="605"/>
      <c r="E12" s="335"/>
      <c r="F12" s="335"/>
      <c r="G12" s="335"/>
      <c r="H12" s="335"/>
      <c r="I12" s="335"/>
      <c r="J12" s="335"/>
      <c r="K12" s="335"/>
      <c r="L12" s="335"/>
      <c r="M12" s="654"/>
      <c r="N12" s="654"/>
      <c r="O12" s="654"/>
      <c r="P12" s="654"/>
      <c r="Q12" s="380"/>
      <c r="R12" s="654"/>
      <c r="S12" s="379"/>
      <c r="T12" s="379"/>
      <c r="U12" s="379"/>
      <c r="V12" s="379"/>
    </row>
    <row s="8044" customFormat="1" customHeight="1" ht="14.25">
      <c r="A13" s="1311"/>
      <c r="B13" s="1316"/>
      <c r="C13" s="1311"/>
      <c r="D13" s="605"/>
      <c r="E13" s="1311"/>
      <c r="F13" s="1311"/>
      <c r="G13" s="1311"/>
      <c r="H13" s="1311"/>
      <c r="I13" s="1311"/>
      <c r="J13" s="1311"/>
      <c r="K13" s="1311"/>
      <c r="L13" s="1311"/>
      <c r="M13" s="654"/>
      <c r="N13" s="654"/>
      <c r="O13" s="654"/>
      <c r="P13" s="654"/>
      <c r="Q13" s="380"/>
      <c r="R13" s="654"/>
      <c r="S13" s="379"/>
      <c r="T13" s="379"/>
      <c r="U13" s="379"/>
      <c r="V13" s="379"/>
    </row>
    <row s="8044" customFormat="1" customHeight="1" ht="0.75">
      <c r="A14" s="1311"/>
      <c r="B14" s="1316"/>
      <c r="C14" s="1311"/>
      <c r="D14" s="605"/>
      <c r="E14" s="1311"/>
      <c r="F14" s="1311"/>
      <c r="G14" s="1311"/>
      <c r="H14" s="1311"/>
      <c r="I14" s="1311"/>
      <c r="J14" s="1311"/>
      <c r="K14" s="1311"/>
      <c r="L14" s="1311"/>
      <c r="M14" s="654"/>
      <c r="N14" s="654"/>
      <c r="O14" s="654"/>
      <c r="P14" s="654"/>
      <c r="Q14" s="380"/>
      <c r="R14" s="654"/>
      <c r="S14" s="379"/>
      <c r="T14" s="379"/>
      <c r="U14" s="379"/>
      <c r="V14" s="379"/>
    </row>
  </sheetData>
  <sheetProtection formatColumns="0" formatRows="0" autoFilter="0" sort="0" insertRows="0" insertColumns="1" deleteRows="0" deleteColumns="0"/>
  <mergeCells count="10">
    <mergeCell ref="L7:L9"/>
    <mergeCell ref="E7:K7"/>
    <mergeCell ref="A10:A11"/>
    <mergeCell ref="L10:L11"/>
    <mergeCell ref="E5:K5"/>
    <mergeCell ref="F8:F9"/>
    <mergeCell ref="E8:E9"/>
    <mergeCell ref="G8:I8"/>
    <mergeCell ref="J8:J9"/>
    <mergeCell ref="K8:K9"/>
  </mergeCells>
  <dataValidations count="5">
    <dataValidation type="textLength" operator="lessThanOrEqual" allowBlank="1" showInputMessage="1" showErrorMessage="1" sqref="I10 I2">
      <formula1>990</formula1>
    </dataValidation>
    <dataValidation type="time" allowBlank="1" showInputMessage="1" showErrorMessage="1" prompt="Укажите время в формате ЧЧ:ММ" sqref="H10 H2">
      <formula1>0</formula1>
      <formula2>0.9993055555555556</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J2:K3 J10:K10">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G10"/>
    <dataValidation type="textLength" allowBlank="1" showInputMessage="1" showErrorMessage="1" sqref="H3:I3">
      <formula1>13</formula1>
      <formula2>15</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B2B0EA7-F3A7-CBBA-34BC-A5E3B17B34C6}" mc:Ignorable="x14ac xr xr2 xr3">
  <dimension ref="A1:IV14"/>
  <sheetViews>
    <sheetView topLeftCell="A1" showGridLines="0" zoomScale="90" workbookViewId="0">
      <selection activeCell="A1" sqref="A1"/>
    </sheetView>
  </sheetViews>
  <sheetFormatPr defaultColWidth="9.140625" customHeight="1" defaultRowHeight="14.25"/>
  <cols>
    <col min="1" max="1" style="8849" width="9.140625" hidden="1"/>
    <col min="2" max="2" style="8834" width="9.140625" hidden="1"/>
    <col min="3" max="3" style="8849" width="3.7109375" hidden="1" customWidth="1"/>
    <col min="4" max="4" style="10047" width="3.8515625" customWidth="1"/>
    <col min="5" max="5" style="8849" width="6.28125" customWidth="1"/>
    <col min="6" max="6" style="8849" width="27.28125" customWidth="1"/>
    <col min="7" max="7" style="8849" width="16.7109375" customWidth="1"/>
    <col min="8" max="8" style="8849" width="12.7109375" customWidth="1"/>
    <col min="9" max="9" style="8849" width="32.140625" customWidth="1"/>
    <col min="10" max="11" style="8849" width="41.8515625" customWidth="1"/>
    <col min="12" max="12" style="8849" width="89.57421875" customWidth="1"/>
    <col min="13" max="13" style="10048" width="3.7109375" customWidth="1"/>
    <col min="14" max="16" style="10048" width="9.140625"/>
    <col min="17" max="17" style="10048" width="25.7109375" customWidth="1"/>
    <col min="18" max="18" style="10048" width="14.421875" customWidth="1"/>
    <col min="19" max="22" style="8086" width="9.140625"/>
    <col min="23" max="256" style="8849" width="9.140625"/>
  </cols>
  <sheetData>
    <row customHeight="1" ht="14.25" hidden="1"/>
    <row s="10037" customFormat="1" customHeight="1" ht="22.5" hidden="1">
      <c r="A2" s="985"/>
      <c r="B2" s="1525">
        <v>1</v>
      </c>
      <c r="C2" s="1525"/>
      <c r="D2" s="2087" t="s">
        <v>542</v>
      </c>
      <c r="E2" s="2064"/>
      <c r="F2" s="2066" t="str">
        <f>IF(ROIV_INFO_NAME="","",ROIV_INFO_NAME)</f>
        <v>АО "Теплокоммунэнерго"</v>
      </c>
      <c r="G2" s="1891" t="s">
        <v>24</v>
      </c>
      <c r="H2" s="2076"/>
      <c r="I2" s="1697"/>
      <c r="J2" s="972"/>
      <c r="K2" s="972"/>
      <c r="L2" s="382"/>
      <c r="M2" s="1694">
        <f>MERGEVALUE(F2)</f>
      </c>
      <c r="N2" s="1795"/>
      <c r="O2" s="1795"/>
      <c r="P2" s="1783" t="str">
        <f t="array" ref="P2:P2">IF(ISERROR(MATCH(MID(Q2,1,250),MID(note_ter,1,250),0)),"n","y")</f>
        <v>n</v>
      </c>
      <c r="Q2" s="1795"/>
      <c r="R2" s="1783" t="str">
        <f>G2&amp;"("&amp;L2&amp;")"</f>
        <v>()</v>
      </c>
      <c r="S2" s="1525"/>
      <c r="T2" s="1525"/>
      <c r="U2" s="574"/>
      <c r="V2" s="1525"/>
      <c r="W2" s="1525"/>
      <c r="X2" s="1525"/>
      <c r="Y2" s="987"/>
      <c r="Z2" s="987"/>
      <c r="AA2" s="781"/>
      <c r="AB2" s="781"/>
      <c r="AC2" s="781"/>
      <c r="AD2" s="781"/>
      <c r="AE2" s="781"/>
      <c r="AF2" s="781"/>
      <c r="AG2" s="781"/>
      <c r="AH2" s="781"/>
      <c r="AI2" s="781"/>
      <c r="AJ2" s="781"/>
      <c r="AK2" s="781"/>
      <c r="AL2" s="781"/>
      <c r="AM2" s="781"/>
      <c r="AN2" s="781"/>
      <c r="AO2" s="781"/>
      <c r="AP2" s="781"/>
      <c r="AQ2" s="781"/>
      <c r="AR2" s="781"/>
      <c r="AS2" s="781"/>
      <c r="AT2" s="781"/>
      <c r="AU2" s="781"/>
      <c r="AV2" s="781"/>
      <c r="AW2" s="781"/>
      <c r="AX2" s="781"/>
      <c r="AY2" s="781"/>
      <c r="AZ2" s="781"/>
      <c r="BA2" s="781"/>
      <c r="BB2" s="781"/>
      <c r="BC2" s="781"/>
      <c r="BD2" s="781"/>
      <c r="BE2" s="781"/>
      <c r="BF2" s="781"/>
      <c r="BG2" s="781"/>
      <c r="BH2" s="781"/>
      <c r="BI2" s="781"/>
      <c r="BJ2" s="781"/>
      <c r="BK2" s="781"/>
      <c r="BL2" s="781"/>
      <c r="BM2" s="781"/>
      <c r="BN2" s="781"/>
      <c r="BO2" s="781"/>
      <c r="BP2" s="781"/>
      <c r="BQ2" s="781"/>
      <c r="BR2" s="781"/>
      <c r="BS2" s="781"/>
      <c r="BT2" s="781"/>
      <c r="BU2" s="781"/>
      <c r="BV2" s="987"/>
      <c r="BW2" s="987"/>
      <c r="BX2" s="987"/>
      <c r="BY2" s="987"/>
      <c r="BZ2" s="987"/>
      <c r="CA2" s="987"/>
      <c r="CB2" s="987"/>
      <c r="CC2" s="987"/>
      <c r="CD2" s="987"/>
      <c r="CE2" s="987"/>
    </row>
    <row s="8847" customFormat="1" customHeight="1" ht="5.25" hidden="1">
      <c r="A3" s="1800"/>
      <c r="D3" s="2053"/>
      <c r="F3" s="402" t="s">
        <v>80</v>
      </c>
      <c r="G3" s="1894" t="s">
        <v>81</v>
      </c>
      <c r="H3" s="2053"/>
      <c r="I3" s="2053"/>
      <c r="J3" s="2053"/>
      <c r="K3" s="2053"/>
      <c r="L3" s="381" t="s">
        <v>82</v>
      </c>
      <c r="M3" s="402" t="s">
        <v>80</v>
      </c>
      <c r="N3" s="402"/>
      <c r="O3" s="402"/>
      <c r="P3" s="402"/>
      <c r="Q3" s="402"/>
      <c r="R3" s="402"/>
      <c r="S3" s="402"/>
      <c r="T3" s="402"/>
      <c r="U3" s="402"/>
      <c r="V3" s="402"/>
      <c r="W3" s="381"/>
      <c r="X3" s="381"/>
      <c r="Y3" s="381"/>
      <c r="Z3" s="381"/>
      <c r="AA3" s="381"/>
      <c r="AB3" s="381"/>
      <c r="AC3" s="381"/>
      <c r="AD3" s="381"/>
      <c r="AE3" s="381"/>
      <c r="AF3" s="381"/>
      <c r="AG3" s="381"/>
      <c r="AH3" s="381"/>
      <c r="AI3" s="381"/>
      <c r="AJ3" s="381"/>
      <c r="AK3" s="381"/>
      <c r="AL3" s="381"/>
      <c r="AM3" s="381"/>
      <c r="AN3" s="381"/>
      <c r="AO3" s="381"/>
      <c r="AP3" s="381"/>
      <c r="AQ3" s="381"/>
      <c r="AR3" s="381"/>
      <c r="AS3" s="381"/>
      <c r="AT3" s="381"/>
      <c r="AU3" s="381"/>
      <c r="AV3" s="381"/>
      <c r="AW3" s="381"/>
      <c r="AX3" s="381"/>
      <c r="AY3" s="381"/>
      <c r="AZ3" s="381"/>
      <c r="BA3" s="381"/>
      <c r="BB3" s="381"/>
      <c r="BC3" s="381"/>
      <c r="BD3" s="381"/>
      <c r="BE3" s="381"/>
      <c r="BF3" s="381"/>
      <c r="BG3" s="381"/>
      <c r="BH3" s="381"/>
      <c r="BI3" s="381"/>
      <c r="BJ3" s="381"/>
      <c r="BK3" s="381"/>
      <c r="BL3" s="381"/>
      <c r="BM3" s="381"/>
      <c r="BN3" s="381"/>
      <c r="BO3" s="381"/>
      <c r="BP3" s="381"/>
      <c r="BQ3" s="381"/>
      <c r="BR3" s="381"/>
      <c r="BS3" s="381"/>
      <c r="BT3" s="381"/>
      <c r="BU3" s="381"/>
      <c r="BV3" s="381"/>
      <c r="BW3" s="381"/>
      <c r="BX3" s="381"/>
      <c r="BY3" s="381"/>
      <c r="BZ3" s="381"/>
      <c r="CA3" s="381"/>
      <c r="CB3" s="381"/>
      <c r="CC3" s="381"/>
      <c r="CD3" s="381"/>
      <c r="CE3" s="381"/>
      <c r="CF3" s="381"/>
      <c r="CG3" s="381"/>
      <c r="CH3" s="381"/>
      <c r="CI3" s="381"/>
      <c r="CJ3" s="381"/>
      <c r="CK3" s="381"/>
      <c r="CL3" s="381"/>
      <c r="CM3" s="381"/>
      <c r="CN3" s="381"/>
      <c r="CO3" s="381"/>
      <c r="CP3" s="381"/>
      <c r="CQ3" s="381"/>
      <c r="CR3" s="381"/>
      <c r="CS3" s="381"/>
      <c r="CT3" s="381"/>
      <c r="CU3" s="381"/>
      <c r="CV3" s="381"/>
      <c r="CW3" s="381"/>
      <c r="CX3" s="381"/>
      <c r="CY3" s="381"/>
      <c r="CZ3" s="381"/>
      <c r="DA3" s="381"/>
      <c r="DB3" s="381"/>
      <c r="DC3" s="381"/>
      <c r="DD3" s="381"/>
      <c r="DE3" s="381"/>
      <c r="DF3" s="381"/>
      <c r="DG3" s="381"/>
      <c r="DH3" s="381"/>
      <c r="DI3" s="381"/>
      <c r="DJ3" s="381"/>
      <c r="DK3" s="381"/>
      <c r="DL3" s="381"/>
      <c r="DM3" s="381"/>
      <c r="DN3" s="381"/>
      <c r="DO3" s="381"/>
      <c r="DP3" s="381"/>
      <c r="DQ3" s="381"/>
      <c r="DR3" s="381"/>
      <c r="DS3" s="381"/>
      <c r="DT3" s="381"/>
      <c r="DU3" s="381"/>
      <c r="DV3" s="381"/>
      <c r="DW3" s="381"/>
      <c r="DX3" s="381"/>
      <c r="DY3" s="381"/>
      <c r="DZ3" s="381"/>
      <c r="EA3" s="381"/>
      <c r="EB3" s="381"/>
      <c r="EC3" s="381"/>
      <c r="ED3" s="381"/>
      <c r="EE3" s="381"/>
      <c r="EF3" s="381"/>
      <c r="EG3" s="381"/>
      <c r="EH3" s="381"/>
      <c r="EI3" s="381"/>
      <c r="EJ3" s="381"/>
      <c r="EK3" s="381"/>
      <c r="EL3" s="381"/>
      <c r="EM3" s="381"/>
      <c r="EN3" s="381"/>
      <c r="EO3" s="381"/>
      <c r="EP3" s="381"/>
      <c r="EQ3" s="381"/>
      <c r="ER3" s="381"/>
      <c r="ES3" s="381"/>
      <c r="ET3" s="381"/>
      <c r="EU3" s="381"/>
      <c r="EV3" s="381"/>
      <c r="EW3" s="381"/>
      <c r="EX3" s="381"/>
      <c r="EY3" s="381"/>
      <c r="EZ3" s="381"/>
      <c r="FA3" s="381"/>
      <c r="FB3" s="381"/>
      <c r="FC3" s="381"/>
      <c r="FD3" s="381"/>
      <c r="FE3" s="381"/>
      <c r="FF3" s="381"/>
      <c r="FG3" s="381"/>
      <c r="FH3" s="381"/>
      <c r="FI3" s="381"/>
      <c r="FJ3" s="381"/>
      <c r="FK3" s="381"/>
      <c r="FL3" s="381"/>
      <c r="FM3" s="381"/>
      <c r="FN3" s="381"/>
      <c r="FO3" s="381"/>
      <c r="FP3" s="381"/>
      <c r="FQ3" s="381"/>
      <c r="FR3" s="381"/>
      <c r="FS3" s="381"/>
      <c r="FT3" s="381"/>
      <c r="FU3" s="381"/>
      <c r="FV3" s="381"/>
      <c r="FW3" s="381"/>
      <c r="FX3" s="381"/>
      <c r="FY3" s="381"/>
      <c r="FZ3" s="381"/>
      <c r="GA3" s="381"/>
      <c r="GB3" s="381"/>
      <c r="GC3" s="381"/>
      <c r="GD3" s="381"/>
      <c r="GE3" s="381"/>
      <c r="GF3" s="381"/>
      <c r="GG3" s="381"/>
      <c r="GH3" s="381"/>
      <c r="GI3" s="381"/>
      <c r="GJ3" s="381"/>
      <c r="GK3" s="381"/>
      <c r="GL3" s="381"/>
      <c r="GM3" s="381"/>
      <c r="GN3" s="381"/>
      <c r="GO3" s="381"/>
      <c r="GP3" s="381"/>
      <c r="GQ3" s="381"/>
      <c r="GR3" s="381"/>
      <c r="GS3" s="381"/>
      <c r="GT3" s="381"/>
      <c r="GU3" s="381"/>
      <c r="GV3" s="381"/>
      <c r="GW3" s="381"/>
      <c r="GX3" s="381"/>
      <c r="GY3" s="381"/>
      <c r="GZ3" s="381"/>
      <c r="HA3" s="381"/>
      <c r="HB3" s="381"/>
      <c r="HC3" s="381"/>
      <c r="HD3" s="381"/>
      <c r="HE3" s="381"/>
      <c r="HF3" s="381"/>
      <c r="HG3" s="381"/>
      <c r="HH3" s="381"/>
      <c r="HI3" s="381"/>
      <c r="HJ3" s="381"/>
      <c r="HK3" s="381"/>
      <c r="HL3" s="381"/>
      <c r="HM3" s="381"/>
      <c r="HN3" s="381"/>
      <c r="HO3" s="381"/>
      <c r="HP3" s="381"/>
      <c r="HQ3" s="381"/>
      <c r="HR3" s="381"/>
      <c r="HS3" s="381"/>
      <c r="HT3" s="381"/>
      <c r="HU3" s="381"/>
      <c r="HV3" s="381"/>
      <c r="HW3" s="381"/>
      <c r="HX3" s="381"/>
      <c r="HY3" s="381"/>
      <c r="HZ3" s="381"/>
      <c r="IA3" s="381"/>
      <c r="IB3" s="381"/>
      <c r="IC3" s="381"/>
      <c r="ID3" s="381"/>
      <c r="IE3" s="381"/>
      <c r="IF3" s="381"/>
      <c r="IG3" s="381"/>
      <c r="IH3" s="381"/>
      <c r="II3" s="381"/>
      <c r="IJ3" s="381"/>
      <c r="IK3" s="381"/>
      <c r="IL3" s="381"/>
      <c r="IM3" s="381"/>
      <c r="IN3" s="381"/>
      <c r="IO3" s="381"/>
      <c r="IP3" s="381"/>
      <c r="IQ3" s="381"/>
      <c r="IR3" s="381"/>
      <c r="IS3" s="381"/>
      <c r="IT3" s="381"/>
      <c r="IU3" s="381"/>
      <c r="IV3" s="381"/>
    </row>
    <row s="8362" customFormat="1" customHeight="1" ht="14.25">
      <c r="A4" s="1790"/>
      <c r="B4" s="1525"/>
      <c r="C4" s="1790"/>
      <c r="D4" s="1674"/>
      <c r="E4" s="1794"/>
      <c r="F4" s="1794"/>
      <c r="G4" s="1794"/>
      <c r="H4" s="1794"/>
      <c r="I4" s="1794"/>
      <c r="J4" s="1794"/>
      <c r="K4" s="1794"/>
      <c r="L4" s="2055"/>
      <c r="M4" s="402"/>
      <c r="N4" s="1783"/>
      <c r="O4" s="1783"/>
      <c r="P4" s="1783"/>
      <c r="Q4" s="1783"/>
      <c r="R4" s="1783"/>
      <c r="S4" s="379"/>
      <c r="T4" s="379"/>
      <c r="U4" s="379"/>
      <c r="V4" s="379"/>
    </row>
    <row s="8362" customFormat="1" customHeight="1" ht="25.5">
      <c r="A5" s="1790"/>
      <c r="B5" s="1525"/>
      <c r="C5" s="1790"/>
      <c r="D5" s="1674"/>
      <c r="E5" s="2168" t="str">
        <f>"Форма "&amp;IF(TEMPLATE_SPHERE="HEAT","4","3")&amp;". Информация о рассмотрении дел об установлении "&amp;IF(TEMPLATE_SPHERE="TKO","предельных тарифов","тарифов в сфере "&amp;TEMPLATE_SPHERE_RUS)</f>
        <v>Форма 3. Информация о рассмотрении дел об установлении тарифов в сфере горячего водоснабжения</v>
      </c>
      <c r="F5" s="2168"/>
      <c r="G5" s="2168"/>
      <c r="H5" s="2168"/>
      <c r="I5" s="2168"/>
      <c r="J5" s="2168"/>
      <c r="K5" s="2168"/>
      <c r="L5" s="1794"/>
      <c r="M5" s="402"/>
      <c r="N5" s="1783"/>
      <c r="O5" s="1783"/>
      <c r="P5" s="1783"/>
      <c r="Q5" s="1783"/>
      <c r="R5" s="1783"/>
      <c r="S5" s="379"/>
      <c r="T5" s="379"/>
      <c r="U5" s="379"/>
      <c r="V5" s="379"/>
    </row>
    <row s="8362" customFormat="1" customHeight="1" ht="14.25">
      <c r="A6" s="1790"/>
      <c r="B6" s="1525"/>
      <c r="C6" s="1790"/>
      <c r="D6" s="1674"/>
      <c r="E6" s="1794"/>
      <c r="F6" s="770"/>
      <c r="G6" s="770"/>
      <c r="H6" s="770"/>
      <c r="I6" s="770"/>
      <c r="J6" s="770"/>
      <c r="K6" s="770"/>
      <c r="L6" s="1410"/>
      <c r="M6" s="1783"/>
      <c r="N6" s="1783"/>
      <c r="O6" s="1783"/>
      <c r="P6" s="1783"/>
      <c r="Q6" s="1783"/>
      <c r="R6" s="1783"/>
      <c r="S6" s="379"/>
      <c r="T6" s="379"/>
      <c r="U6" s="379"/>
      <c r="V6" s="379"/>
    </row>
    <row s="8362" customFormat="1" customHeight="1" ht="14.25">
      <c r="A7" s="1790"/>
      <c r="B7" s="1525"/>
      <c r="C7" s="1790"/>
      <c r="D7" s="1674"/>
      <c r="E7" s="2169" t="s">
        <v>300</v>
      </c>
      <c r="F7" s="2170"/>
      <c r="G7" s="2170"/>
      <c r="H7" s="2170"/>
      <c r="I7" s="2170"/>
      <c r="J7" s="2170"/>
      <c r="K7" s="2170"/>
      <c r="L7" s="2533" t="s">
        <v>301</v>
      </c>
      <c r="M7" s="1783"/>
      <c r="N7" s="1783"/>
      <c r="O7" s="1783"/>
      <c r="P7" s="1783"/>
      <c r="Q7" s="1783"/>
      <c r="R7" s="1783"/>
      <c r="S7" s="379"/>
      <c r="T7" s="379"/>
      <c r="U7" s="379"/>
      <c r="V7" s="379"/>
    </row>
    <row s="8362" customFormat="1" customHeight="1" ht="64.5">
      <c r="A8" s="1790"/>
      <c r="B8" s="1525"/>
      <c r="C8" s="1790"/>
      <c r="D8" s="1674"/>
      <c r="E8" s="2537" t="s">
        <v>85</v>
      </c>
      <c r="F8" s="2537" t="s">
        <v>1792</v>
      </c>
      <c r="G8" s="2539" t="s">
        <v>1793</v>
      </c>
      <c r="H8" s="2540"/>
      <c r="I8" s="2541"/>
      <c r="J8" s="2537" t="s">
        <v>1794</v>
      </c>
      <c r="K8" s="2537"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регулирования тарифов, оформленный в соответствии 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v>
      </c>
      <c r="L8" s="2535"/>
      <c r="M8" s="1783"/>
      <c r="N8" s="1783"/>
      <c r="O8" s="1783"/>
      <c r="P8" s="1783"/>
      <c r="Q8" s="1783"/>
      <c r="R8" s="1783"/>
      <c r="S8" s="379"/>
      <c r="T8" s="379"/>
      <c r="U8" s="379"/>
      <c r="V8" s="379"/>
    </row>
    <row s="8362" customFormat="1" customHeight="1" ht="27.75">
      <c r="A9" s="1790"/>
      <c r="B9" s="1525"/>
      <c r="C9" s="1790"/>
      <c r="D9" s="1674"/>
      <c r="E9" s="2538"/>
      <c r="F9" s="2538"/>
      <c r="G9" s="2054" t="s">
        <v>1788</v>
      </c>
      <c r="H9" s="2054" t="s">
        <v>1789</v>
      </c>
      <c r="I9" s="2054" t="s">
        <v>1790</v>
      </c>
      <c r="J9" s="2538"/>
      <c r="K9" s="2538"/>
      <c r="L9" s="2534"/>
      <c r="M9" s="1783"/>
      <c r="N9" s="1783"/>
      <c r="O9" s="1783"/>
      <c r="P9" s="1783"/>
      <c r="Q9" s="1783"/>
      <c r="R9" s="1783"/>
      <c r="S9" s="379"/>
      <c r="T9" s="379"/>
      <c r="U9" s="379"/>
      <c r="V9" s="379"/>
    </row>
    <row s="10037" customFormat="1" customHeight="1" ht="0.75">
      <c r="A10" s="2167"/>
      <c r="B10" s="1525">
        <v>1</v>
      </c>
      <c r="C10" s="1525"/>
      <c r="D10" s="954"/>
      <c r="E10" s="949">
        <v>0</v>
      </c>
      <c r="F10" s="2051" t="str">
        <f>IF(ROIV_INFO_NAME="","",ROIV_INFO_NAME)</f>
        <v>АО "Теплокоммунэнерго"</v>
      </c>
      <c r="G10" s="1892" t="s">
        <v>24</v>
      </c>
      <c r="H10" s="2063"/>
      <c r="I10" s="2063"/>
      <c r="J10" s="673"/>
      <c r="K10" s="673"/>
      <c r="L10" s="2511"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M10" s="1694">
        <f>MERGEVALUE(F10)</f>
      </c>
      <c r="N10" s="1795"/>
      <c r="O10" s="1795"/>
      <c r="P10" s="1783" t="str">
        <f t="array" ref="P10:P10">IF(ISERROR(MATCH(MID(Q10,1,250),MID(note_ter,1,250),0)),"n","y")</f>
        <v>n</v>
      </c>
      <c r="Q10" s="1795"/>
      <c r="R10" s="1783" t="str">
        <f>G10&amp;"("&amp;L10&amp;")"</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S10" s="1525"/>
      <c r="T10" s="1525"/>
      <c r="U10" s="574"/>
      <c r="V10" s="1525"/>
      <c r="W10" s="1525"/>
      <c r="X10" s="1525"/>
      <c r="Y10" s="987"/>
      <c r="Z10" s="987"/>
      <c r="AA10" s="781"/>
      <c r="AB10" s="781"/>
      <c r="AC10" s="781"/>
      <c r="AD10" s="781"/>
      <c r="AE10" s="781"/>
      <c r="AF10" s="781"/>
      <c r="AG10" s="781"/>
      <c r="AH10" s="781"/>
      <c r="AI10" s="781"/>
      <c r="AJ10" s="781"/>
      <c r="AK10" s="781"/>
      <c r="AL10" s="781"/>
      <c r="AM10" s="781"/>
      <c r="AN10" s="781"/>
      <c r="AO10" s="781"/>
      <c r="AP10" s="781"/>
      <c r="AQ10" s="781"/>
      <c r="AR10" s="781"/>
      <c r="AS10" s="781"/>
      <c r="AT10" s="781"/>
      <c r="AU10" s="781"/>
      <c r="AV10" s="781"/>
      <c r="AW10" s="781"/>
      <c r="AX10" s="781"/>
      <c r="AY10" s="781"/>
      <c r="AZ10" s="781"/>
      <c r="BA10" s="781"/>
      <c r="BB10" s="781"/>
      <c r="BC10" s="781"/>
      <c r="BD10" s="781"/>
      <c r="BE10" s="781"/>
      <c r="BF10" s="781"/>
      <c r="BG10" s="781"/>
      <c r="BH10" s="781"/>
      <c r="BI10" s="781"/>
      <c r="BJ10" s="781"/>
      <c r="BK10" s="781"/>
      <c r="BL10" s="781"/>
      <c r="BM10" s="781"/>
      <c r="BN10" s="781"/>
      <c r="BO10" s="781"/>
      <c r="BP10" s="781"/>
      <c r="BQ10" s="781"/>
      <c r="BR10" s="781"/>
      <c r="BS10" s="781"/>
      <c r="BT10" s="781"/>
      <c r="BU10" s="781"/>
      <c r="BV10" s="987"/>
      <c r="BW10" s="987"/>
      <c r="BX10" s="987"/>
      <c r="BY10" s="987"/>
      <c r="BZ10" s="987"/>
      <c r="CA10" s="987"/>
      <c r="CB10" s="987"/>
      <c r="CC10" s="987"/>
      <c r="CD10" s="987"/>
      <c r="CE10" s="987"/>
    </row>
    <row s="10037" customFormat="1" customHeight="1" ht="15">
      <c r="A11" s="2167"/>
      <c r="B11" s="1525"/>
      <c r="C11" s="566"/>
      <c r="D11" s="955"/>
      <c r="E11" s="575"/>
      <c r="F11" s="805" t="s">
        <v>1791</v>
      </c>
      <c r="G11" s="341"/>
      <c r="H11" s="341"/>
      <c r="I11" s="341"/>
      <c r="J11" s="341"/>
      <c r="K11" s="578"/>
      <c r="L11" s="2536"/>
      <c r="M11" s="1695"/>
      <c r="N11" s="1795"/>
      <c r="O11" s="1795"/>
      <c r="P11" s="1795"/>
      <c r="Q11" s="1783"/>
      <c r="R11" s="1795"/>
      <c r="S11" s="1525"/>
      <c r="T11" s="1525"/>
      <c r="U11" s="574"/>
      <c r="V11" s="1525"/>
      <c r="W11" s="1525"/>
      <c r="X11" s="1525"/>
      <c r="Y11" s="987"/>
      <c r="Z11" s="987"/>
      <c r="AA11" s="781"/>
      <c r="AB11" s="781"/>
      <c r="AC11" s="781"/>
      <c r="AD11" s="781"/>
      <c r="AE11" s="781"/>
      <c r="AF11" s="781"/>
      <c r="AG11" s="781"/>
      <c r="AH11" s="781"/>
      <c r="AI11" s="781"/>
      <c r="AJ11" s="781"/>
      <c r="AK11" s="781"/>
      <c r="AL11" s="781"/>
      <c r="AM11" s="781"/>
      <c r="AN11" s="781"/>
      <c r="AO11" s="781"/>
      <c r="AP11" s="781"/>
      <c r="AQ11" s="781"/>
      <c r="AR11" s="781"/>
      <c r="AS11" s="781"/>
      <c r="AT11" s="781"/>
      <c r="AU11" s="781"/>
      <c r="AV11" s="781"/>
      <c r="AW11" s="781"/>
      <c r="AX11" s="781"/>
      <c r="AY11" s="781"/>
      <c r="AZ11" s="781"/>
      <c r="BA11" s="781"/>
      <c r="BB11" s="781"/>
      <c r="BC11" s="781"/>
      <c r="BD11" s="781"/>
      <c r="BE11" s="781"/>
      <c r="BF11" s="781"/>
      <c r="BG11" s="781"/>
      <c r="BH11" s="781"/>
      <c r="BI11" s="781"/>
      <c r="BJ11" s="781"/>
      <c r="BK11" s="781"/>
      <c r="BL11" s="781"/>
      <c r="BM11" s="781"/>
      <c r="BN11" s="781"/>
      <c r="BO11" s="781"/>
      <c r="BP11" s="781"/>
      <c r="BQ11" s="781"/>
      <c r="BR11" s="781"/>
      <c r="BS11" s="781"/>
      <c r="BT11" s="781"/>
      <c r="BU11" s="781"/>
      <c r="BV11" s="987"/>
      <c r="BW11" s="987"/>
      <c r="BX11" s="987"/>
      <c r="BY11" s="987"/>
      <c r="BZ11" s="987"/>
      <c r="CA11" s="987"/>
      <c r="CB11" s="987"/>
      <c r="CC11" s="987"/>
      <c r="CD11" s="987"/>
      <c r="CE11" s="987"/>
    </row>
    <row s="8362" customFormat="1" customHeight="1" ht="21">
      <c r="A12" s="1790"/>
      <c r="B12" s="1525"/>
      <c r="C12" s="1790"/>
      <c r="D12" s="1792"/>
      <c r="E12" s="335"/>
      <c r="F12" s="335"/>
      <c r="G12" s="335"/>
      <c r="H12" s="335"/>
      <c r="I12" s="335"/>
      <c r="J12" s="335"/>
      <c r="K12" s="335"/>
      <c r="L12" s="335"/>
      <c r="M12" s="1783"/>
      <c r="N12" s="1783"/>
      <c r="O12" s="1783"/>
      <c r="P12" s="1783"/>
      <c r="Q12" s="1783"/>
      <c r="R12" s="1783"/>
      <c r="S12" s="379"/>
      <c r="T12" s="379"/>
      <c r="U12" s="379"/>
      <c r="V12" s="379"/>
    </row>
    <row s="8362" customFormat="1" customHeight="1" ht="14.25">
      <c r="A13" s="1790"/>
      <c r="B13" s="1525"/>
      <c r="C13" s="1790"/>
      <c r="D13" s="1792"/>
      <c r="E13" s="1790"/>
      <c r="F13" s="1790"/>
      <c r="G13" s="1790"/>
      <c r="H13" s="1790"/>
      <c r="I13" s="1790"/>
      <c r="J13" s="1790"/>
      <c r="K13" s="1790"/>
      <c r="L13" s="1790"/>
      <c r="M13" s="1783"/>
      <c r="N13" s="1783"/>
      <c r="O13" s="1783"/>
      <c r="P13" s="1783"/>
      <c r="Q13" s="1783"/>
      <c r="R13" s="1783"/>
      <c r="S13" s="379"/>
      <c r="T13" s="379"/>
      <c r="U13" s="379"/>
      <c r="V13" s="379"/>
    </row>
    <row s="8362" customFormat="1" customHeight="1" ht="0.75">
      <c r="A14" s="1790"/>
      <c r="B14" s="1525"/>
      <c r="C14" s="1790"/>
      <c r="D14" s="1792"/>
      <c r="E14" s="1790"/>
      <c r="F14" s="1790"/>
      <c r="G14" s="1790"/>
      <c r="H14" s="1790"/>
      <c r="I14" s="1790"/>
      <c r="J14" s="1790"/>
      <c r="K14" s="1790"/>
      <c r="L14" s="1790"/>
      <c r="M14" s="1783"/>
      <c r="N14" s="1783"/>
      <c r="O14" s="1783"/>
      <c r="P14" s="1783"/>
      <c r="Q14" s="1783"/>
      <c r="R14" s="1783"/>
      <c r="S14" s="379"/>
      <c r="T14" s="379"/>
      <c r="U14" s="379"/>
      <c r="V14" s="379"/>
    </row>
  </sheetData>
  <sheetProtection sort="0" autoFilter="0" insertRows="0" insertColumns="1" deleteRows="0" deleteColumns="0"/>
  <mergeCells count="10">
    <mergeCell ref="A10:A11"/>
    <mergeCell ref="L10:L11"/>
    <mergeCell ref="E5:K5"/>
    <mergeCell ref="E7:K7"/>
    <mergeCell ref="L7:L9"/>
    <mergeCell ref="E8:E9"/>
    <mergeCell ref="F8:F9"/>
    <mergeCell ref="G8:I8"/>
    <mergeCell ref="J8:J9"/>
    <mergeCell ref="K8:K9"/>
  </mergeCells>
  <dataValidations count="5">
    <dataValidation type="time" allowBlank="1" showInputMessage="1" showErrorMessage="1" prompt="Укажите время в формате ЧЧ:ММ" sqref="H2">
      <formula1>0</formula1>
      <formula2>0.9993055555555556</formula2>
    </dataValidation>
    <dataValidation type="textLength" operator="lessThanOrEqual" allowBlank="1" showInputMessage="1" showErrorMessage="1" sqref="I2">
      <formula1>990</formula1>
    </dataValidation>
    <dataValidation type="textLength" allowBlank="1" showInputMessage="1" showErrorMessage="1" sqref="H3:I3">
      <formula1>13</formula1>
      <formula2>15</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J2:K3">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64A6C1E-7F97-7666-56C9-342B0A19BD5A}" mc:Ignorable="x14ac xr xr2 xr3">
  <dimension ref="A1:P18"/>
  <sheetViews>
    <sheetView topLeftCell="A1" showGridLines="0" zoomScale="90" workbookViewId="0">
      <selection activeCell="A1" sqref="A1"/>
    </sheetView>
  </sheetViews>
  <sheetFormatPr defaultColWidth="9.140625" customHeight="1" defaultRowHeight="14.25"/>
  <cols>
    <col min="1" max="1" style="8807" width="9.140625" hidden="1"/>
    <col min="2" max="2" style="8721" width="9.140625" hidden="1"/>
    <col min="3" max="3" style="8807" width="3.7109375" hidden="1" customWidth="1"/>
    <col min="4" max="4" style="8575" width="3.8515625" customWidth="1"/>
    <col min="5" max="5" style="8807" width="6.28125" customWidth="1"/>
    <col min="6" max="6" style="8807" width="27.28125" customWidth="1"/>
    <col min="7" max="7" style="8807" width="29.28125" customWidth="1"/>
    <col min="8" max="8" style="8807" width="25.421875" customWidth="1"/>
    <col min="9" max="9" style="8807" width="5.57421875" customWidth="1"/>
    <col min="10" max="10" style="8807" width="6.57421875" customWidth="1"/>
    <col min="11" max="11" style="8807" width="41.8515625" customWidth="1"/>
    <col min="12" max="12" style="8807" width="42.421875" customWidth="1"/>
    <col min="13" max="13" style="8807" width="41.57421875" customWidth="1"/>
    <col min="14" max="14" style="8849" width="89.57421875" customWidth="1"/>
    <col min="15" max="15" style="10019" width="3.7109375" customWidth="1"/>
    <col min="16" max="16" style="10019" width="9.140625"/>
  </cols>
  <sheetData>
    <row customHeight="1" ht="14.25" hidden="1"/>
    <row s="8053" customFormat="1" customHeight="1" ht="22.5" hidden="1">
      <c r="A2" s="650"/>
      <c r="B2" s="1316">
        <v>1</v>
      </c>
      <c r="C2" s="1316"/>
      <c r="D2" s="2088" t="s">
        <v>542</v>
      </c>
      <c r="E2" s="2185">
        <v>1</v>
      </c>
      <c r="F2" s="2550" t="str">
        <f>IF(region_name="","",region_name)</f>
        <v>Ростовская область</v>
      </c>
      <c r="G2" s="2551"/>
      <c r="H2" s="2552"/>
      <c r="I2" s="628"/>
      <c r="J2" s="2070">
        <v>1</v>
      </c>
      <c r="K2" s="2072"/>
      <c r="L2" s="2072"/>
      <c r="M2" s="2072"/>
      <c r="N2" s="646"/>
      <c r="O2" s="1694"/>
      <c r="P2" s="665"/>
    </row>
    <row s="8053" customFormat="1" customHeight="1" ht="22.5" hidden="1">
      <c r="A3" s="985"/>
      <c r="B3" s="1316"/>
      <c r="C3" s="1316"/>
      <c r="D3" s="955"/>
      <c r="E3" s="2185"/>
      <c r="F3" s="2550"/>
      <c r="G3" s="2551"/>
      <c r="H3" s="2553"/>
      <c r="I3" s="575"/>
      <c r="J3" s="1659"/>
      <c r="K3" s="1659" t="s">
        <v>1795</v>
      </c>
      <c r="L3" s="1702"/>
      <c r="M3" s="2080"/>
      <c r="N3" s="2073"/>
      <c r="O3" s="1694"/>
      <c r="P3" s="665"/>
    </row>
    <row s="8794" customFormat="1" customHeight="1" ht="5.25" hidden="1">
      <c r="A4" s="650"/>
      <c r="D4" s="648"/>
      <c r="F4" s="401" t="s">
        <v>80</v>
      </c>
      <c r="G4" s="648" t="s">
        <v>81</v>
      </c>
      <c r="H4" s="648"/>
      <c r="I4" s="2083"/>
      <c r="J4" s="1703"/>
      <c r="K4" s="2071"/>
      <c r="L4" s="2071"/>
      <c r="M4" s="2071"/>
      <c r="N4" s="2067"/>
      <c r="O4" s="401" t="s">
        <v>80</v>
      </c>
      <c r="P4" s="401"/>
    </row>
    <row s="10037" customFormat="1" customHeight="1" ht="22.5" hidden="1">
      <c r="A5" s="1800"/>
      <c r="B5" s="1525">
        <v>1</v>
      </c>
      <c r="C5" s="1525"/>
      <c r="D5" s="955"/>
      <c r="E5" s="2073"/>
      <c r="F5" s="2073"/>
      <c r="G5" s="2073"/>
      <c r="H5" s="2084"/>
      <c r="I5" s="2089" t="s">
        <v>542</v>
      </c>
      <c r="J5" s="2082">
        <v>1</v>
      </c>
      <c r="K5" s="2072"/>
      <c r="L5" s="2072"/>
      <c r="M5" s="2072"/>
      <c r="N5" s="646"/>
      <c r="O5" s="1694"/>
      <c r="P5" s="1795"/>
    </row>
    <row s="8044" customFormat="1" customHeight="1" ht="14.25">
      <c r="A6" s="1311"/>
      <c r="B6" s="1316"/>
      <c r="C6" s="1311"/>
      <c r="D6" s="1654"/>
      <c r="E6" s="663"/>
      <c r="F6" s="663"/>
      <c r="G6" s="663"/>
      <c r="H6" s="663"/>
      <c r="I6" s="663"/>
      <c r="J6" s="663"/>
      <c r="K6" s="663"/>
      <c r="L6" s="663"/>
      <c r="M6" s="663"/>
      <c r="N6" s="1794"/>
      <c r="O6" s="401"/>
      <c r="P6" s="654"/>
    </row>
    <row s="8044" customFormat="1" customHeight="1" ht="25.5">
      <c r="A7" s="1311"/>
      <c r="B7" s="1316"/>
      <c r="C7" s="1311"/>
      <c r="D7" s="1654"/>
      <c r="E7" s="2544" t="str">
        <f>"Форма "&amp;IF(TEMPLATE_SPHERE="HEAT","5","4")&amp;".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f>
        <v>Форма 4.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v>
      </c>
      <c r="F7" s="2544"/>
      <c r="G7" s="2544"/>
      <c r="H7" s="2544"/>
      <c r="I7" s="2544"/>
      <c r="J7" s="2544"/>
      <c r="K7" s="2544"/>
      <c r="L7" s="2544"/>
      <c r="M7" s="2544"/>
      <c r="N7" s="1410"/>
      <c r="O7" s="401"/>
      <c r="P7" s="654"/>
    </row>
    <row s="8044" customFormat="1" customHeight="1" ht="14.25">
      <c r="A8" s="1311"/>
      <c r="B8" s="1316"/>
      <c r="C8" s="1311"/>
      <c r="D8" s="1654"/>
      <c r="E8" s="663"/>
      <c r="F8" s="322"/>
      <c r="G8" s="322"/>
      <c r="H8" s="322"/>
      <c r="I8" s="322"/>
      <c r="J8" s="322"/>
      <c r="K8" s="322"/>
      <c r="L8" s="322"/>
      <c r="M8" s="322"/>
      <c r="N8" s="770"/>
      <c r="O8" s="654"/>
      <c r="P8" s="654"/>
    </row>
    <row s="10066" customFormat="1" customHeight="1" ht="14.25" hidden="1">
      <c r="A9" s="1627"/>
      <c r="B9" s="1637"/>
      <c r="C9" s="1627"/>
      <c r="D9" s="1654"/>
      <c r="E9" s="2074"/>
      <c r="F9" s="2074"/>
      <c r="G9" s="2074"/>
      <c r="H9" s="2074"/>
      <c r="I9" s="2547"/>
      <c r="J9" s="2547"/>
      <c r="K9" s="2547"/>
      <c r="L9" s="2074"/>
      <c r="M9" s="2075"/>
      <c r="O9" s="1704"/>
      <c r="P9" s="1704"/>
    </row>
    <row s="8044" customFormat="1" customHeight="1" ht="14.25">
      <c r="A10" s="1311"/>
      <c r="B10" s="1316"/>
      <c r="C10" s="1311"/>
      <c r="D10" s="1654"/>
      <c r="E10" s="2185" t="s">
        <v>300</v>
      </c>
      <c r="F10" s="2185"/>
      <c r="G10" s="2185"/>
      <c r="H10" s="2185"/>
      <c r="I10" s="2185"/>
      <c r="J10" s="2185"/>
      <c r="K10" s="2185"/>
      <c r="L10" s="2185"/>
      <c r="M10" s="2169"/>
      <c r="N10" s="2537" t="s">
        <v>301</v>
      </c>
      <c r="O10" s="654"/>
      <c r="P10" s="654"/>
    </row>
    <row s="8362" customFormat="1" customHeight="1" ht="42">
      <c r="A11" s="1790"/>
      <c r="B11" s="1525"/>
      <c r="C11" s="1790"/>
      <c r="D11" s="1674"/>
      <c r="E11" s="2546" t="s">
        <v>85</v>
      </c>
      <c r="F11" s="2546" t="s">
        <v>304</v>
      </c>
      <c r="G11" s="2546" t="s">
        <v>1796</v>
      </c>
      <c r="H11" s="2546"/>
      <c r="I11" s="2546" t="s">
        <v>1797</v>
      </c>
      <c r="J11" s="2546"/>
      <c r="K11" s="2546"/>
      <c r="L11" s="2546" t="s">
        <v>1798</v>
      </c>
      <c r="M11" s="2539" t="s">
        <v>1799</v>
      </c>
      <c r="N11" s="2545"/>
      <c r="O11" s="1783"/>
      <c r="P11" s="1783"/>
    </row>
    <row s="8044" customFormat="1" customHeight="1" ht="27.75">
      <c r="A12" s="1311"/>
      <c r="B12" s="1316"/>
      <c r="C12" s="1311"/>
      <c r="D12" s="1654"/>
      <c r="E12" s="2537"/>
      <c r="F12" s="2546"/>
      <c r="G12" s="2069" t="s">
        <v>1800</v>
      </c>
      <c r="H12" s="2069" t="s">
        <v>308</v>
      </c>
      <c r="I12" s="2546"/>
      <c r="J12" s="2546"/>
      <c r="K12" s="2546"/>
      <c r="L12" s="2546"/>
      <c r="M12" s="2539"/>
      <c r="N12" s="2538"/>
      <c r="O12" s="654"/>
      <c r="P12" s="654"/>
    </row>
    <row s="8053" customFormat="1" customHeight="1" ht="22.5">
      <c r="A13" s="2167">
        <v>26379339</v>
      </c>
      <c r="B13" s="1316">
        <v>1</v>
      </c>
      <c r="C13" s="1316"/>
      <c r="D13" s="955"/>
      <c r="E13" s="2185">
        <v>1</v>
      </c>
      <c r="F13" s="2554" t="str">
        <f>IF(region_name="","",region_name)</f>
        <v>Ростовская область</v>
      </c>
      <c r="G13" s="2555"/>
      <c r="H13" s="2548"/>
      <c r="I13" s="628"/>
      <c r="J13" s="2065">
        <v>1</v>
      </c>
      <c r="K13" s="2078"/>
      <c r="L13" s="2079"/>
      <c r="M13" s="2079"/>
      <c r="N13" s="2542" t="s">
        <v>1801</v>
      </c>
      <c r="O13" s="1694"/>
      <c r="P13" s="665"/>
    </row>
    <row s="8053" customFormat="1" customHeight="1" ht="22.5">
      <c r="A14" s="2167"/>
      <c r="B14" s="1316"/>
      <c r="C14" s="1316"/>
      <c r="D14" s="955"/>
      <c r="E14" s="2185"/>
      <c r="F14" s="2554"/>
      <c r="G14" s="2555"/>
      <c r="H14" s="2549"/>
      <c r="I14" s="575"/>
      <c r="J14" s="1659"/>
      <c r="K14" s="1659" t="s">
        <v>1795</v>
      </c>
      <c r="L14" s="1702"/>
      <c r="M14" s="1702"/>
      <c r="N14" s="2543"/>
      <c r="O14" s="1694"/>
      <c r="P14" s="665"/>
    </row>
    <row s="8053" customFormat="1" customHeight="1" ht="22.5">
      <c r="A15" s="2167"/>
      <c r="B15" s="1316"/>
      <c r="C15" s="566"/>
      <c r="D15" s="955"/>
      <c r="E15" s="575"/>
      <c r="F15" s="1659" t="s">
        <v>1787</v>
      </c>
      <c r="G15" s="1701"/>
      <c r="H15" s="1701"/>
      <c r="I15" s="341"/>
      <c r="J15" s="341"/>
      <c r="K15" s="341"/>
      <c r="L15" s="341"/>
      <c r="M15" s="341"/>
      <c r="N15" s="2543"/>
      <c r="O15" s="1695"/>
      <c r="P15" s="665"/>
    </row>
    <row s="8044" customFormat="1" customHeight="1" ht="21">
      <c r="A16" s="1311"/>
      <c r="B16" s="1316"/>
      <c r="C16" s="1311"/>
      <c r="D16" s="605"/>
      <c r="E16" s="335"/>
      <c r="F16" s="335"/>
      <c r="G16" s="335"/>
      <c r="H16" s="335"/>
      <c r="I16" s="335"/>
      <c r="J16" s="335"/>
      <c r="K16" s="335"/>
      <c r="L16" s="335"/>
      <c r="M16" s="663"/>
      <c r="N16" s="1794"/>
      <c r="O16" s="654"/>
      <c r="P16" s="654"/>
    </row>
    <row s="8044" customFormat="1" customHeight="1" ht="14.25">
      <c r="A17" s="1311"/>
      <c r="B17" s="1316"/>
      <c r="C17" s="1311"/>
      <c r="D17" s="605"/>
      <c r="E17" s="1311"/>
      <c r="F17" s="1311"/>
      <c r="G17" s="1311"/>
      <c r="H17" s="1311"/>
      <c r="I17" s="1311"/>
      <c r="J17" s="1311"/>
      <c r="K17" s="1311"/>
      <c r="L17" s="1311"/>
      <c r="M17" s="1311"/>
      <c r="N17" s="1790"/>
      <c r="O17" s="654"/>
      <c r="P17" s="654"/>
    </row>
    <row s="8044" customFormat="1" customHeight="1" ht="0.75">
      <c r="A18" s="1311"/>
      <c r="B18" s="1316"/>
      <c r="C18" s="1311"/>
      <c r="D18" s="605"/>
      <c r="E18" s="1311"/>
      <c r="F18" s="1311"/>
      <c r="G18" s="1311"/>
      <c r="H18" s="1311"/>
      <c r="I18" s="1311"/>
      <c r="J18" s="1311"/>
      <c r="K18" s="1311"/>
      <c r="L18" s="1311"/>
      <c r="M18" s="1311"/>
      <c r="N18" s="1790"/>
      <c r="O18" s="654"/>
      <c r="P18" s="654"/>
    </row>
  </sheetData>
  <sheetProtection formatColumns="0" formatRows="0" autoFilter="0" sort="0" insertRows="0" insertColumns="1" deleteRows="0" deleteColumns="0"/>
  <mergeCells count="20">
    <mergeCell ref="E2:E3"/>
    <mergeCell ref="F2:F3"/>
    <mergeCell ref="G2:G3"/>
    <mergeCell ref="H2:H3"/>
    <mergeCell ref="A13:A15"/>
    <mergeCell ref="F13:F14"/>
    <mergeCell ref="G13:G14"/>
    <mergeCell ref="E13:E14"/>
    <mergeCell ref="N13:N15"/>
    <mergeCell ref="E10:M10"/>
    <mergeCell ref="E7:M7"/>
    <mergeCell ref="N10:N12"/>
    <mergeCell ref="I11:K12"/>
    <mergeCell ref="L11:L12"/>
    <mergeCell ref="M11:M12"/>
    <mergeCell ref="E11:E12"/>
    <mergeCell ref="F11:F12"/>
    <mergeCell ref="I9:K9"/>
    <mergeCell ref="H13:H14"/>
    <mergeCell ref="G11:H11"/>
  </mergeCells>
  <dataValidations count="1">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L14:M14 N4 L3:M4">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C4A40D7-D3A8-4D0C-2A07-698F846E846E}" mc:Ignorable="x14ac xr xr2 xr3">
  <sheetPr>
    <tabColor rgb="FFEAEBEE"/>
    <pageSetUpPr fitToPage="1"/>
  </sheetPr>
  <dimension ref="A1:L15"/>
  <sheetViews>
    <sheetView topLeftCell="A1" showGridLines="0" zoomScale="90" workbookViewId="0">
      <selection activeCell="A1" sqref="A1"/>
    </sheetView>
  </sheetViews>
  <sheetFormatPr defaultColWidth="9.140625" customHeight="1" defaultRowHeight="14.25"/>
  <cols>
    <col min="1" max="1" style="10087" width="9.140625" hidden="1"/>
    <col min="2" max="2" style="10105" width="9.140625" hidden="1"/>
    <col min="3" max="3" style="10106" width="3.7109375" customWidth="1"/>
    <col min="4" max="4" style="10107" width="7.00390625" customWidth="1"/>
    <col min="5" max="5" style="10107" width="23.140625" customWidth="1"/>
    <col min="6" max="6" style="10107" width="16.00390625" customWidth="1"/>
    <col min="7" max="7" style="10107" width="14.8515625" customWidth="1"/>
    <col min="8" max="8" style="10107" width="47.8515625" customWidth="1"/>
    <col min="9" max="9" style="10107" width="115.7109375" customWidth="1"/>
    <col min="10" max="10" style="10107" width="3.7109375" customWidth="1"/>
    <col min="11" max="12" style="10107" width="9.140625"/>
  </cols>
  <sheetData>
    <row customHeight="1" ht="14.25" hidden="1"/>
    <row customHeight="1" ht="14.25" hidden="1"/>
    <row customHeight="1" ht="14.25" hidden="1"/>
    <row customHeight="1" ht="3"/>
    <row s="8083" customFormat="1" customHeight="1" ht="30">
      <c r="A5" s="270"/>
      <c r="C5" s="244"/>
      <c r="D5" s="2168" t="s">
        <v>1802</v>
      </c>
      <c r="E5" s="2168"/>
      <c r="F5" s="2168"/>
      <c r="G5" s="2168"/>
      <c r="H5" s="2168"/>
      <c r="I5" s="419"/>
    </row>
    <row customHeight="1" ht="3" hidden="1">
      <c r="D6" s="277"/>
      <c r="E6" s="277"/>
      <c r="F6" s="277"/>
      <c r="G6" s="277"/>
      <c r="H6" s="277"/>
      <c r="I6" s="277"/>
    </row>
    <row s="10087" customFormat="1" customHeight="1" ht="14.25">
      <c r="B7" s="274"/>
      <c r="C7" s="275"/>
      <c r="D7" s="278"/>
      <c r="E7" s="278"/>
      <c r="F7" s="278"/>
      <c r="G7" s="278"/>
      <c r="H7" s="906"/>
      <c r="I7" s="278"/>
      <c r="J7" s="279"/>
    </row>
    <row customHeight="1" ht="14.25">
      <c r="D8" s="2275" t="s">
        <v>300</v>
      </c>
      <c r="E8" s="2275"/>
      <c r="F8" s="2275"/>
      <c r="G8" s="2275"/>
      <c r="H8" s="2275"/>
      <c r="I8" s="2275" t="s">
        <v>301</v>
      </c>
    </row>
    <row customHeight="1" ht="27.75">
      <c r="D9" s="2275" t="s">
        <v>85</v>
      </c>
      <c r="E9" s="2275" t="s">
        <v>1803</v>
      </c>
      <c r="F9" s="2275"/>
      <c r="G9" s="2275"/>
      <c r="H9" s="2275"/>
      <c r="I9" s="2275"/>
    </row>
    <row customHeight="1" ht="22.5">
      <c r="D10" s="2275"/>
      <c r="E10" s="282" t="s">
        <v>1804</v>
      </c>
      <c r="F10" s="282" t="s">
        <v>1805</v>
      </c>
      <c r="G10" s="282" t="s">
        <v>1806</v>
      </c>
      <c r="H10" s="282" t="s">
        <v>390</v>
      </c>
      <c r="I10" s="2275"/>
    </row>
    <row customHeight="1" ht="12" hidden="1">
      <c r="D11" s="241" t="s">
        <v>106</v>
      </c>
      <c r="E11" s="241" t="s">
        <v>88</v>
      </c>
      <c r="F11" s="241" t="s">
        <v>108</v>
      </c>
      <c r="G11" s="241" t="s">
        <v>89</v>
      </c>
      <c r="H11" s="241" t="s">
        <v>90</v>
      </c>
      <c r="I11" s="241" t="s">
        <v>109</v>
      </c>
    </row>
    <row s="10093" customFormat="1" customHeight="1" ht="24.75">
      <c r="A12" s="300" t="s">
        <v>87</v>
      </c>
      <c r="B12" s="280" t="s">
        <v>24</v>
      </c>
      <c r="C12" s="281"/>
      <c r="D12" s="283" t="s">
        <v>106</v>
      </c>
      <c r="E12" s="535"/>
      <c r="F12" s="535"/>
      <c r="G12" s="1893" t="s">
        <v>24</v>
      </c>
      <c r="H12" s="536"/>
      <c r="I12" s="2229" t="s">
        <v>1807</v>
      </c>
      <c r="K12" s="426"/>
      <c r="L12" s="427"/>
    </row>
    <row customHeight="1" ht="15">
      <c r="A13" s="276"/>
      <c r="B13" s="276"/>
      <c r="C13" s="276"/>
      <c r="D13" s="264"/>
      <c r="E13" s="285" t="s">
        <v>465</v>
      </c>
      <c r="F13" s="284"/>
      <c r="G13" s="284"/>
      <c r="H13" s="368"/>
      <c r="I13" s="2231"/>
    </row>
    <row customHeight="1" ht="3">
      <c r="A14" s="276"/>
      <c r="B14" s="276"/>
      <c r="C14" s="276"/>
    </row>
    <row customHeight="1" ht="27.75">
      <c r="E15" s="2556" t="s">
        <v>1808</v>
      </c>
      <c r="F15" s="2556"/>
      <c r="G15" s="2556"/>
      <c r="H15" s="2556"/>
    </row>
  </sheetData>
  <sheetProtection formatColumns="0" formatRows="0" autoFilter="0" sort="0" insertRows="0" insertColumns="1" deleteRows="0" deleteColumns="0"/>
  <mergeCells count="7">
    <mergeCell ref="E15:H15"/>
    <mergeCell ref="D5:H5"/>
    <mergeCell ref="I12:I13"/>
    <mergeCell ref="D8:H8"/>
    <mergeCell ref="I8:I10"/>
    <mergeCell ref="E9:H9"/>
    <mergeCell ref="D9:D10"/>
  </mergeCells>
  <dataValidations count="3">
    <dataValidation type="textLength" operator="lessThanOrEqual" allowBlank="1" showInputMessage="1" showErrorMessage="1" errorTitle="Ошибка" error="Допускается ввод не более 900 символов!" sqref="E12:F12">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12">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12"/>
  </dataValidations>
  <printOptions horizontalCentered="1"/>
  <pageMargins left="0.24" right="0.24" top="0.24" bottom="0.24" header="0.24" footer="0.24"/>
  <pageSetup paperSize="9" scale="70" fitToHeight="0" pageOrder="downThenOver" orientation="landscape"/>
  <headerFooter>
    <oddHeader>&amp;L&amp;C&amp;R</oddHeader>
    <oddFooter>&amp;L&amp;C&amp;R</oddFooter>
    <evenHeader>&amp;L&amp;C&amp;R</evenHeader>
    <evenFooter>&amp;L&amp;C&amp;R</evenFooter>
  </headerFooter>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C94B14A-0D03-DC82-CC46-AB2D3D9674DC}" mc:Ignorable="x14ac xr xr2 xr3">
  <sheetPr>
    <tabColor rgb="FFCCCCFF"/>
    <pageSetUpPr fitToPage="1"/>
  </sheetPr>
  <dimension ref="A1:I15"/>
  <sheetViews>
    <sheetView topLeftCell="A1" showGridLines="0" zoomScale="90" workbookViewId="0">
      <selection activeCell="A1" sqref="A1"/>
    </sheetView>
  </sheetViews>
  <sheetFormatPr defaultColWidth="9.140625" customHeight="1" defaultRowHeight="14.25"/>
  <cols>
    <col min="1" max="2" style="10124" width="9.140625" hidden="1"/>
    <col min="3" max="3" style="10125" width="3.7109375" customWidth="1"/>
    <col min="4" max="4" style="10124" width="6.28125" customWidth="1"/>
    <col min="5" max="5" style="10124" width="94.8515625" customWidth="1"/>
    <col min="6" max="9" style="10124" width="9.140625"/>
  </cols>
  <sheetData>
    <row customHeight="1" ht="14.25" hidden="1"/>
    <row customHeight="1" ht="14.25" hidden="1"/>
    <row customHeight="1" ht="14.25" hidden="1"/>
    <row customHeight="1" ht="14.25" hidden="1"/>
    <row customHeight="1" ht="14.25" hidden="1"/>
    <row customHeight="1" ht="3">
      <c r="C6" s="246"/>
      <c r="D6" s="224"/>
      <c r="E6" s="224"/>
    </row>
    <row customHeight="1" ht="22.5">
      <c r="C7" s="246"/>
      <c r="D7" s="2557" t="s">
        <v>1809</v>
      </c>
      <c r="E7" s="2558"/>
      <c r="F7" s="421"/>
    </row>
    <row customHeight="1" ht="3">
      <c r="C8" s="246"/>
      <c r="D8" s="224"/>
      <c r="E8" s="224"/>
    </row>
    <row customHeight="1" ht="15.75">
      <c r="C9" s="246"/>
      <c r="D9" s="260" t="s">
        <v>85</v>
      </c>
      <c r="E9" s="414" t="s">
        <v>1810</v>
      </c>
    </row>
    <row customHeight="1" ht="0.75">
      <c r="C10" s="246"/>
      <c r="D10" s="241"/>
      <c r="E10" s="241"/>
    </row>
    <row customHeight="1" ht="11.25" hidden="1">
      <c r="C11" s="246"/>
      <c r="D11" s="305">
        <v>0</v>
      </c>
      <c r="E11" s="415"/>
    </row>
    <row customHeight="1" ht="15">
      <c r="C12" s="291"/>
      <c r="D12" s="268">
        <v>1</v>
      </c>
      <c r="E12" s="531"/>
    </row>
    <row customHeight="1" ht="12">
      <c r="C13" s="246"/>
      <c r="D13" s="416"/>
      <c r="E13" s="417" t="s">
        <v>1811</v>
      </c>
    </row>
    <row customHeight="1" ht="3"/>
    <row customHeight="1" ht="22.5">
      <c r="C15" s="292"/>
      <c r="D15" s="2559" t="s">
        <v>1812</v>
      </c>
      <c r="E15" s="2559"/>
      <c r="F15" s="293"/>
      <c r="G15" s="293"/>
      <c r="H15" s="293"/>
      <c r="I15" s="293"/>
    </row>
  </sheetData>
  <sheetProtection formatColumns="0" formatRows="0" sort="0" autoFilter="0" insertRows="0" insertColumns="1" deleteRows="0" deleteColumns="0"/>
  <mergeCells count="2">
    <mergeCell ref="D7:E7"/>
    <mergeCell ref="D15:E15"/>
  </mergeCells>
  <dataValidations count="1">
    <dataValidation type="textLength" operator="lessThanOrEqual" allowBlank="1" showInputMessage="1" showErrorMessage="1" errorTitle="Ошибка" error="Допускается ввод не более 900 символов!" sqref="E11:E12">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74D0B21-DE16-492C-C413-F3B17FBA1F64}" mc:Ignorable="x14ac xr xr2 xr3">
  <sheetPr>
    <tabColor rgb="FFCCCCFF"/>
    <pageSetUpPr fitToPage="1"/>
  </sheetPr>
  <dimension ref="A1:L13"/>
  <sheetViews>
    <sheetView topLeftCell="A1" showGridLines="0" zoomScale="90" workbookViewId="0">
      <selection activeCell="E12" sqref="E12"/>
    </sheetView>
  </sheetViews>
  <sheetFormatPr defaultColWidth="9.140625" customHeight="1" defaultRowHeight="14.25"/>
  <cols>
    <col min="1" max="2" style="10124" width="9.140625" hidden="1"/>
    <col min="3" max="3" style="10125" width="3.7109375" customWidth="1"/>
    <col min="4" max="4" style="10124" width="6.28125" customWidth="1"/>
    <col min="5" max="5" style="10124" width="94.8515625" customWidth="1"/>
    <col min="6" max="12" style="10124" width="9.140625"/>
  </cols>
  <sheetData>
    <row customHeight="1" ht="14.25" hidden="1">
      <c r="L1" s="418"/>
    </row>
    <row customHeight="1" ht="14.25" hidden="1"/>
    <row customHeight="1" ht="14.25" hidden="1"/>
    <row customHeight="1" ht="14.25" hidden="1"/>
    <row customHeight="1" ht="14.25" hidden="1"/>
    <row customHeight="1" ht="3">
      <c r="C6" s="246"/>
      <c r="D6" s="224"/>
      <c r="E6" s="224"/>
    </row>
    <row customHeight="1" ht="22.5">
      <c r="C7" s="246"/>
      <c r="D7" s="2168" t="s">
        <v>1813</v>
      </c>
      <c r="E7" s="2168"/>
      <c r="F7" s="421"/>
    </row>
    <row customHeight="1" ht="3">
      <c r="C8" s="246"/>
      <c r="D8" s="224"/>
      <c r="E8" s="224"/>
    </row>
    <row customHeight="1" ht="15.75">
      <c r="C9" s="246"/>
      <c r="D9" s="260" t="s">
        <v>85</v>
      </c>
      <c r="E9" s="263" t="s">
        <v>287</v>
      </c>
    </row>
    <row customHeight="1" ht="12">
      <c r="C10" s="246"/>
      <c r="D10" s="241" t="s">
        <v>106</v>
      </c>
      <c r="E10" s="241" t="s">
        <v>107</v>
      </c>
    </row>
    <row customHeight="1" ht="15" hidden="1">
      <c r="C11" s="246"/>
      <c r="D11" s="268">
        <v>0</v>
      </c>
      <c r="E11" s="304"/>
    </row>
    <row customHeight="1" ht="17.25">
      <c r="A12" s="7401"/>
      <c r="B12" s="7401"/>
      <c r="C12" s="1976" t="s">
        <v>542</v>
      </c>
      <c r="D12" s="268" t="s">
        <v>106</v>
      </c>
      <c r="E12" s="269" t="s">
        <v>1814</v>
      </c>
      <c r="F12" s="7401"/>
      <c r="G12" s="7401"/>
      <c r="H12" s="7401"/>
      <c r="I12" s="7401"/>
      <c r="J12" s="7401"/>
      <c r="K12" s="7401"/>
      <c r="L12" s="7401"/>
    </row>
    <row customHeight="1" ht="14.25">
      <c r="C13" s="246"/>
      <c r="D13" s="264"/>
      <c r="E13" s="262" t="s">
        <v>1811</v>
      </c>
    </row>
  </sheetData>
  <sheetProtection formatColumns="0" formatRows="0" autoFilter="0" sort="0" insertRows="0" insertColumns="1" deleteRows="0" deleteColumns="0"/>
  <mergeCells count="1">
    <mergeCell ref="D7:E7"/>
  </mergeCells>
  <dataValidations count="2">
    <dataValidation type="textLength" operator="lessThanOrEqual" allowBlank="1" showInputMessage="1" showErrorMessage="1" errorTitle="Ошибка" error="Допускается ввод не более 900 символов!" sqref="E12">
      <formula1>900</formula1>
    </dataValidation>
    <dataValidation type="textLength" operator="lessThanOrEqual" allowBlank="1" showInputMessage="1" showErrorMessage="1" errorTitle="Ошибка" error="Допускается ввод не более 900 символов!" sqref="E11">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F8233F3-9F56-94B1-1947-1A9E85EBEF1C}" mc:Ignorable="x14ac xr xr2 xr3">
  <sheetPr>
    <tabColor rgb="FFCCCCFF"/>
  </sheetPr>
  <dimension ref="A1:E4"/>
  <sheetViews>
    <sheetView topLeftCell="A1" showGridLines="0" zoomScale="90" workbookViewId="0">
      <selection activeCell="A1" sqref="A1"/>
    </sheetView>
  </sheetViews>
  <sheetFormatPr defaultColWidth="9.140625" customHeight="1" defaultRowHeight="11.25"/>
  <cols>
    <col min="1" max="1" style="10135" width="1.7109375" customWidth="1"/>
    <col min="2" max="2" style="10135" width="34.57421875" customWidth="1"/>
    <col min="3" max="3" style="10135" width="85.57421875" customWidth="1"/>
    <col min="4" max="4" style="10135" width="17.7109375" customWidth="1"/>
    <col min="5" max="5" style="10135" width="9.140625"/>
  </cols>
  <sheetData>
    <row customHeight="1" ht="3"/>
    <row customHeight="1" ht="22.5">
      <c r="B2" s="2560" t="s">
        <v>1815</v>
      </c>
      <c r="C2" s="2560"/>
      <c r="D2" s="2560"/>
      <c r="E2" s="422"/>
    </row>
    <row customHeight="1" ht="3"/>
    <row customHeight="1" ht="21.75">
      <c r="B4" s="537" t="s">
        <v>1816</v>
      </c>
      <c r="C4" s="537" t="s">
        <v>1817</v>
      </c>
      <c r="D4" s="537" t="s">
        <v>1818</v>
      </c>
    </row>
  </sheetData>
  <sheetProtection formatColumns="0" formatRows="0" autoFilter="0" sort="0" insertRows="0" insertColumns="1" deleteRows="0" deleteColumns="0"/>
  <mergeCells count="1">
    <mergeCell ref="B2:D2"/>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E56C8F8-42B8-3A4A-B417-D82FDB27D8A8}" mc:Ignorable="x14ac xr xr2 xr3">
  <sheetPr>
    <tabColor rgb="FFFFCC99"/>
  </sheetPr>
  <dimension ref="A1:GB215"/>
  <sheetViews>
    <sheetView topLeftCell="A1" showGridLines="0" zoomScale="85" workbookViewId="0">
      <selection activeCell="A1" sqref="A1"/>
    </sheetView>
  </sheetViews>
  <sheetFormatPr customHeight="1" defaultRowHeight="17.1"/>
  <cols>
    <col min="1" max="1" style="10135" width="26.57421875" customWidth="1"/>
    <col min="2" max="2" style="10135" width="10.00390625" customWidth="1"/>
    <col min="3" max="3" style="10135" width="9.140625"/>
    <col min="4" max="4" style="10135" width="11.140625" customWidth="1"/>
    <col min="5" max="5" style="10135" width="16.57421875" customWidth="1"/>
    <col min="6" max="6" style="10135" width="16.28125" customWidth="1"/>
    <col min="7" max="7" style="10135" width="19.140625" customWidth="1"/>
    <col min="8" max="11" style="10135" width="10.00390625" customWidth="1"/>
    <col min="12" max="12" style="10135" width="12.7109375" customWidth="1"/>
    <col min="13" max="13" style="10135" width="61.28125" customWidth="1"/>
    <col min="14" max="14" style="10135" width="10.00390625" customWidth="1"/>
    <col min="15" max="17" style="10135" width="23.7109375" customWidth="1"/>
    <col min="18" max="18" style="10135" width="11.7109375" customWidth="1"/>
    <col min="19" max="19" style="10135" width="8.57421875" customWidth="1"/>
    <col min="20" max="20" style="10135" width="11.7109375" customWidth="1"/>
    <col min="21" max="21" style="10135" width="8.57421875" customWidth="1"/>
    <col min="22" max="22" style="10135" width="4.7109375" customWidth="1"/>
    <col min="23" max="23" style="10135" width="115.7109375" customWidth="1"/>
    <col min="24" max="24" style="10135" width="115.28125" customWidth="1"/>
    <col min="25" max="27" style="10135" width="9.140625"/>
    <col min="28" max="28" style="10135" width="115.7109375" customWidth="1"/>
    <col min="29" max="29" style="10135" width="9.140625"/>
    <col min="30" max="90" style="10135" width="115.7109375" customWidth="1"/>
    <col min="91" max="184" style="10135" width="9.140625"/>
  </cols>
  <sheetData>
    <row r="2" s="10136" customFormat="1" customHeight="1" ht="17.25">
      <c r="A2" s="1974" t="s">
        <v>1819</v>
      </c>
    </row>
    <row r="4" s="10124" customFormat="1" customHeight="1" ht="15">
      <c r="C4" s="1975"/>
      <c r="D4" s="268"/>
      <c r="E4" s="531"/>
    </row>
    <row r="6" s="10136" customFormat="1" customHeight="1" ht="17.25">
      <c r="A6" s="1974" t="s">
        <v>1820</v>
      </c>
    </row>
    <row r="8" s="10124" customFormat="1" customHeight="1" ht="17.25">
      <c r="C8" s="1976"/>
      <c r="D8" s="268"/>
      <c r="E8" s="269"/>
    </row>
    <row r="11" s="10136" customFormat="1" customHeight="1" ht="17.25">
      <c r="A11" s="1974" t="s">
        <v>1821</v>
      </c>
    </row>
    <row r="13" s="10139" customFormat="1" customHeight="1" ht="15">
      <c r="A13" s="2295">
        <v>1</v>
      </c>
      <c r="B13" s="1316"/>
      <c r="C13" s="955" t="s">
        <v>542</v>
      </c>
      <c r="D13" s="1977"/>
      <c r="E13" s="1964">
        <f>A13</f>
        <v>1</v>
      </c>
      <c r="F13" s="958"/>
      <c r="G13" s="694" t="str">
        <f>"Территория "&amp;E13</f>
        <v>Территория 1</v>
      </c>
      <c r="H13" s="946"/>
      <c r="I13" s="946"/>
      <c r="J13" s="943"/>
      <c r="K13" s="1783"/>
      <c r="L13" s="1783"/>
      <c r="M13" s="1783"/>
      <c r="N13" s="380"/>
      <c r="O13" s="1783"/>
      <c r="P13" s="379"/>
      <c r="Q13" s="379"/>
      <c r="R13" s="379"/>
      <c r="S13" s="379"/>
    </row>
    <row s="8053" customFormat="1" customHeight="1" ht="15">
      <c r="A14" s="2295"/>
      <c r="B14" s="1316">
        <v>1</v>
      </c>
      <c r="C14" s="1316"/>
      <c r="D14" s="954"/>
      <c r="E14" s="1972" t="str">
        <f>A13&amp;"."&amp;B14</f>
        <v>1.1</v>
      </c>
      <c r="F14" s="957">
        <f>$F$20</f>
        <v>0</v>
      </c>
      <c r="G14" s="947"/>
      <c r="H14" s="947"/>
      <c r="I14" s="945"/>
      <c r="J14" s="1783"/>
      <c r="K14" s="1795"/>
      <c r="L14" s="1795"/>
      <c r="M14" s="1783" t="str">
        <f t="array" ref="M14:M14">IF(ISERROR(MATCH(MID(N14,1,250),MID(note_ter,1,250),0)),"n","y")</f>
        <v>n</v>
      </c>
      <c r="N14" s="1795"/>
      <c r="O14" s="1783" t="str">
        <f>H14&amp;"("&amp;I14&amp;")"</f>
        <v>()</v>
      </c>
      <c r="P14" s="1316"/>
      <c r="Q14" s="1316"/>
      <c r="R14" s="574"/>
      <c r="S14" s="1316"/>
      <c r="T14" s="1316"/>
      <c r="U14" s="1316"/>
      <c r="V14" s="576"/>
      <c r="W14" s="576"/>
      <c r="X14" s="573"/>
      <c r="Y14" s="573"/>
      <c r="Z14" s="573"/>
      <c r="AA14" s="573"/>
      <c r="AB14" s="573"/>
      <c r="AC14" s="573"/>
      <c r="AD14" s="573"/>
      <c r="AE14" s="573"/>
      <c r="AF14" s="573"/>
      <c r="AG14" s="573"/>
      <c r="AH14" s="573"/>
      <c r="AI14" s="573"/>
      <c r="AJ14" s="573"/>
      <c r="AK14" s="573"/>
      <c r="AL14" s="573"/>
      <c r="AM14" s="573"/>
      <c r="AN14" s="573"/>
      <c r="AO14" s="573"/>
      <c r="AP14" s="573"/>
      <c r="AQ14" s="573"/>
      <c r="AR14" s="573"/>
      <c r="AS14" s="573"/>
      <c r="AT14" s="573"/>
      <c r="AU14" s="573"/>
      <c r="AV14" s="573"/>
      <c r="AW14" s="573"/>
      <c r="AX14" s="573"/>
      <c r="AY14" s="573"/>
      <c r="AZ14" s="573"/>
      <c r="BA14" s="573"/>
      <c r="BB14" s="573"/>
      <c r="BC14" s="573"/>
      <c r="BD14" s="573"/>
      <c r="BE14" s="573"/>
      <c r="BF14" s="573"/>
      <c r="BG14" s="573"/>
      <c r="BH14" s="573"/>
      <c r="BI14" s="573"/>
      <c r="BJ14" s="573"/>
      <c r="BK14" s="573"/>
      <c r="BL14" s="573"/>
      <c r="BM14" s="573"/>
      <c r="BN14" s="573"/>
      <c r="BO14" s="573"/>
      <c r="BP14" s="573"/>
      <c r="BQ14" s="573"/>
      <c r="BR14" s="573"/>
      <c r="BS14" s="576"/>
      <c r="BT14" s="576"/>
      <c r="BU14" s="576"/>
      <c r="BV14" s="576"/>
      <c r="BW14" s="576"/>
      <c r="BX14" s="576"/>
      <c r="BY14" s="576"/>
      <c r="BZ14" s="576"/>
      <c r="CA14" s="576"/>
      <c r="CB14" s="576"/>
    </row>
    <row s="8053" customFormat="1" customHeight="1" ht="15">
      <c r="A15" s="2295"/>
      <c r="B15" s="1316"/>
      <c r="C15" s="566"/>
      <c r="D15" s="955"/>
      <c r="E15" s="575"/>
      <c r="F15" s="332"/>
      <c r="G15" s="569" t="s">
        <v>99</v>
      </c>
      <c r="H15" s="341"/>
      <c r="I15" s="578"/>
      <c r="J15" s="1795"/>
      <c r="K15" s="1795"/>
      <c r="L15" s="1795"/>
      <c r="M15" s="1795"/>
      <c r="N15" s="1783"/>
      <c r="O15" s="1795"/>
      <c r="P15" s="1316"/>
      <c r="Q15" s="1316"/>
      <c r="R15" s="574"/>
      <c r="S15" s="1316"/>
      <c r="T15" s="1316"/>
      <c r="U15" s="1316"/>
      <c r="V15" s="576"/>
      <c r="W15" s="576"/>
      <c r="X15" s="573"/>
      <c r="Y15" s="573"/>
      <c r="Z15" s="573"/>
      <c r="AA15" s="573"/>
      <c r="AB15" s="573"/>
      <c r="AC15" s="573"/>
      <c r="AD15" s="573"/>
      <c r="AE15" s="573"/>
      <c r="AF15" s="573"/>
      <c r="AG15" s="573"/>
      <c r="AH15" s="573"/>
      <c r="AI15" s="573"/>
      <c r="AJ15" s="573"/>
      <c r="AK15" s="573"/>
      <c r="AL15" s="573"/>
      <c r="AM15" s="573"/>
      <c r="AN15" s="573"/>
      <c r="AO15" s="573"/>
      <c r="AP15" s="573"/>
      <c r="AQ15" s="573"/>
      <c r="AR15" s="573"/>
      <c r="AS15" s="573"/>
      <c r="AT15" s="573"/>
      <c r="AU15" s="573"/>
      <c r="AV15" s="573"/>
      <c r="AW15" s="573"/>
      <c r="AX15" s="573"/>
      <c r="AY15" s="573"/>
      <c r="AZ15" s="573"/>
      <c r="BA15" s="573"/>
      <c r="BB15" s="573"/>
      <c r="BC15" s="573"/>
      <c r="BD15" s="573"/>
      <c r="BE15" s="573"/>
      <c r="BF15" s="573"/>
      <c r="BG15" s="573"/>
      <c r="BH15" s="573"/>
      <c r="BI15" s="573"/>
      <c r="BJ15" s="573"/>
      <c r="BK15" s="573"/>
      <c r="BL15" s="573"/>
      <c r="BM15" s="573"/>
      <c r="BN15" s="573"/>
      <c r="BO15" s="573"/>
      <c r="BP15" s="573"/>
      <c r="BQ15" s="573"/>
      <c r="BR15" s="573"/>
      <c r="BS15" s="576"/>
      <c r="BT15" s="576"/>
      <c r="BU15" s="576"/>
      <c r="BV15" s="576"/>
      <c r="BW15" s="576"/>
      <c r="BX15" s="576"/>
      <c r="BY15" s="576"/>
      <c r="BZ15" s="576"/>
      <c r="CA15" s="576"/>
      <c r="CB15" s="576"/>
    </row>
    <row r="17" s="10136" customFormat="1" customHeight="1" ht="17.25">
      <c r="A17" s="1974" t="s">
        <v>1822</v>
      </c>
    </row>
    <row r="19" s="10037" customFormat="1" customHeight="1" ht="15">
      <c r="A19" s="2042"/>
      <c r="B19" s="1525">
        <v>1</v>
      </c>
      <c r="C19" s="1525"/>
      <c r="D19" s="954" t="s">
        <v>542</v>
      </c>
      <c r="E19" s="2038"/>
      <c r="F19" s="2043">
        <f>$F$20</f>
        <v>0</v>
      </c>
      <c r="G19" s="2047"/>
      <c r="H19" s="2047"/>
      <c r="I19" s="2045"/>
      <c r="J19" s="1783"/>
      <c r="K19" s="1795"/>
      <c r="L19" s="1795"/>
      <c r="M19" s="1783" t="str">
        <f t="array" ref="M19:M19">IF(ISERROR(MATCH(MID(N19,1,250),MID(note_ter,1,250),0)),"n","y")</f>
        <v>n</v>
      </c>
      <c r="N19" s="1795"/>
      <c r="O19" s="1783" t="str">
        <f>H19&amp;"("&amp;I19&amp;")"</f>
        <v>()</v>
      </c>
      <c r="P19" s="1525"/>
      <c r="Q19" s="1525"/>
      <c r="R19" s="574"/>
      <c r="S19" s="1525"/>
      <c r="T19" s="1525"/>
      <c r="U19" s="1525"/>
      <c r="V19" s="987"/>
      <c r="W19" s="987"/>
      <c r="X19" s="781"/>
      <c r="Y19" s="781"/>
      <c r="Z19" s="781"/>
      <c r="AA19" s="781"/>
      <c r="AB19" s="781"/>
      <c r="AC19" s="781"/>
      <c r="AD19" s="781"/>
      <c r="AE19" s="781"/>
      <c r="AF19" s="781"/>
      <c r="AG19" s="781"/>
      <c r="AH19" s="781"/>
      <c r="AI19" s="781"/>
      <c r="AJ19" s="781"/>
      <c r="AK19" s="781"/>
      <c r="AL19" s="781"/>
      <c r="AM19" s="781"/>
      <c r="AN19" s="781"/>
      <c r="AO19" s="781"/>
      <c r="AP19" s="781"/>
      <c r="AQ19" s="781"/>
      <c r="AR19" s="781"/>
      <c r="AS19" s="781"/>
      <c r="AT19" s="781"/>
      <c r="AU19" s="781"/>
      <c r="AV19" s="781"/>
      <c r="AW19" s="781"/>
      <c r="AX19" s="781"/>
      <c r="AY19" s="781"/>
      <c r="AZ19" s="781"/>
      <c r="BA19" s="781"/>
      <c r="BB19" s="781"/>
      <c r="BC19" s="781"/>
      <c r="BD19" s="781"/>
      <c r="BE19" s="781"/>
      <c r="BF19" s="781"/>
      <c r="BG19" s="781"/>
      <c r="BH19" s="781"/>
      <c r="BI19" s="781"/>
      <c r="BJ19" s="781"/>
      <c r="BK19" s="781"/>
      <c r="BL19" s="781"/>
      <c r="BM19" s="781"/>
      <c r="BN19" s="781"/>
      <c r="BO19" s="781"/>
      <c r="BP19" s="781"/>
      <c r="BQ19" s="781"/>
      <c r="BR19" s="781"/>
      <c r="BS19" s="987"/>
      <c r="BT19" s="987"/>
      <c r="BU19" s="987"/>
      <c r="BV19" s="987"/>
      <c r="BW19" s="987"/>
      <c r="BX19" s="987"/>
      <c r="BY19" s="987"/>
      <c r="BZ19" s="987"/>
      <c r="CA19" s="987"/>
      <c r="CB19" s="987"/>
    </row>
    <row r="21" s="8053" customFormat="1" customHeight="1" ht="15">
      <c r="A21" s="1974" t="s">
        <v>1823</v>
      </c>
      <c r="B21" s="1974"/>
      <c r="C21" s="1974"/>
      <c r="D21" s="1974"/>
      <c r="E21" s="1974"/>
      <c r="F21" s="1974"/>
      <c r="G21" s="1974"/>
      <c r="H21" s="1974"/>
      <c r="I21" s="1974"/>
      <c r="J21" s="1974"/>
      <c r="K21" s="1974"/>
      <c r="L21" s="1974"/>
      <c r="M21" s="1974"/>
      <c r="N21" s="1974"/>
      <c r="O21" s="1974"/>
      <c r="P21" s="1974"/>
      <c r="Q21" s="1974"/>
      <c r="R21" s="1974"/>
      <c r="S21" s="1974"/>
      <c r="T21" s="1974"/>
      <c r="U21" s="338"/>
      <c r="V21" s="1974"/>
      <c r="W21" s="1974"/>
    </row>
    <row s="8053" customFormat="1" customHeight="1" ht="15">
      <c r="U22" s="339"/>
    </row>
    <row s="10151" customFormat="1" customHeight="1" ht="15">
      <c r="A23" s="577"/>
      <c r="B23" s="577"/>
      <c r="C23" s="1887" t="s">
        <v>542</v>
      </c>
      <c r="D23" s="2196" t="s">
        <v>106</v>
      </c>
      <c r="E23" s="2197"/>
      <c r="F23" s="2195" t="s">
        <v>54</v>
      </c>
      <c r="G23" s="2608"/>
      <c r="H23" s="2185">
        <v>1</v>
      </c>
      <c r="I23" s="2610" t="str">
        <f>IF(U23="","",INDEX(TERRITORY_MR_LIST,MATCH(U23,TERRITORY_LIST_ID,0)))</f>
        <v/>
      </c>
      <c r="J23" s="2195" t="s">
        <v>54</v>
      </c>
      <c r="K23" s="986"/>
      <c r="L23" s="1941" t="s">
        <v>106</v>
      </c>
      <c r="M23" s="757"/>
      <c r="N23" s="758"/>
      <c r="O23" s="758"/>
      <c r="P23" s="758"/>
      <c r="Q23" s="758"/>
      <c r="R23" s="758"/>
      <c r="S23" s="758"/>
      <c r="T23" s="758"/>
      <c r="U23" s="759"/>
      <c r="V23" s="758"/>
      <c r="W23" s="758"/>
      <c r="X23" s="749"/>
      <c r="Y23" s="749" t="s">
        <v>115</v>
      </c>
      <c r="Z23" s="749">
        <v>1705000</v>
      </c>
      <c r="AA23" s="749"/>
      <c r="AB23" s="749"/>
      <c r="AC23" s="749"/>
      <c r="AD23" s="749"/>
      <c r="AE23" s="749"/>
      <c r="AF23" s="749"/>
      <c r="AG23" s="749"/>
      <c r="AH23" s="749"/>
      <c r="AI23" s="749"/>
      <c r="AJ23" s="749"/>
      <c r="AK23" s="749"/>
      <c r="AL23" s="749"/>
    </row>
    <row s="10151" customFormat="1" customHeight="1" ht="15">
      <c r="A24" s="577"/>
      <c r="B24" s="577"/>
      <c r="C24" s="331"/>
      <c r="D24" s="2196"/>
      <c r="E24" s="2198"/>
      <c r="F24" s="2195"/>
      <c r="G24" s="2609"/>
      <c r="H24" s="2185"/>
      <c r="I24" s="2611"/>
      <c r="J24" s="2195"/>
      <c r="K24" s="575"/>
      <c r="L24" s="332"/>
      <c r="M24" s="761" t="s">
        <v>116</v>
      </c>
      <c r="N24" s="758"/>
      <c r="O24" s="758"/>
      <c r="P24" s="758"/>
      <c r="Q24" s="758"/>
      <c r="R24" s="758"/>
      <c r="S24" s="758"/>
      <c r="T24" s="758"/>
      <c r="U24" s="759"/>
      <c r="V24" s="758"/>
      <c r="W24" s="758"/>
      <c r="X24" s="749"/>
      <c r="Y24" s="749"/>
      <c r="Z24" s="749"/>
      <c r="AA24" s="749"/>
      <c r="AB24" s="749"/>
      <c r="AC24" s="749"/>
      <c r="AD24" s="749"/>
      <c r="AE24" s="749"/>
      <c r="AF24" s="749"/>
      <c r="AG24" s="749"/>
      <c r="AH24" s="749"/>
      <c r="AI24" s="749"/>
      <c r="AJ24" s="749"/>
      <c r="AK24" s="749"/>
      <c r="AL24" s="749"/>
    </row>
    <row s="10151" customFormat="1" customHeight="1" ht="15">
      <c r="A25" s="577"/>
      <c r="B25" s="577"/>
      <c r="C25" s="331"/>
      <c r="D25" s="2196"/>
      <c r="E25" s="2199"/>
      <c r="F25" s="2195"/>
      <c r="G25" s="575"/>
      <c r="H25" s="332"/>
      <c r="I25" s="734" t="s">
        <v>117</v>
      </c>
      <c r="J25" s="332"/>
      <c r="K25" s="332"/>
      <c r="L25" s="332"/>
      <c r="M25" s="762"/>
      <c r="N25" s="758"/>
      <c r="O25" s="758"/>
      <c r="P25" s="758"/>
      <c r="Q25" s="758"/>
      <c r="R25" s="758"/>
      <c r="S25" s="758"/>
      <c r="T25" s="758"/>
      <c r="U25" s="759"/>
      <c r="V25" s="758"/>
      <c r="W25" s="758"/>
      <c r="X25" s="749"/>
      <c r="Y25" s="749"/>
      <c r="Z25" s="749"/>
      <c r="AA25" s="749"/>
      <c r="AB25" s="749"/>
      <c r="AC25" s="749"/>
      <c r="AD25" s="749"/>
      <c r="AE25" s="749"/>
      <c r="AF25" s="749"/>
      <c r="AG25" s="749"/>
      <c r="AH25" s="749"/>
      <c r="AI25" s="749"/>
      <c r="AJ25" s="749"/>
      <c r="AK25" s="749"/>
      <c r="AL25" s="749"/>
    </row>
    <row s="8053" customFormat="1" customHeight="1" ht="15">
      <c r="U26" s="339"/>
    </row>
    <row s="8053" customFormat="1" customHeight="1" ht="15">
      <c r="A27" s="1974" t="s">
        <v>1824</v>
      </c>
      <c r="B27" s="1974"/>
      <c r="C27" s="1974"/>
      <c r="D27" s="1974"/>
      <c r="E27" s="1974"/>
      <c r="F27" s="1974"/>
      <c r="G27" s="1974"/>
      <c r="H27" s="1974"/>
      <c r="I27" s="1974"/>
      <c r="J27" s="1974"/>
      <c r="K27" s="1974"/>
      <c r="L27" s="1974"/>
      <c r="M27" s="1974"/>
      <c r="N27" s="1974"/>
      <c r="O27" s="1974"/>
      <c r="P27" s="1974"/>
      <c r="Q27" s="1974"/>
      <c r="R27" s="1974"/>
      <c r="S27" s="1974"/>
      <c r="T27" s="1974"/>
      <c r="U27" s="338"/>
      <c r="V27" s="1974"/>
      <c r="W27" s="1974"/>
    </row>
    <row s="8053" customFormat="1" customHeight="1" ht="15">
      <c r="U28" s="339"/>
    </row>
    <row s="10151" customFormat="1" customHeight="1" ht="15">
      <c r="A29" s="577"/>
      <c r="B29" s="577"/>
      <c r="C29" s="331"/>
      <c r="D29" s="1980"/>
      <c r="E29" s="1980"/>
      <c r="F29" s="1980"/>
      <c r="G29" s="2612" t="s">
        <v>542</v>
      </c>
      <c r="H29" s="2171">
        <v>1</v>
      </c>
      <c r="I29" s="2613" t="str">
        <f>IF(U29="","",INDEX(TERRITORY_MR_LIST,MATCH(U29,TERRITORY_LIST_ID,0)))</f>
        <v/>
      </c>
      <c r="J29" s="2195" t="s">
        <v>54</v>
      </c>
      <c r="K29" s="986"/>
      <c r="L29" s="1941" t="s">
        <v>106</v>
      </c>
      <c r="M29" s="757"/>
      <c r="N29" s="758"/>
      <c r="O29" s="758"/>
      <c r="P29" s="758"/>
      <c r="Q29" s="758"/>
      <c r="R29" s="758"/>
      <c r="S29" s="758"/>
      <c r="T29" s="758"/>
      <c r="U29" s="759"/>
      <c r="V29" s="758"/>
      <c r="W29" s="758"/>
      <c r="X29" s="749"/>
      <c r="Y29" s="749" t="s">
        <v>115</v>
      </c>
      <c r="Z29" s="749">
        <v>1705000</v>
      </c>
      <c r="AA29" s="749"/>
      <c r="AB29" s="749"/>
      <c r="AC29" s="749"/>
      <c r="AD29" s="749"/>
      <c r="AE29" s="749"/>
      <c r="AF29" s="749"/>
      <c r="AG29" s="749"/>
      <c r="AH29" s="749"/>
      <c r="AI29" s="749"/>
      <c r="AJ29" s="749"/>
      <c r="AK29" s="749"/>
      <c r="AL29" s="749"/>
    </row>
    <row s="10151" customFormat="1" customHeight="1" ht="15">
      <c r="A30" s="577"/>
      <c r="B30" s="577"/>
      <c r="C30" s="331"/>
      <c r="D30" s="1980"/>
      <c r="E30" s="1980"/>
      <c r="F30" s="1980"/>
      <c r="G30" s="2612"/>
      <c r="H30" s="2171"/>
      <c r="I30" s="2613"/>
      <c r="J30" s="2195"/>
      <c r="K30" s="575"/>
      <c r="L30" s="332"/>
      <c r="M30" s="761" t="s">
        <v>116</v>
      </c>
      <c r="N30" s="758"/>
      <c r="O30" s="758"/>
      <c r="P30" s="758"/>
      <c r="Q30" s="758"/>
      <c r="R30" s="758"/>
      <c r="S30" s="758"/>
      <c r="T30" s="758"/>
      <c r="U30" s="759"/>
      <c r="V30" s="758"/>
      <c r="W30" s="758"/>
      <c r="X30" s="749"/>
      <c r="Y30" s="749"/>
      <c r="Z30" s="749"/>
      <c r="AA30" s="749"/>
      <c r="AB30" s="749"/>
      <c r="AC30" s="749"/>
      <c r="AD30" s="749"/>
      <c r="AE30" s="749"/>
      <c r="AF30" s="749"/>
      <c r="AG30" s="749"/>
      <c r="AH30" s="749"/>
      <c r="AI30" s="749"/>
      <c r="AJ30" s="749"/>
      <c r="AK30" s="749"/>
      <c r="AL30" s="749"/>
    </row>
    <row s="8053" customFormat="1" customHeight="1" ht="15">
      <c r="U31" s="339"/>
    </row>
    <row s="8053" customFormat="1" customHeight="1" ht="15">
      <c r="A32" s="1974" t="s">
        <v>1825</v>
      </c>
      <c r="B32" s="1974"/>
      <c r="C32" s="1974"/>
      <c r="D32" s="1974"/>
      <c r="E32" s="1974"/>
      <c r="F32" s="1974"/>
      <c r="G32" s="1974"/>
      <c r="H32" s="1974"/>
      <c r="I32" s="1974"/>
      <c r="J32" s="1974"/>
      <c r="K32" s="1974"/>
      <c r="L32" s="1974"/>
      <c r="M32" s="1974"/>
      <c r="N32" s="1974"/>
      <c r="O32" s="1974"/>
      <c r="P32" s="1974"/>
      <c r="Q32" s="1974"/>
      <c r="R32" s="1974"/>
      <c r="S32" s="1974"/>
      <c r="T32" s="1974"/>
      <c r="U32" s="338"/>
      <c r="V32" s="1974"/>
      <c r="W32" s="1974"/>
    </row>
    <row s="8053" customFormat="1" customHeight="1" ht="15">
      <c r="U33" s="339"/>
    </row>
    <row s="10151" customFormat="1" customHeight="1" ht="15">
      <c r="A34" s="577"/>
      <c r="B34" s="577"/>
      <c r="C34" s="331"/>
      <c r="D34" s="1980"/>
      <c r="E34" s="1980"/>
      <c r="F34" s="1980"/>
      <c r="G34" s="1980"/>
      <c r="H34" s="1980"/>
      <c r="I34" s="1980"/>
      <c r="J34" s="1980"/>
      <c r="K34" s="1958" t="s">
        <v>542</v>
      </c>
      <c r="L34" s="1888" t="s">
        <v>106</v>
      </c>
      <c r="M34" s="965"/>
      <c r="N34" s="966"/>
      <c r="O34" s="758"/>
      <c r="P34" s="758"/>
      <c r="Q34" s="758"/>
      <c r="R34" s="758"/>
      <c r="S34" s="758"/>
      <c r="T34" s="758"/>
      <c r="U34" s="759"/>
      <c r="V34" s="758"/>
      <c r="W34" s="758"/>
      <c r="X34" s="749"/>
      <c r="Y34" s="749" t="s">
        <v>115</v>
      </c>
      <c r="Z34" s="749">
        <v>1705000</v>
      </c>
      <c r="AA34" s="749"/>
      <c r="AB34" s="749"/>
      <c r="AC34" s="749"/>
      <c r="AD34" s="749"/>
      <c r="AE34" s="749"/>
      <c r="AF34" s="749"/>
      <c r="AG34" s="749"/>
      <c r="AH34" s="749"/>
      <c r="AI34" s="749"/>
      <c r="AJ34" s="749"/>
      <c r="AK34" s="749"/>
      <c r="AL34" s="749"/>
    </row>
    <row s="8053" customFormat="1" customHeight="1" ht="15">
      <c r="U35" s="339"/>
    </row>
    <row s="8053" customFormat="1" customHeight="1" ht="15">
      <c r="U36" s="339"/>
    </row>
    <row s="10136" customFormat="1" customHeight="1" ht="11.25">
      <c r="A37" s="1974" t="s">
        <v>1826</v>
      </c>
    </row>
    <row customHeight="1" ht="11.25"/>
    <row s="8508" customFormat="1" customHeight="1" ht="22.5">
      <c r="A39" s="1950"/>
      <c r="B39" s="611"/>
      <c r="C39" s="1013"/>
      <c r="D39" s="594"/>
      <c r="E39" s="1014"/>
      <c r="F39" s="1971"/>
      <c r="G39" s="1981"/>
      <c r="H39" s="629"/>
    </row>
    <row customHeight="1" ht="11.25"/>
    <row s="10136" customFormat="1" customHeight="1" ht="11.25">
      <c r="A41" s="1974" t="s">
        <v>1827</v>
      </c>
    </row>
    <row customHeight="1" ht="11.25"/>
    <row s="8508" customFormat="1" customHeight="1" ht="22.5">
      <c r="A43" s="611"/>
      <c r="B43" s="611"/>
      <c r="C43" s="611"/>
      <c r="D43" s="594"/>
      <c r="E43" s="1014"/>
      <c r="F43" s="1015"/>
      <c r="G43" s="1981"/>
      <c r="H43" s="629"/>
    </row>
    <row customHeight="1" ht="11.25"/>
    <row s="10136" customFormat="1" customHeight="1" ht="11.25">
      <c r="A45" s="1974" t="s">
        <v>1828</v>
      </c>
    </row>
    <row customHeight="1" ht="11.25"/>
    <row s="8508" customFormat="1" customHeight="1" ht="24">
      <c r="A47" s="2268" t="s">
        <v>313</v>
      </c>
      <c r="B47" s="656"/>
      <c r="C47" s="2279"/>
      <c r="D47" s="599" t="str">
        <f>A47</f>
        <v>5.1</v>
      </c>
      <c r="E47" s="596" t="s">
        <v>314</v>
      </c>
      <c r="F47" s="2137" t="s">
        <v>306</v>
      </c>
      <c r="G47" s="598" t="s">
        <v>315</v>
      </c>
      <c r="H47" s="629"/>
      <c r="I47" s="1006"/>
    </row>
    <row s="8508" customFormat="1" customHeight="1" ht="22.5">
      <c r="A48" s="2268"/>
      <c r="B48" s="656"/>
      <c r="C48" s="2279"/>
      <c r="D48" s="594" t="str">
        <f>D47&amp;".1"</f>
        <v>5.1.1</v>
      </c>
      <c r="E48" s="593" t="s">
        <v>316</v>
      </c>
      <c r="F48" s="2138" t="s">
        <v>24</v>
      </c>
      <c r="G48" s="628"/>
      <c r="H48" s="629"/>
      <c r="I48" s="1006"/>
    </row>
    <row s="8508" customFormat="1" customHeight="1" ht="22.5">
      <c r="A49" s="2268"/>
      <c r="B49" s="656"/>
      <c r="C49" s="2279"/>
      <c r="D49" s="594" t="str">
        <f>D47&amp;".2"</f>
        <v>5.1.2</v>
      </c>
      <c r="E49" s="593" t="s">
        <v>317</v>
      </c>
      <c r="F49" s="1891" t="s">
        <v>24</v>
      </c>
      <c r="G49" s="598" t="s">
        <v>318</v>
      </c>
      <c r="H49" s="629"/>
      <c r="I49" s="1006"/>
    </row>
    <row s="8508" customFormat="1" customHeight="1" ht="22.5">
      <c r="A50" s="2268"/>
      <c r="B50" s="656"/>
      <c r="C50" s="2279"/>
      <c r="D50" s="594" t="str">
        <f>D47&amp;".3"</f>
        <v>5.1.3</v>
      </c>
      <c r="E50" s="593" t="s">
        <v>319</v>
      </c>
      <c r="F50" s="2138" t="s">
        <v>24</v>
      </c>
      <c r="G50" s="628"/>
      <c r="H50" s="629"/>
      <c r="I50" s="1006"/>
    </row>
    <row s="8508" customFormat="1" customHeight="1" ht="22.5">
      <c r="A51" s="2268"/>
      <c r="B51" s="656"/>
      <c r="C51" s="2279"/>
      <c r="D51" s="594" t="str">
        <f>D47&amp;".4"</f>
        <v>5.1.4</v>
      </c>
      <c r="E51" s="593" t="s">
        <v>320</v>
      </c>
      <c r="F51" s="2138" t="s">
        <v>24</v>
      </c>
      <c r="G51" s="598" t="s">
        <v>321</v>
      </c>
      <c r="H51" s="629"/>
      <c r="I51" s="1006"/>
    </row>
    <row r="54" s="10136" customFormat="1" customHeight="1" ht="17.25">
      <c r="A54" s="1974" t="s">
        <v>1829</v>
      </c>
    </row>
    <row r="56" s="8596" customFormat="1" customHeight="1" ht="18.75">
      <c r="A56" s="243"/>
      <c r="B56" s="1982"/>
      <c r="C56" s="1982"/>
      <c r="D56" s="1983"/>
      <c r="E56" s="1968"/>
      <c r="F56" s="1022">
        <v>13</v>
      </c>
      <c r="G56" s="1021"/>
      <c r="H56" s="947"/>
      <c r="I56" s="945"/>
      <c r="J56" s="674" t="s">
        <v>64</v>
      </c>
      <c r="K56" s="1984" t="s">
        <v>24</v>
      </c>
      <c r="L56" s="243"/>
      <c r="M56" s="1795"/>
      <c r="N56" s="1795"/>
      <c r="O56" s="1795"/>
      <c r="P56" s="670" t="s">
        <v>392</v>
      </c>
      <c r="Q56" s="670" t="s">
        <v>393</v>
      </c>
      <c r="R56" s="671" t="s">
        <v>394</v>
      </c>
      <c r="S56" s="1795" t="s">
        <v>395</v>
      </c>
      <c r="T56" s="1795"/>
      <c r="U56" s="1795"/>
      <c r="V56" s="1795"/>
    </row>
    <row r="58" s="10136" customFormat="1" customHeight="1" ht="11.25">
      <c r="A58" s="1974" t="s">
        <v>1830</v>
      </c>
    </row>
    <row r="60" s="8849" customFormat="1" customHeight="1" ht="14.25">
      <c r="C60" s="1847"/>
      <c r="D60" s="2029"/>
      <c r="E60" s="1936" t="s">
        <v>24</v>
      </c>
      <c r="F60" s="2028"/>
      <c r="G60" s="1010"/>
      <c r="H60" s="1937"/>
      <c r="I60" s="1937"/>
      <c r="J60" s="587"/>
      <c r="K60" s="2023"/>
      <c r="L60" s="586"/>
      <c r="M60" s="2023"/>
      <c r="N60" s="587"/>
      <c r="O60" s="2023"/>
      <c r="P60" s="587"/>
      <c r="Q60" s="2023"/>
      <c r="R60" s="587"/>
      <c r="S60" s="1008"/>
      <c r="T60" s="1937"/>
      <c r="U60" s="587"/>
      <c r="V60" s="587"/>
      <c r="W60" s="2027"/>
      <c r="X60" s="1937"/>
      <c r="Y60" s="587"/>
      <c r="Z60" s="587"/>
      <c r="AA60" s="2027"/>
      <c r="AB60" s="1937"/>
      <c r="AC60" s="587"/>
      <c r="AD60" s="2027"/>
      <c r="AE60" s="243"/>
      <c r="AF60" s="243"/>
      <c r="AG60" s="243"/>
      <c r="AH60" s="243"/>
      <c r="AJ60" s="1795"/>
      <c r="AK60" s="1795"/>
      <c r="AL60" s="1795"/>
      <c r="AM60" s="1795"/>
      <c r="AN60" s="1795"/>
      <c r="AO60" s="1795"/>
      <c r="AP60" s="1783" t="s">
        <v>381</v>
      </c>
      <c r="AQ60" s="1783" t="s">
        <v>381</v>
      </c>
      <c r="AR60" s="1795"/>
      <c r="AS60" s="1795"/>
    </row>
    <row r="62" s="10136" customFormat="1" customHeight="1" ht="11.25">
      <c r="A62" s="1974" t="s">
        <v>1831</v>
      </c>
    </row>
    <row r="64" s="10182" customFormat="1" customHeight="1" ht="15">
      <c r="A64" s="300" t="s">
        <v>87</v>
      </c>
      <c r="B64" s="280" t="s">
        <v>24</v>
      </c>
      <c r="C64" s="1985"/>
      <c r="D64" s="283"/>
      <c r="E64" s="535"/>
      <c r="F64" s="535"/>
      <c r="G64" s="1962"/>
      <c r="H64" s="1984"/>
      <c r="I64" s="1963"/>
      <c r="K64" s="426"/>
      <c r="L64" s="427"/>
    </row>
    <row r="66" s="10136" customFormat="1" customHeight="1" ht="11.25">
      <c r="A66" s="1974" t="s">
        <v>1832</v>
      </c>
    </row>
    <row r="68" s="8849" customFormat="1" customHeight="1" ht="14.25">
      <c r="A68" s="497"/>
      <c r="B68" s="1316"/>
      <c r="C68" s="530"/>
      <c r="D68" s="1969"/>
      <c r="E68" s="1040"/>
      <c r="F68" s="1984"/>
      <c r="G68" s="243"/>
      <c r="I68" s="1783"/>
      <c r="J68" s="1783"/>
    </row>
    <row r="70" s="10136" customFormat="1" customHeight="1" ht="11.25">
      <c r="A70" s="1974" t="s">
        <v>1833</v>
      </c>
    </row>
    <row r="72" s="8849" customFormat="1" customHeight="1" ht="27">
      <c r="A72" s="1322"/>
      <c r="B72" s="1322"/>
      <c r="C72" s="1322"/>
      <c r="D72" s="1316"/>
      <c r="E72" s="1986"/>
      <c r="F72" s="2561"/>
      <c r="G72" s="2562"/>
      <c r="H72" s="2563" t="s">
        <v>64</v>
      </c>
      <c r="I72" s="2565"/>
      <c r="J72" s="2567"/>
      <c r="K72" s="2569"/>
      <c r="L72" s="2579"/>
      <c r="M72" s="2579"/>
      <c r="N72" s="2620"/>
      <c r="O72" s="2620"/>
      <c r="P72" s="2621">
        <f>DATEDIF(DATEVALUE(N72),DATEVALUE(O72),"y")&amp;"г. "&amp;DATEDIF(DATEVALUE(N72),DATEVALUE(O72),"ym")&amp;"мес. "&amp;DATEVALUE(O72)-DATE(YEAR(DATEVALUE(O72)),MONTH(DATEVALUE(O72)),1)&amp;"дн. "</f>
      </c>
      <c r="Q72" s="2581"/>
      <c r="R72" s="2581"/>
      <c r="S72" s="2581"/>
      <c r="T72" s="2567"/>
      <c r="U72" s="2581"/>
      <c r="V72" s="2581"/>
      <c r="W72" s="2581"/>
      <c r="X72" s="2567"/>
      <c r="Y72" s="2618" t="s">
        <v>64</v>
      </c>
      <c r="Z72" s="1967"/>
      <c r="AA72" s="1951">
        <v>1</v>
      </c>
      <c r="AB72" s="1400"/>
      <c r="AD72" s="1795" t="s">
        <v>1834</v>
      </c>
    </row>
    <row s="8849" customFormat="1" customHeight="1" ht="10.5">
      <c r="A73" s="1322"/>
      <c r="B73" s="1322"/>
      <c r="C73" s="1322"/>
      <c r="D73" s="1316"/>
      <c r="E73" s="1102"/>
      <c r="F73" s="2561"/>
      <c r="G73" s="2562"/>
      <c r="H73" s="2564"/>
      <c r="I73" s="2566"/>
      <c r="J73" s="2568"/>
      <c r="K73" s="2569"/>
      <c r="L73" s="2579"/>
      <c r="M73" s="2579"/>
      <c r="N73" s="2620"/>
      <c r="O73" s="2620"/>
      <c r="P73" s="2621"/>
      <c r="Q73" s="2581"/>
      <c r="R73" s="2581"/>
      <c r="S73" s="2581"/>
      <c r="T73" s="2568"/>
      <c r="U73" s="2581"/>
      <c r="V73" s="2581"/>
      <c r="W73" s="2581"/>
      <c r="X73" s="2568"/>
      <c r="Y73" s="2619"/>
      <c r="Z73" s="501"/>
      <c r="AA73" s="726"/>
      <c r="AB73" s="806" t="s">
        <v>1835</v>
      </c>
    </row>
    <row r="75" s="10136" customFormat="1" customHeight="1" ht="11.25">
      <c r="A75" s="1974" t="s">
        <v>1836</v>
      </c>
    </row>
    <row r="77" s="8849" customFormat="1" customHeight="1" ht="27">
      <c r="A77" s="1322"/>
      <c r="B77" s="1322"/>
      <c r="C77" s="1322"/>
      <c r="D77" s="1316"/>
      <c r="E77" s="1986"/>
      <c r="F77" s="1956"/>
      <c r="G77" s="1906"/>
      <c r="H77" s="1907"/>
      <c r="I77" s="1908"/>
      <c r="J77" s="1909"/>
      <c r="K77" s="1910"/>
      <c r="L77" s="1911"/>
      <c r="M77" s="1911"/>
      <c r="N77" s="1912"/>
      <c r="O77" s="1912"/>
      <c r="P77" s="1913"/>
      <c r="Q77" s="1914"/>
      <c r="R77" s="1914"/>
      <c r="S77" s="1914"/>
      <c r="T77" s="1909"/>
      <c r="U77" s="1914"/>
      <c r="V77" s="1914"/>
      <c r="W77" s="1914"/>
      <c r="X77" s="1909"/>
      <c r="Y77" s="1907"/>
      <c r="Z77" s="1967"/>
      <c r="AA77" s="1951">
        <v>1</v>
      </c>
      <c r="AB77" s="1400"/>
      <c r="AD77" s="1795" t="s">
        <v>1834</v>
      </c>
    </row>
    <row r="79" s="10136" customFormat="1" customHeight="1" ht="11.25">
      <c r="A79" s="1974" t="s">
        <v>1837</v>
      </c>
    </row>
    <row customHeight="1" ht="17.25"/>
    <row s="8849" customFormat="1" customHeight="1" ht="21">
      <c r="A81" s="1323"/>
      <c r="B81" s="1322"/>
      <c r="C81" s="1322"/>
      <c r="D81" s="1316"/>
      <c r="E81" s="1326"/>
      <c r="F81" s="1278">
        <f>INDEX(IP_MAIN_LIST_NAME_IP,MATCH(A81,IP_MAIN_LIST_IP_ID,0))&amp;" ("&amp;INDEX(IP_MAIN_START_DATE,MATCH(A81,IP_MAIN_LIST_IP_ID,0))&amp;"-"&amp;INDEX(IP_MAIN_END_DATE,MATCH(A81,IP_MAIN_LIST_IP_ID,0))&amp;")"</f>
      </c>
      <c r="G81" s="1279"/>
      <c r="H81" s="1279"/>
      <c r="I81" s="1343"/>
      <c r="J81" s="1343"/>
      <c r="K81" s="1344"/>
      <c r="L81" s="1344"/>
      <c r="M81" s="1344"/>
      <c r="N81" s="1345"/>
      <c r="O81" s="1345"/>
      <c r="P81" s="1345"/>
      <c r="Q81" s="1345"/>
      <c r="R81" s="1345"/>
      <c r="S81" s="1345"/>
      <c r="T81" s="1345"/>
      <c r="U81" s="1345"/>
      <c r="V81" s="1345"/>
      <c r="W81" s="1345"/>
      <c r="X81" s="1345"/>
      <c r="Y81" s="1345"/>
      <c r="Z81" s="1345"/>
      <c r="AA81" s="1345"/>
      <c r="AB81" s="1345"/>
      <c r="AC81" s="1345"/>
      <c r="AD81" s="1345"/>
      <c r="AE81" s="1346"/>
      <c r="AF81" s="1344"/>
      <c r="AG81" s="1344"/>
      <c r="AH81" s="1344"/>
      <c r="AI81" s="1344"/>
      <c r="AJ81" s="1344"/>
      <c r="AK81" s="1344"/>
      <c r="AL81" s="1327"/>
      <c r="AM81" s="1982"/>
      <c r="AN81" s="1982"/>
      <c r="AO81" s="1982"/>
      <c r="AP81" s="1982"/>
      <c r="AQ81" s="1982"/>
      <c r="AR81" s="1982"/>
      <c r="AS81" s="1982"/>
      <c r="AT81" s="1982"/>
      <c r="AU81" s="1982"/>
      <c r="AV81" s="1982"/>
      <c r="AW81" s="1982"/>
      <c r="AX81" s="1982"/>
      <c r="AY81" s="1982"/>
      <c r="AZ81" s="1982"/>
      <c r="BA81" s="1982"/>
      <c r="BB81" s="1982"/>
      <c r="BC81" s="1982"/>
      <c r="BD81" s="1982"/>
      <c r="BE81" s="1982"/>
      <c r="BF81" s="1982"/>
    </row>
    <row s="8849" customFormat="1" customHeight="1" ht="11.25">
      <c r="A82" s="1322"/>
      <c r="B82" s="1322"/>
      <c r="C82" s="1322"/>
      <c r="D82" s="1316"/>
      <c r="E82" s="1326"/>
      <c r="F82" s="2624"/>
      <c r="G82" s="2580"/>
      <c r="H82" s="2580" t="s">
        <v>106</v>
      </c>
      <c r="I82" s="2627"/>
      <c r="J82" s="2553"/>
      <c r="K82" s="2628"/>
      <c r="L82" s="2622" t="s">
        <v>54</v>
      </c>
      <c r="M82" s="2196"/>
      <c r="N82" s="1335"/>
      <c r="O82" s="1334" t="s">
        <v>376</v>
      </c>
      <c r="P82" s="1335"/>
      <c r="Q82" s="1335"/>
      <c r="R82" s="1335"/>
      <c r="S82" s="1335"/>
      <c r="T82" s="1335"/>
      <c r="U82" s="1335"/>
      <c r="V82" s="1335"/>
      <c r="W82" s="1335"/>
      <c r="X82" s="1335"/>
      <c r="Y82" s="1335"/>
      <c r="Z82" s="1335"/>
      <c r="AA82" s="1335"/>
      <c r="AB82" s="1335"/>
      <c r="AC82" s="1335"/>
      <c r="AD82" s="1335"/>
      <c r="AE82" s="1335"/>
      <c r="AF82" s="2626"/>
      <c r="AG82" s="2622"/>
      <c r="AH82" s="2622"/>
      <c r="AI82" s="2626"/>
      <c r="AJ82" s="2622"/>
      <c r="AK82" s="2622"/>
      <c r="AL82" s="1329"/>
      <c r="AM82" s="1982"/>
      <c r="AN82" s="1982"/>
      <c r="AO82" s="1982"/>
      <c r="AP82" s="1982"/>
      <c r="AQ82" s="1982"/>
      <c r="AR82" s="1982"/>
      <c r="AS82" s="1982"/>
      <c r="AT82" s="1982"/>
      <c r="AU82" s="1982"/>
      <c r="AV82" s="1982"/>
      <c r="AW82" s="1982"/>
      <c r="AX82" s="1982"/>
      <c r="AY82" s="1982"/>
      <c r="AZ82" s="1982"/>
      <c r="BA82" s="1982"/>
      <c r="BB82" s="1982"/>
      <c r="BC82" s="1982"/>
      <c r="BD82" s="1982"/>
      <c r="BE82" s="1982"/>
      <c r="BF82" s="1982"/>
    </row>
    <row s="8849" customFormat="1" customHeight="1" ht="11.25">
      <c r="A83" s="1322"/>
      <c r="B83" s="1322"/>
      <c r="C83" s="1322"/>
      <c r="D83" s="1316"/>
      <c r="E83" s="1326"/>
      <c r="F83" s="2624"/>
      <c r="G83" s="2580"/>
      <c r="H83" s="2580"/>
      <c r="I83" s="2627"/>
      <c r="J83" s="2553"/>
      <c r="K83" s="2628"/>
      <c r="L83" s="2622"/>
      <c r="M83" s="2196"/>
      <c r="N83" s="2629"/>
      <c r="O83" s="2575">
        <v>1</v>
      </c>
      <c r="P83" s="2570" t="s">
        <v>54</v>
      </c>
      <c r="Q83" s="2573" t="s">
        <v>24</v>
      </c>
      <c r="R83" s="2573" t="s">
        <v>24</v>
      </c>
      <c r="S83" s="2573" t="s">
        <v>24</v>
      </c>
      <c r="T83" s="2573" t="s">
        <v>24</v>
      </c>
      <c r="U83" s="2573" t="s">
        <v>24</v>
      </c>
      <c r="V83" s="2573" t="s">
        <v>24</v>
      </c>
      <c r="W83" s="2573" t="s">
        <v>24</v>
      </c>
      <c r="X83" s="2573" t="s">
        <v>24</v>
      </c>
      <c r="Y83" s="2573"/>
      <c r="Z83" s="1332"/>
      <c r="AA83" s="1333"/>
      <c r="AB83" s="1333"/>
      <c r="AC83" s="1337"/>
      <c r="AD83" s="1337"/>
      <c r="AE83" s="1338"/>
      <c r="AF83" s="2626"/>
      <c r="AG83" s="2622"/>
      <c r="AH83" s="2622"/>
      <c r="AI83" s="2626"/>
      <c r="AJ83" s="2622"/>
      <c r="AK83" s="2622"/>
      <c r="AL83" s="1329"/>
      <c r="AM83" s="1982"/>
      <c r="AN83" s="1982"/>
      <c r="AO83" s="1982"/>
      <c r="AP83" s="1982"/>
      <c r="AQ83" s="1982"/>
      <c r="AR83" s="1982"/>
      <c r="AS83" s="1982"/>
      <c r="AT83" s="1982"/>
      <c r="AU83" s="1982"/>
      <c r="AV83" s="1982"/>
      <c r="AW83" s="1982"/>
      <c r="AX83" s="1982"/>
      <c r="AY83" s="1982"/>
      <c r="AZ83" s="1982"/>
      <c r="BA83" s="1982"/>
      <c r="BB83" s="1982"/>
      <c r="BC83" s="1982"/>
      <c r="BD83" s="1982"/>
      <c r="BE83" s="1982"/>
      <c r="BF83" s="1982"/>
    </row>
    <row s="8849" customFormat="1" customHeight="1" ht="11.25">
      <c r="A84" s="1322"/>
      <c r="B84" s="1322"/>
      <c r="C84" s="1322"/>
      <c r="D84" s="1316"/>
      <c r="E84" s="1326"/>
      <c r="F84" s="2624"/>
      <c r="G84" s="2580"/>
      <c r="H84" s="2580"/>
      <c r="I84" s="2627"/>
      <c r="J84" s="2553"/>
      <c r="K84" s="2628"/>
      <c r="L84" s="2622"/>
      <c r="M84" s="2196"/>
      <c r="N84" s="2629"/>
      <c r="O84" s="2575"/>
      <c r="P84" s="2571"/>
      <c r="Q84" s="2573"/>
      <c r="R84" s="2573"/>
      <c r="S84" s="2576"/>
      <c r="T84" s="2573"/>
      <c r="U84" s="2573"/>
      <c r="V84" s="2573"/>
      <c r="W84" s="2573"/>
      <c r="X84" s="2573"/>
      <c r="Y84" s="2573"/>
      <c r="Z84" s="1987"/>
      <c r="AA84" s="1953">
        <v>1</v>
      </c>
      <c r="AB84" s="1336"/>
      <c r="AC84" s="1325"/>
      <c r="AD84" s="1336">
        <f>AB84</f>
        <v>0</v>
      </c>
      <c r="AE84" s="1325"/>
      <c r="AF84" s="2626"/>
      <c r="AG84" s="2622"/>
      <c r="AH84" s="2622"/>
      <c r="AI84" s="2626"/>
      <c r="AJ84" s="2622"/>
      <c r="AK84" s="2622"/>
      <c r="AL84" s="1329"/>
      <c r="AM84" s="1982"/>
      <c r="AN84" s="1982"/>
      <c r="AO84" s="1982"/>
      <c r="AP84" s="1982"/>
      <c r="AQ84" s="1982"/>
      <c r="AR84" s="1982"/>
      <c r="AS84" s="1982"/>
      <c r="AT84" s="1982"/>
      <c r="AU84" s="1982"/>
      <c r="AV84" s="1982"/>
      <c r="AW84" s="1982"/>
      <c r="AX84" s="1982"/>
      <c r="AY84" s="1982"/>
      <c r="AZ84" s="1982"/>
      <c r="BA84" s="1982"/>
      <c r="BB84" s="1982"/>
      <c r="BC84" s="1982"/>
      <c r="BD84" s="1982"/>
      <c r="BE84" s="1982"/>
      <c r="BF84" s="1982"/>
    </row>
    <row s="8849" customFormat="1" customHeight="1" ht="11.25">
      <c r="A85" s="1322"/>
      <c r="B85" s="1322"/>
      <c r="C85" s="1322"/>
      <c r="D85" s="1316"/>
      <c r="E85" s="1326"/>
      <c r="F85" s="2624"/>
      <c r="G85" s="2580"/>
      <c r="H85" s="2580"/>
      <c r="I85" s="2627"/>
      <c r="J85" s="2553"/>
      <c r="K85" s="2628"/>
      <c r="L85" s="2622"/>
      <c r="M85" s="2196"/>
      <c r="N85" s="2629"/>
      <c r="O85" s="2575"/>
      <c r="P85" s="2572"/>
      <c r="Q85" s="2573"/>
      <c r="R85" s="2573"/>
      <c r="S85" s="2576"/>
      <c r="T85" s="2573"/>
      <c r="U85" s="2573"/>
      <c r="V85" s="2573"/>
      <c r="W85" s="2573"/>
      <c r="X85" s="2573"/>
      <c r="Y85" s="2573"/>
      <c r="Z85" s="1332"/>
      <c r="AA85" s="1333"/>
      <c r="AB85" s="1399" t="s">
        <v>1838</v>
      </c>
      <c r="AC85" s="1337"/>
      <c r="AD85" s="1337"/>
      <c r="AE85" s="1339"/>
      <c r="AF85" s="2626"/>
      <c r="AG85" s="2622"/>
      <c r="AH85" s="2622"/>
      <c r="AI85" s="2626"/>
      <c r="AJ85" s="2622"/>
      <c r="AK85" s="2622"/>
      <c r="AL85" s="1329"/>
      <c r="AM85" s="1982"/>
      <c r="AN85" s="1982"/>
      <c r="AO85" s="1982"/>
      <c r="AP85" s="1982"/>
      <c r="AQ85" s="1982"/>
      <c r="AR85" s="1982"/>
      <c r="AS85" s="1982"/>
      <c r="AT85" s="1982"/>
      <c r="AU85" s="1982"/>
      <c r="AV85" s="1982"/>
      <c r="AW85" s="1982"/>
      <c r="AX85" s="1982"/>
      <c r="AY85" s="1982"/>
      <c r="AZ85" s="1982"/>
      <c r="BA85" s="1982"/>
      <c r="BB85" s="1982"/>
      <c r="BC85" s="1982"/>
      <c r="BD85" s="1982"/>
      <c r="BE85" s="1982"/>
      <c r="BF85" s="1982"/>
    </row>
    <row s="8849" customFormat="1" customHeight="1" ht="11.25">
      <c r="A86" s="1322"/>
      <c r="B86" s="1322"/>
      <c r="C86" s="1322"/>
      <c r="D86" s="1316"/>
      <c r="E86" s="1326"/>
      <c r="F86" s="2624"/>
      <c r="G86" s="2580"/>
      <c r="H86" s="2580"/>
      <c r="I86" s="2627"/>
      <c r="J86" s="2553"/>
      <c r="K86" s="2628"/>
      <c r="L86" s="2622"/>
      <c r="M86" s="2196"/>
      <c r="N86" s="1333"/>
      <c r="O86" s="1333"/>
      <c r="P86" s="1324" t="s">
        <v>1839</v>
      </c>
      <c r="Q86" s="1333"/>
      <c r="R86" s="1333"/>
      <c r="S86" s="1333"/>
      <c r="T86" s="1333"/>
      <c r="U86" s="1333"/>
      <c r="V86" s="1333"/>
      <c r="W86" s="1333"/>
      <c r="X86" s="1333"/>
      <c r="Y86" s="1333"/>
      <c r="Z86" s="1333"/>
      <c r="AA86" s="1333"/>
      <c r="AB86" s="1333"/>
      <c r="AC86" s="1333"/>
      <c r="AD86" s="1333"/>
      <c r="AE86" s="1340"/>
      <c r="AF86" s="2626"/>
      <c r="AG86" s="2622"/>
      <c r="AH86" s="2622"/>
      <c r="AI86" s="2626"/>
      <c r="AJ86" s="2622"/>
      <c r="AK86" s="2622"/>
      <c r="AL86" s="1329"/>
      <c r="AM86" s="1982"/>
      <c r="AN86" s="1982"/>
      <c r="AO86" s="1982"/>
      <c r="AP86" s="1982"/>
      <c r="AQ86" s="1982"/>
      <c r="AR86" s="1982"/>
      <c r="AS86" s="1982"/>
      <c r="AT86" s="1982"/>
      <c r="AU86" s="1982"/>
      <c r="AV86" s="1982"/>
      <c r="AW86" s="1982"/>
      <c r="AX86" s="1982"/>
      <c r="AY86" s="1982"/>
      <c r="AZ86" s="1982"/>
      <c r="BA86" s="1982"/>
      <c r="BB86" s="1982"/>
      <c r="BC86" s="1982"/>
      <c r="BD86" s="1982"/>
      <c r="BE86" s="1982"/>
      <c r="BF86" s="1982"/>
    </row>
    <row s="8849" customFormat="1" customHeight="1" ht="12">
      <c r="A87" s="1322"/>
      <c r="B87" s="1322"/>
      <c r="C87" s="1322"/>
      <c r="D87" s="1316"/>
      <c r="E87" s="1326"/>
      <c r="F87" s="2625"/>
      <c r="G87" s="1348"/>
      <c r="H87" s="1348"/>
      <c r="I87" s="2623" t="s">
        <v>1840</v>
      </c>
      <c r="J87" s="2623"/>
      <c r="K87" s="2623"/>
      <c r="L87" s="1330"/>
      <c r="M87" s="1330"/>
      <c r="N87" s="1331"/>
      <c r="O87" s="1331"/>
      <c r="P87" s="1331"/>
      <c r="Q87" s="1331"/>
      <c r="R87" s="1331"/>
      <c r="S87" s="1331"/>
      <c r="T87" s="1331"/>
      <c r="U87" s="1331"/>
      <c r="V87" s="1331"/>
      <c r="W87" s="1331"/>
      <c r="X87" s="1331"/>
      <c r="Y87" s="1331"/>
      <c r="Z87" s="1331"/>
      <c r="AA87" s="1331"/>
      <c r="AB87" s="1331"/>
      <c r="AC87" s="1331"/>
      <c r="AD87" s="1331"/>
      <c r="AE87" s="1331"/>
      <c r="AF87" s="1331"/>
      <c r="AG87" s="1330"/>
      <c r="AH87" s="1330"/>
      <c r="AI87" s="1331"/>
      <c r="AJ87" s="1330"/>
      <c r="AK87" s="1341"/>
      <c r="AL87" s="1329"/>
      <c r="AM87" s="1982"/>
      <c r="AN87" s="1982"/>
      <c r="AO87" s="1982"/>
      <c r="AP87" s="1982"/>
      <c r="AQ87" s="1982"/>
      <c r="AR87" s="1982"/>
      <c r="AS87" s="1982"/>
      <c r="AT87" s="1982"/>
      <c r="AU87" s="1982"/>
      <c r="AV87" s="1982"/>
      <c r="AW87" s="1982"/>
      <c r="AX87" s="1982"/>
      <c r="AY87" s="1982"/>
      <c r="AZ87" s="1982"/>
      <c r="BA87" s="1982"/>
      <c r="BB87" s="1982"/>
      <c r="BC87" s="1982"/>
      <c r="BD87" s="1982"/>
      <c r="BE87" s="1982"/>
      <c r="BF87" s="1982"/>
    </row>
    <row r="89" s="10136" customFormat="1" customHeight="1" ht="11.25">
      <c r="A89" s="1974" t="s">
        <v>1841</v>
      </c>
    </row>
    <row r="91" s="8849" customFormat="1" customHeight="1" ht="11.25">
      <c r="A91" s="1322"/>
      <c r="B91" s="1322"/>
      <c r="C91" s="1322"/>
      <c r="D91" s="1316"/>
      <c r="E91" s="1326"/>
      <c r="F91" s="1988"/>
      <c r="G91" s="1989"/>
      <c r="H91" s="1989"/>
      <c r="I91" s="1923"/>
      <c r="J91" s="1923"/>
      <c r="K91" s="1990"/>
      <c r="L91" s="1923"/>
      <c r="M91" s="1989"/>
      <c r="N91" s="2574"/>
      <c r="O91" s="2575">
        <v>1</v>
      </c>
      <c r="P91" s="2570" t="s">
        <v>54</v>
      </c>
      <c r="Q91" s="2573" t="s">
        <v>24</v>
      </c>
      <c r="R91" s="2573" t="s">
        <v>24</v>
      </c>
      <c r="S91" s="2573" t="s">
        <v>24</v>
      </c>
      <c r="T91" s="2573" t="s">
        <v>24</v>
      </c>
      <c r="U91" s="2573" t="s">
        <v>24</v>
      </c>
      <c r="V91" s="2573" t="s">
        <v>24</v>
      </c>
      <c r="W91" s="2573" t="s">
        <v>24</v>
      </c>
      <c r="X91" s="2573" t="s">
        <v>24</v>
      </c>
      <c r="Y91" s="2573"/>
      <c r="Z91" s="1332"/>
      <c r="AA91" s="1333"/>
      <c r="AB91" s="1333"/>
      <c r="AC91" s="1337"/>
      <c r="AD91" s="1337"/>
      <c r="AE91" s="1337"/>
      <c r="AF91" s="1991"/>
      <c r="AG91" s="1918"/>
      <c r="AH91" s="1918"/>
      <c r="AI91" s="1991"/>
      <c r="AJ91" s="1918"/>
      <c r="AK91" s="1918"/>
      <c r="AL91" s="1329"/>
      <c r="AM91" s="1982"/>
      <c r="AN91" s="1982"/>
      <c r="AO91" s="1982"/>
      <c r="AP91" s="1982"/>
      <c r="AQ91" s="1982"/>
      <c r="AR91" s="1982"/>
      <c r="AS91" s="1982"/>
      <c r="AT91" s="1982"/>
      <c r="AU91" s="1982"/>
      <c r="AV91" s="1982"/>
      <c r="AW91" s="1982"/>
      <c r="AX91" s="1982"/>
      <c r="AY91" s="1982"/>
      <c r="AZ91" s="1982"/>
      <c r="BA91" s="1982"/>
      <c r="BB91" s="1982"/>
      <c r="BC91" s="1982"/>
      <c r="BD91" s="1982"/>
      <c r="BE91" s="1982"/>
      <c r="BF91" s="1982"/>
    </row>
    <row s="8849" customFormat="1" customHeight="1" ht="11.25">
      <c r="A92" s="1322"/>
      <c r="B92" s="1322"/>
      <c r="C92" s="1322"/>
      <c r="D92" s="1316"/>
      <c r="E92" s="1326"/>
      <c r="F92" s="1988"/>
      <c r="G92" s="1989"/>
      <c r="H92" s="1989"/>
      <c r="I92" s="1924"/>
      <c r="J92" s="1924"/>
      <c r="K92" s="1990"/>
      <c r="L92" s="1924"/>
      <c r="M92" s="1989"/>
      <c r="N92" s="2574"/>
      <c r="O92" s="2575"/>
      <c r="P92" s="2571"/>
      <c r="Q92" s="2573"/>
      <c r="R92" s="2573"/>
      <c r="S92" s="2576"/>
      <c r="T92" s="2573"/>
      <c r="U92" s="2573"/>
      <c r="V92" s="2573"/>
      <c r="W92" s="2573"/>
      <c r="X92" s="2573"/>
      <c r="Y92" s="2573"/>
      <c r="Z92" s="1987"/>
      <c r="AA92" s="1953">
        <v>1</v>
      </c>
      <c r="AB92" s="1336"/>
      <c r="AC92" s="1325"/>
      <c r="AD92" s="1336">
        <f>AB92</f>
        <v>0</v>
      </c>
      <c r="AE92" s="878"/>
      <c r="AF92" s="1990"/>
      <c r="AG92" s="1918"/>
      <c r="AH92" s="1918"/>
      <c r="AI92" s="1990"/>
      <c r="AJ92" s="1918"/>
      <c r="AK92" s="1918"/>
      <c r="AL92" s="1329"/>
      <c r="AM92" s="1982"/>
      <c r="AN92" s="1982"/>
      <c r="AO92" s="1982"/>
      <c r="AP92" s="1982"/>
      <c r="AQ92" s="1982"/>
      <c r="AR92" s="1982"/>
      <c r="AS92" s="1982"/>
      <c r="AT92" s="1982"/>
      <c r="AU92" s="1982"/>
      <c r="AV92" s="1982"/>
      <c r="AW92" s="1982"/>
      <c r="AX92" s="1982"/>
      <c r="AY92" s="1982"/>
      <c r="AZ92" s="1982"/>
      <c r="BA92" s="1982"/>
      <c r="BB92" s="1982"/>
      <c r="BC92" s="1982"/>
      <c r="BD92" s="1982"/>
      <c r="BE92" s="1982"/>
      <c r="BF92" s="1982"/>
    </row>
    <row s="8849" customFormat="1" customHeight="1" ht="11.25">
      <c r="A93" s="1322"/>
      <c r="B93" s="1322"/>
      <c r="C93" s="1322"/>
      <c r="D93" s="1316"/>
      <c r="E93" s="1326"/>
      <c r="F93" s="1988"/>
      <c r="G93" s="1989"/>
      <c r="H93" s="1989"/>
      <c r="I93" s="1925"/>
      <c r="J93" s="1925"/>
      <c r="K93" s="1990"/>
      <c r="L93" s="1925"/>
      <c r="M93" s="1989"/>
      <c r="N93" s="2574"/>
      <c r="O93" s="2575"/>
      <c r="P93" s="2572"/>
      <c r="Q93" s="2573"/>
      <c r="R93" s="2573"/>
      <c r="S93" s="2576"/>
      <c r="T93" s="2573"/>
      <c r="U93" s="2573"/>
      <c r="V93" s="2573"/>
      <c r="W93" s="2573"/>
      <c r="X93" s="2573"/>
      <c r="Y93" s="2573"/>
      <c r="Z93" s="1332"/>
      <c r="AA93" s="1333"/>
      <c r="AB93" s="1399" t="s">
        <v>1838</v>
      </c>
      <c r="AC93" s="1337"/>
      <c r="AD93" s="1337"/>
      <c r="AE93" s="1337"/>
      <c r="AF93" s="1992"/>
      <c r="AG93" s="1918"/>
      <c r="AH93" s="1918"/>
      <c r="AI93" s="1992"/>
      <c r="AJ93" s="1918"/>
      <c r="AK93" s="1918"/>
      <c r="AL93" s="1329"/>
      <c r="AM93" s="1982"/>
      <c r="AN93" s="1982"/>
      <c r="AO93" s="1982"/>
      <c r="AP93" s="1982"/>
      <c r="AQ93" s="1982"/>
      <c r="AR93" s="1982"/>
      <c r="AS93" s="1982"/>
      <c r="AT93" s="1982"/>
      <c r="AU93" s="1982"/>
      <c r="AV93" s="1982"/>
      <c r="AW93" s="1982"/>
      <c r="AX93" s="1982"/>
      <c r="AY93" s="1982"/>
      <c r="AZ93" s="1982"/>
      <c r="BA93" s="1982"/>
      <c r="BB93" s="1982"/>
      <c r="BC93" s="1982"/>
      <c r="BD93" s="1982"/>
      <c r="BE93" s="1982"/>
      <c r="BF93" s="1982"/>
    </row>
    <row r="95" s="10136" customFormat="1" customHeight="1" ht="11.25">
      <c r="A95" s="1974" t="s">
        <v>1842</v>
      </c>
    </row>
    <row r="97" s="8849" customFormat="1" customHeight="1" ht="11.25">
      <c r="A97" s="1322"/>
      <c r="B97" s="1322"/>
      <c r="C97" s="1322"/>
      <c r="D97" s="1316"/>
      <c r="E97" s="1326"/>
      <c r="F97" s="1989"/>
      <c r="G97" s="1989"/>
      <c r="H97" s="1989"/>
      <c r="I97" s="1989"/>
      <c r="J97" s="1989"/>
      <c r="K97" s="1989"/>
      <c r="L97" s="1989"/>
      <c r="M97" s="1989"/>
      <c r="N97" s="1989"/>
      <c r="O97" s="1989"/>
      <c r="P97" s="1989"/>
      <c r="Q97" s="1989"/>
      <c r="R97" s="1989"/>
      <c r="S97" s="1989"/>
      <c r="T97" s="1989"/>
      <c r="U97" s="1989"/>
      <c r="V97" s="1989"/>
      <c r="W97" s="1989"/>
      <c r="X97" s="1989"/>
      <c r="Y97" s="1989"/>
      <c r="Z97" s="1993"/>
      <c r="AA97" s="1973">
        <v>1</v>
      </c>
      <c r="AB97" s="1336"/>
      <c r="AC97" s="1325"/>
      <c r="AD97" s="1336">
        <f>AB97</f>
        <v>0</v>
      </c>
      <c r="AE97" s="1325"/>
      <c r="AF97" s="1990"/>
      <c r="AG97" s="1918"/>
      <c r="AH97" s="1918"/>
      <c r="AI97" s="1990"/>
      <c r="AJ97" s="1918"/>
      <c r="AK97" s="1918"/>
      <c r="AL97" s="1329"/>
      <c r="AM97" s="1982"/>
      <c r="AN97" s="1982"/>
      <c r="AO97" s="1982"/>
      <c r="AP97" s="1982"/>
      <c r="AQ97" s="1982"/>
      <c r="AR97" s="1982"/>
      <c r="AS97" s="1982"/>
      <c r="AT97" s="1982"/>
      <c r="AU97" s="1982"/>
      <c r="AV97" s="1982"/>
      <c r="AW97" s="1982"/>
      <c r="AX97" s="1982"/>
      <c r="AY97" s="1982"/>
      <c r="AZ97" s="1982"/>
      <c r="BA97" s="1982"/>
      <c r="BB97" s="1982"/>
      <c r="BC97" s="1982"/>
      <c r="BD97" s="1982"/>
      <c r="BE97" s="1982"/>
      <c r="BF97" s="1982"/>
    </row>
    <row r="99" s="10136" customFormat="1" customHeight="1" ht="11.25">
      <c r="A99" s="1974" t="s">
        <v>1843</v>
      </c>
    </row>
    <row r="101" s="8849" customFormat="1" customHeight="1" ht="11.25">
      <c r="A101" s="1322"/>
      <c r="B101" s="1322"/>
      <c r="C101" s="1322"/>
      <c r="D101" s="1316"/>
      <c r="E101" s="1326"/>
      <c r="F101" s="1988"/>
      <c r="G101" s="1989"/>
      <c r="H101" s="2580" t="s">
        <v>106</v>
      </c>
      <c r="I101" s="2627"/>
      <c r="J101" s="2553"/>
      <c r="K101" s="2628"/>
      <c r="L101" s="2622" t="s">
        <v>54</v>
      </c>
      <c r="M101" s="2196"/>
      <c r="N101" s="1335"/>
      <c r="O101" s="1334" t="s">
        <v>376</v>
      </c>
      <c r="P101" s="1335"/>
      <c r="Q101" s="1335"/>
      <c r="R101" s="1335"/>
      <c r="S101" s="1335"/>
      <c r="T101" s="1335"/>
      <c r="U101" s="1335"/>
      <c r="V101" s="1335"/>
      <c r="W101" s="1335"/>
      <c r="X101" s="1335"/>
      <c r="Y101" s="1335"/>
      <c r="Z101" s="1335"/>
      <c r="AA101" s="1335"/>
      <c r="AB101" s="1335"/>
      <c r="AC101" s="1335"/>
      <c r="AD101" s="1335"/>
      <c r="AE101" s="1335"/>
      <c r="AF101" s="2626"/>
      <c r="AG101" s="2622"/>
      <c r="AH101" s="2622"/>
      <c r="AI101" s="2626"/>
      <c r="AJ101" s="2622"/>
      <c r="AK101" s="2622"/>
      <c r="AL101" s="1329"/>
      <c r="AM101" s="1982"/>
      <c r="AN101" s="1982"/>
      <c r="AO101" s="1982"/>
      <c r="AP101" s="1982"/>
      <c r="AQ101" s="1982"/>
      <c r="AR101" s="1982"/>
      <c r="AS101" s="1982"/>
      <c r="AT101" s="1982"/>
      <c r="AU101" s="1982"/>
      <c r="AV101" s="1982"/>
      <c r="AW101" s="1982"/>
      <c r="AX101" s="1982"/>
      <c r="AY101" s="1982"/>
      <c r="AZ101" s="1982"/>
      <c r="BA101" s="1982"/>
      <c r="BB101" s="1982"/>
      <c r="BC101" s="1982"/>
      <c r="BD101" s="1982"/>
      <c r="BE101" s="1982"/>
      <c r="BF101" s="1982"/>
    </row>
    <row s="8849" customFormat="1" customHeight="1" ht="11.25">
      <c r="A102" s="1322"/>
      <c r="B102" s="1322"/>
      <c r="C102" s="1322"/>
      <c r="D102" s="1316"/>
      <c r="E102" s="1326"/>
      <c r="F102" s="1988"/>
      <c r="G102" s="1989"/>
      <c r="H102" s="2580"/>
      <c r="I102" s="2627"/>
      <c r="J102" s="2553"/>
      <c r="K102" s="2628"/>
      <c r="L102" s="2622"/>
      <c r="M102" s="2196"/>
      <c r="N102" s="2629"/>
      <c r="O102" s="2575">
        <v>1</v>
      </c>
      <c r="P102" s="2570" t="s">
        <v>54</v>
      </c>
      <c r="Q102" s="2573" t="s">
        <v>24</v>
      </c>
      <c r="R102" s="2573" t="s">
        <v>24</v>
      </c>
      <c r="S102" s="2573" t="s">
        <v>24</v>
      </c>
      <c r="T102" s="2573" t="s">
        <v>24</v>
      </c>
      <c r="U102" s="2573" t="s">
        <v>24</v>
      </c>
      <c r="V102" s="2573" t="s">
        <v>24</v>
      </c>
      <c r="W102" s="2573" t="s">
        <v>24</v>
      </c>
      <c r="X102" s="2573" t="s">
        <v>24</v>
      </c>
      <c r="Y102" s="2573"/>
      <c r="Z102" s="1332"/>
      <c r="AA102" s="1333"/>
      <c r="AB102" s="1333"/>
      <c r="AC102" s="1337"/>
      <c r="AD102" s="1337"/>
      <c r="AE102" s="1338"/>
      <c r="AF102" s="2626"/>
      <c r="AG102" s="2622"/>
      <c r="AH102" s="2622"/>
      <c r="AI102" s="2626"/>
      <c r="AJ102" s="2622"/>
      <c r="AK102" s="2622"/>
      <c r="AL102" s="1329"/>
      <c r="AM102" s="1982"/>
      <c r="AN102" s="1982"/>
      <c r="AO102" s="1982"/>
      <c r="AP102" s="1982"/>
      <c r="AQ102" s="1982"/>
      <c r="AR102" s="1982"/>
      <c r="AS102" s="1982"/>
      <c r="AT102" s="1982"/>
      <c r="AU102" s="1982"/>
      <c r="AV102" s="1982"/>
      <c r="AW102" s="1982"/>
      <c r="AX102" s="1982"/>
      <c r="AY102" s="1982"/>
      <c r="AZ102" s="1982"/>
      <c r="BA102" s="1982"/>
      <c r="BB102" s="1982"/>
      <c r="BC102" s="1982"/>
      <c r="BD102" s="1982"/>
      <c r="BE102" s="1982"/>
      <c r="BF102" s="1982"/>
    </row>
    <row s="8849" customFormat="1" customHeight="1" ht="11.25">
      <c r="A103" s="1322"/>
      <c r="B103" s="1322"/>
      <c r="C103" s="1322"/>
      <c r="D103" s="1316"/>
      <c r="E103" s="1326"/>
      <c r="F103" s="1988"/>
      <c r="G103" s="1989"/>
      <c r="H103" s="2580"/>
      <c r="I103" s="2627"/>
      <c r="J103" s="2553"/>
      <c r="K103" s="2628"/>
      <c r="L103" s="2622"/>
      <c r="M103" s="2196"/>
      <c r="N103" s="2629"/>
      <c r="O103" s="2575"/>
      <c r="P103" s="2571"/>
      <c r="Q103" s="2573"/>
      <c r="R103" s="2573"/>
      <c r="S103" s="2576"/>
      <c r="T103" s="2573"/>
      <c r="U103" s="2573"/>
      <c r="V103" s="2573"/>
      <c r="W103" s="2573"/>
      <c r="X103" s="2573"/>
      <c r="Y103" s="2573"/>
      <c r="Z103" s="1987"/>
      <c r="AA103" s="1953">
        <v>1</v>
      </c>
      <c r="AB103" s="1336"/>
      <c r="AC103" s="1325"/>
      <c r="AD103" s="1336">
        <f>AB103</f>
        <v>0</v>
      </c>
      <c r="AE103" s="1325"/>
      <c r="AF103" s="2626"/>
      <c r="AG103" s="2622"/>
      <c r="AH103" s="2622"/>
      <c r="AI103" s="2626"/>
      <c r="AJ103" s="2622"/>
      <c r="AK103" s="2622"/>
      <c r="AL103" s="1329"/>
      <c r="AM103" s="1982"/>
      <c r="AN103" s="1982"/>
      <c r="AO103" s="1982"/>
      <c r="AP103" s="1982"/>
      <c r="AQ103" s="1982"/>
      <c r="AR103" s="1982"/>
      <c r="AS103" s="1982"/>
      <c r="AT103" s="1982"/>
      <c r="AU103" s="1982"/>
      <c r="AV103" s="1982"/>
      <c r="AW103" s="1982"/>
      <c r="AX103" s="1982"/>
      <c r="AY103" s="1982"/>
      <c r="AZ103" s="1982"/>
      <c r="BA103" s="1982"/>
      <c r="BB103" s="1982"/>
      <c r="BC103" s="1982"/>
      <c r="BD103" s="1982"/>
      <c r="BE103" s="1982"/>
      <c r="BF103" s="1982"/>
    </row>
    <row s="8849" customFormat="1" customHeight="1" ht="11.25">
      <c r="A104" s="1322"/>
      <c r="B104" s="1322"/>
      <c r="C104" s="1322"/>
      <c r="D104" s="1316"/>
      <c r="E104" s="1326"/>
      <c r="F104" s="1988"/>
      <c r="G104" s="1989"/>
      <c r="H104" s="2580"/>
      <c r="I104" s="2627"/>
      <c r="J104" s="2553"/>
      <c r="K104" s="2628"/>
      <c r="L104" s="2622"/>
      <c r="M104" s="2196"/>
      <c r="N104" s="2629"/>
      <c r="O104" s="2575"/>
      <c r="P104" s="2572"/>
      <c r="Q104" s="2573"/>
      <c r="R104" s="2573"/>
      <c r="S104" s="2576"/>
      <c r="T104" s="2573"/>
      <c r="U104" s="2573"/>
      <c r="V104" s="2573"/>
      <c r="W104" s="2573"/>
      <c r="X104" s="2573"/>
      <c r="Y104" s="2573"/>
      <c r="Z104" s="1332"/>
      <c r="AA104" s="1333"/>
      <c r="AB104" s="1399" t="s">
        <v>1838</v>
      </c>
      <c r="AC104" s="1337"/>
      <c r="AD104" s="1337"/>
      <c r="AE104" s="1339"/>
      <c r="AF104" s="2626"/>
      <c r="AG104" s="2622"/>
      <c r="AH104" s="2622"/>
      <c r="AI104" s="2626"/>
      <c r="AJ104" s="2622"/>
      <c r="AK104" s="2622"/>
      <c r="AL104" s="1329"/>
      <c r="AM104" s="1982"/>
      <c r="AN104" s="1982"/>
      <c r="AO104" s="1982"/>
      <c r="AP104" s="1982"/>
      <c r="AQ104" s="1982"/>
      <c r="AR104" s="1982"/>
      <c r="AS104" s="1982"/>
      <c r="AT104" s="1982"/>
      <c r="AU104" s="1982"/>
      <c r="AV104" s="1982"/>
      <c r="AW104" s="1982"/>
      <c r="AX104" s="1982"/>
      <c r="AY104" s="1982"/>
      <c r="AZ104" s="1982"/>
      <c r="BA104" s="1982"/>
      <c r="BB104" s="1982"/>
      <c r="BC104" s="1982"/>
      <c r="BD104" s="1982"/>
      <c r="BE104" s="1982"/>
      <c r="BF104" s="1982"/>
    </row>
    <row s="8849" customFormat="1" customHeight="1" ht="11.25">
      <c r="A105" s="1322"/>
      <c r="B105" s="1322"/>
      <c r="C105" s="1322"/>
      <c r="D105" s="1316"/>
      <c r="E105" s="1326"/>
      <c r="F105" s="1988"/>
      <c r="G105" s="1989"/>
      <c r="H105" s="2580"/>
      <c r="I105" s="2627"/>
      <c r="J105" s="2553"/>
      <c r="K105" s="2628"/>
      <c r="L105" s="2622"/>
      <c r="M105" s="2196"/>
      <c r="N105" s="1333"/>
      <c r="O105" s="1333"/>
      <c r="P105" s="1324" t="s">
        <v>1839</v>
      </c>
      <c r="Q105" s="1333"/>
      <c r="R105" s="1333"/>
      <c r="S105" s="1333"/>
      <c r="T105" s="1333"/>
      <c r="U105" s="1333"/>
      <c r="V105" s="1333"/>
      <c r="W105" s="1333"/>
      <c r="X105" s="1333"/>
      <c r="Y105" s="1333"/>
      <c r="Z105" s="1333"/>
      <c r="AA105" s="1333"/>
      <c r="AB105" s="1333"/>
      <c r="AC105" s="1333"/>
      <c r="AD105" s="1333"/>
      <c r="AE105" s="1340"/>
      <c r="AF105" s="2626"/>
      <c r="AG105" s="2622"/>
      <c r="AH105" s="2622"/>
      <c r="AI105" s="2626"/>
      <c r="AJ105" s="2622"/>
      <c r="AK105" s="2622"/>
      <c r="AL105" s="1329"/>
      <c r="AM105" s="1982"/>
      <c r="AN105" s="1982"/>
      <c r="AO105" s="1982"/>
      <c r="AP105" s="1982"/>
      <c r="AQ105" s="1982"/>
      <c r="AR105" s="1982"/>
      <c r="AS105" s="1982"/>
      <c r="AT105" s="1982"/>
      <c r="AU105" s="1982"/>
      <c r="AV105" s="1982"/>
      <c r="AW105" s="1982"/>
      <c r="AX105" s="1982"/>
      <c r="AY105" s="1982"/>
      <c r="AZ105" s="1982"/>
      <c r="BA105" s="1982"/>
      <c r="BB105" s="1982"/>
      <c r="BC105" s="1982"/>
      <c r="BD105" s="1982"/>
      <c r="BE105" s="1982"/>
      <c r="BF105" s="1982"/>
    </row>
    <row r="107" s="10136" customFormat="1" customHeight="1" ht="11.25">
      <c r="A107" s="1974" t="s">
        <v>1844</v>
      </c>
    </row>
    <row customHeight="1" ht="17.25"/>
    <row s="9645" customFormat="1" customHeight="1" ht="21">
      <c r="A109" s="1323"/>
      <c r="B109" s="1094"/>
      <c r="D109" s="1078"/>
      <c r="E109" s="1093" t="s">
        <v>24</v>
      </c>
      <c r="F109" s="1277">
        <f>INDEX(IP_MAIN_LIST_NAME_IP,MATCH(A109,IP_MAIN_LIST_IP_ID,0))&amp;" ("&amp;INDEX(IP_MAIN_START_DATE,MATCH(A109,IP_MAIN_LIST_IP_ID,0))&amp;"-"&amp;INDEX(IP_MAIN_END_DATE,MATCH(A109,IP_MAIN_LIST_IP_ID,0))&amp;")"</f>
      </c>
      <c r="G109" s="1361"/>
      <c r="H109" s="1362"/>
      <c r="I109" s="1362"/>
      <c r="J109" s="1362"/>
      <c r="K109" s="1362"/>
      <c r="L109" s="1362"/>
      <c r="M109" s="1362"/>
      <c r="N109" s="1362"/>
      <c r="O109" s="1361"/>
      <c r="P109" s="1361"/>
      <c r="Q109" s="1361"/>
      <c r="R109" s="1361"/>
      <c r="S109" s="1361"/>
      <c r="T109" s="1361"/>
      <c r="U109" s="1363"/>
      <c r="V109" s="1363"/>
      <c r="W109" s="1363"/>
      <c r="X109" s="1363"/>
      <c r="Y109" s="1363"/>
      <c r="Z109" s="1363"/>
      <c r="AA109" s="1363"/>
      <c r="AB109" s="1361"/>
      <c r="AC109" s="1362"/>
      <c r="AD109" s="1362"/>
      <c r="AE109" s="1362"/>
      <c r="AF109" s="1362"/>
      <c r="AG109" s="1362"/>
      <c r="AH109" s="1362"/>
      <c r="AI109" s="1362"/>
      <c r="AJ109" s="1362"/>
      <c r="AK109" s="1362"/>
      <c r="AL109" s="1362"/>
      <c r="AM109" s="1362"/>
      <c r="AN109" s="1362"/>
      <c r="AO109" s="1362"/>
      <c r="AP109" s="1362"/>
      <c r="AQ109" s="1362"/>
      <c r="AR109" s="1362"/>
      <c r="AS109" s="1362"/>
      <c r="AT109" s="1362"/>
      <c r="AU109" s="1362"/>
      <c r="AV109" s="1362"/>
      <c r="AW109" s="1362"/>
      <c r="AX109" s="1362"/>
      <c r="AY109" s="1362"/>
      <c r="AZ109" s="1362"/>
      <c r="BA109" s="1362"/>
      <c r="BB109" s="1362"/>
      <c r="BC109" s="1362"/>
      <c r="BD109" s="1362"/>
      <c r="BE109" s="1362"/>
      <c r="BF109" s="1362"/>
      <c r="BG109" s="1362"/>
      <c r="BH109" s="1362"/>
      <c r="BI109" s="1362"/>
      <c r="BJ109" s="1362"/>
      <c r="BK109" s="1362"/>
      <c r="BL109" s="1362"/>
      <c r="BM109" s="1362"/>
      <c r="BN109" s="1362"/>
      <c r="BO109" s="1362"/>
      <c r="BP109" s="1362"/>
      <c r="BQ109" s="1362"/>
      <c r="BR109" s="1362"/>
      <c r="BS109" s="1362"/>
      <c r="BT109" s="1362"/>
      <c r="BU109" s="1362"/>
      <c r="BV109" s="1362"/>
      <c r="BW109" s="1362"/>
      <c r="BX109" s="1362"/>
      <c r="BY109" s="1362"/>
      <c r="BZ109" s="1362"/>
      <c r="CA109" s="1362"/>
      <c r="CB109" s="1362"/>
      <c r="CC109" s="1362"/>
      <c r="CD109" s="1362"/>
      <c r="CE109" s="1362"/>
      <c r="CF109" s="1362"/>
      <c r="CG109" s="1362"/>
      <c r="CH109" s="1362"/>
      <c r="CI109" s="1362"/>
      <c r="CJ109" s="1362"/>
      <c r="CK109" s="1362"/>
      <c r="CL109" s="1364"/>
      <c r="CM109" s="1364"/>
      <c r="CN109" s="1364"/>
      <c r="CO109" s="1364"/>
      <c r="CP109" s="1364"/>
      <c r="CQ109" s="1364"/>
      <c r="CR109" s="1364"/>
      <c r="CS109" s="1364"/>
      <c r="CT109" s="1364"/>
      <c r="CU109" s="1364"/>
      <c r="CV109" s="1364"/>
      <c r="CW109" s="1364"/>
      <c r="CX109" s="1364"/>
      <c r="CY109" s="1364"/>
      <c r="CZ109" s="1364"/>
      <c r="DA109" s="1364"/>
      <c r="DB109" s="1364"/>
      <c r="DC109" s="1364"/>
      <c r="DD109" s="1364"/>
      <c r="DE109" s="1364"/>
      <c r="DF109" s="1364"/>
      <c r="DG109" s="1364"/>
      <c r="DH109" s="1364"/>
      <c r="DI109" s="1364"/>
      <c r="DJ109" s="1364"/>
      <c r="DK109" s="1364"/>
      <c r="DL109" s="1364"/>
      <c r="DM109" s="1364"/>
      <c r="DN109" s="1364"/>
      <c r="DO109" s="1364"/>
      <c r="DP109" s="1364"/>
      <c r="DQ109" s="1364"/>
      <c r="DR109" s="1364"/>
      <c r="DS109" s="1364"/>
      <c r="DT109" s="1364"/>
      <c r="DU109" s="1364"/>
      <c r="DV109" s="1364"/>
      <c r="DW109" s="1364"/>
      <c r="DX109" s="1364"/>
      <c r="DY109" s="1364"/>
      <c r="DZ109" s="1364"/>
      <c r="EA109" s="1364"/>
      <c r="EB109" s="1364"/>
      <c r="EC109" s="1364"/>
      <c r="ED109" s="1364"/>
      <c r="EE109" s="1364"/>
      <c r="EF109" s="1364"/>
      <c r="EG109" s="1364"/>
      <c r="EH109" s="1364"/>
      <c r="EI109" s="1364"/>
      <c r="EJ109" s="1364"/>
      <c r="EK109" s="1364"/>
      <c r="EL109" s="1364"/>
      <c r="EM109" s="1364"/>
      <c r="EN109" s="1364"/>
      <c r="EO109" s="1364"/>
      <c r="EP109" s="1364"/>
      <c r="EQ109" s="1364"/>
      <c r="ER109" s="1364"/>
      <c r="ES109" s="1364"/>
      <c r="ET109" s="1364"/>
      <c r="EU109" s="1364"/>
      <c r="EV109" s="1364"/>
      <c r="EW109" s="1364"/>
      <c r="EX109" s="1364"/>
      <c r="EY109" s="1364"/>
      <c r="EZ109" s="1364"/>
      <c r="FA109" s="1364"/>
      <c r="FB109" s="1364"/>
      <c r="FC109" s="1364"/>
      <c r="FD109" s="1364"/>
      <c r="FE109" s="1364"/>
      <c r="FF109" s="1364"/>
      <c r="FG109" s="1364"/>
      <c r="FH109" s="1364"/>
      <c r="FI109" s="1364"/>
      <c r="FJ109" s="1364"/>
      <c r="FK109" s="1364"/>
      <c r="FL109" s="1364"/>
      <c r="FM109" s="1364"/>
      <c r="FN109" s="1364"/>
      <c r="FO109" s="1364"/>
      <c r="FP109" s="1364"/>
      <c r="FQ109" s="1364"/>
      <c r="FR109" s="1364"/>
      <c r="FS109" s="1364"/>
      <c r="FT109" s="1364"/>
      <c r="FU109" s="1364"/>
      <c r="FV109" s="1365"/>
      <c r="FW109" s="1359"/>
      <c r="FX109" s="1360"/>
    </row>
    <row s="9645" customFormat="1" customHeight="1" ht="24.75">
      <c r="B110" s="1077"/>
      <c r="C110" s="1078"/>
      <c r="D110" s="1078"/>
      <c r="E110" s="1994"/>
      <c r="F110" s="1366">
        <v>1</v>
      </c>
      <c r="G110" s="1367"/>
      <c r="H110" s="1368"/>
      <c r="I110" s="2143"/>
      <c r="J110" s="1369"/>
      <c r="K110" s="1369"/>
      <c r="L110" s="1369"/>
      <c r="M110" s="1369"/>
      <c r="N110" s="1369"/>
      <c r="O110" s="1370"/>
      <c r="P110" s="1370"/>
      <c r="Q110" s="1370"/>
      <c r="R110" s="1370"/>
      <c r="S110" s="1370"/>
      <c r="T110" s="1370"/>
      <c r="U110" s="1370"/>
      <c r="V110" s="1370"/>
      <c r="W110" s="1370"/>
      <c r="X110" s="1370"/>
      <c r="Y110" s="1370"/>
      <c r="Z110" s="1370"/>
      <c r="AA110" s="1370"/>
      <c r="AB110" s="1370"/>
      <c r="AC110" s="1369"/>
      <c r="AD110" s="1369"/>
      <c r="AE110" s="1369"/>
      <c r="AF110" s="1369"/>
      <c r="AG110" s="1369"/>
      <c r="AH110" s="1369"/>
      <c r="AI110" s="1369"/>
      <c r="AJ110" s="1369"/>
      <c r="AK110" s="1369"/>
      <c r="AL110" s="1369"/>
      <c r="AM110" s="1369"/>
      <c r="AN110" s="1369"/>
      <c r="AO110" s="1369"/>
      <c r="AP110" s="1369"/>
      <c r="AQ110" s="1369"/>
      <c r="AR110" s="1369"/>
      <c r="AS110" s="1369"/>
      <c r="AT110" s="1369"/>
      <c r="AU110" s="1369"/>
      <c r="AV110" s="1369"/>
      <c r="AW110" s="1369"/>
      <c r="AX110" s="1369"/>
      <c r="AY110" s="1369"/>
      <c r="AZ110" s="1369"/>
      <c r="BA110" s="1369"/>
      <c r="BB110" s="1369"/>
      <c r="BC110" s="1369"/>
      <c r="BD110" s="1369"/>
      <c r="BE110" s="1369"/>
      <c r="BF110" s="1369"/>
      <c r="BG110" s="1369"/>
      <c r="BH110" s="1369"/>
      <c r="BI110" s="1369"/>
      <c r="BJ110" s="1369"/>
      <c r="BK110" s="1369"/>
      <c r="BL110" s="1369"/>
      <c r="BM110" s="1369"/>
      <c r="BN110" s="1369"/>
      <c r="BO110" s="1369"/>
      <c r="BP110" s="1369"/>
      <c r="BQ110" s="1369"/>
      <c r="BR110" s="1369"/>
      <c r="BS110" s="1369"/>
      <c r="BT110" s="1370"/>
      <c r="BU110" s="1370"/>
      <c r="BV110" s="1370"/>
      <c r="BW110" s="1370"/>
      <c r="BX110" s="1370"/>
      <c r="BY110" s="1370"/>
      <c r="BZ110" s="1370"/>
      <c r="CA110" s="1370"/>
      <c r="CB110" s="1370"/>
      <c r="CC110" s="1370"/>
      <c r="CD110" s="1370"/>
      <c r="CE110" s="1370"/>
      <c r="CF110" s="1370"/>
      <c r="CG110" s="1370"/>
      <c r="CH110" s="1370"/>
      <c r="CI110" s="1370"/>
      <c r="CJ110" s="1370"/>
      <c r="CK110" s="1370"/>
      <c r="CL110" s="1369"/>
      <c r="CM110" s="1369"/>
      <c r="CN110" s="1369"/>
      <c r="CO110" s="1369"/>
      <c r="CP110" s="1369"/>
      <c r="CQ110" s="1369"/>
      <c r="CR110" s="1369"/>
      <c r="CS110" s="1369"/>
      <c r="CT110" s="1369"/>
      <c r="CU110" s="1369"/>
      <c r="CV110" s="1369"/>
      <c r="CW110" s="1369"/>
      <c r="CX110" s="1369"/>
      <c r="CY110" s="1370"/>
      <c r="CZ110" s="1370"/>
      <c r="DA110" s="1370"/>
      <c r="DB110" s="1370"/>
      <c r="DC110" s="1370"/>
      <c r="DD110" s="1370"/>
      <c r="DE110" s="1370"/>
      <c r="DF110" s="1370"/>
      <c r="DG110" s="1370"/>
      <c r="DH110" s="1370"/>
      <c r="DI110" s="1370"/>
      <c r="DJ110" s="1370"/>
      <c r="DK110" s="1369"/>
      <c r="DL110" s="1369"/>
      <c r="DM110" s="1369"/>
      <c r="DN110" s="1369"/>
      <c r="DO110" s="1369"/>
      <c r="DP110" s="1369"/>
      <c r="DQ110" s="1369"/>
      <c r="DR110" s="1369"/>
      <c r="DS110" s="1369"/>
      <c r="DT110" s="1369"/>
      <c r="DU110" s="1369"/>
      <c r="DV110" s="1369"/>
      <c r="DW110" s="1369"/>
      <c r="DX110" s="1369"/>
      <c r="DY110" s="1369"/>
      <c r="DZ110" s="1369"/>
      <c r="EA110" s="1369"/>
      <c r="EB110" s="1369"/>
      <c r="EC110" s="1369"/>
      <c r="ED110" s="1369"/>
      <c r="EE110" s="1369"/>
      <c r="EF110" s="1369"/>
      <c r="EG110" s="1369"/>
      <c r="EH110" s="1369"/>
      <c r="EI110" s="1369"/>
      <c r="EJ110" s="1369"/>
      <c r="EK110" s="1369"/>
      <c r="EL110" s="1369"/>
      <c r="EM110" s="1369"/>
      <c r="EN110" s="1369"/>
      <c r="EO110" s="1369"/>
      <c r="EP110" s="1369"/>
      <c r="EQ110" s="1369"/>
      <c r="ER110" s="1369"/>
      <c r="ES110" s="1369"/>
      <c r="ET110" s="1369"/>
      <c r="EU110" s="1369"/>
      <c r="EV110" s="1369"/>
      <c r="EW110" s="1369"/>
      <c r="EX110" s="1369"/>
      <c r="EY110" s="1369"/>
      <c r="EZ110" s="1369"/>
      <c r="FA110" s="1369"/>
      <c r="FB110" s="1369"/>
      <c r="FC110" s="1369"/>
      <c r="FD110" s="1369"/>
      <c r="FE110" s="1369"/>
      <c r="FF110" s="1369"/>
      <c r="FG110" s="1369"/>
      <c r="FH110" s="1369"/>
      <c r="FI110" s="1369"/>
      <c r="FJ110" s="1369"/>
      <c r="FK110" s="1369"/>
      <c r="FL110" s="1369"/>
      <c r="FM110" s="1369"/>
      <c r="FN110" s="1369"/>
      <c r="FO110" s="1369"/>
      <c r="FP110" s="1369"/>
      <c r="FQ110" s="1369"/>
      <c r="FR110" s="1369"/>
      <c r="FS110" s="1369"/>
      <c r="FT110" s="1369"/>
      <c r="FU110" s="1369"/>
      <c r="FV110" s="1369"/>
      <c r="FW110" s="1369"/>
      <c r="FX110" s="1360"/>
    </row>
    <row s="9645" customFormat="1" customHeight="1" ht="12">
      <c r="A111" s="1078"/>
      <c r="B111" s="1077"/>
      <c r="C111" s="1078"/>
      <c r="D111" s="1078"/>
      <c r="E111" s="1078"/>
      <c r="F111" s="1371"/>
      <c r="G111" s="1959" t="s">
        <v>1845</v>
      </c>
      <c r="H111" s="1372"/>
      <c r="I111" s="1372"/>
      <c r="J111" s="1372"/>
      <c r="K111" s="1372"/>
      <c r="L111" s="1372"/>
      <c r="M111" s="1372"/>
      <c r="N111" s="1372"/>
      <c r="O111" s="1372"/>
      <c r="P111" s="1372"/>
      <c r="Q111" s="1372"/>
      <c r="R111" s="1372"/>
      <c r="S111" s="1372"/>
      <c r="T111" s="1372"/>
      <c r="U111" s="1372"/>
      <c r="V111" s="1372"/>
      <c r="W111" s="1372"/>
      <c r="X111" s="1372"/>
      <c r="Y111" s="1372"/>
      <c r="Z111" s="1372"/>
      <c r="AA111" s="1372"/>
      <c r="AB111" s="1372"/>
      <c r="AC111" s="1372"/>
      <c r="AD111" s="1372"/>
      <c r="AE111" s="1372"/>
      <c r="AF111" s="1372"/>
      <c r="AG111" s="1372"/>
      <c r="AH111" s="1372"/>
      <c r="AI111" s="1372"/>
      <c r="AJ111" s="1372"/>
      <c r="AK111" s="1372"/>
      <c r="AL111" s="1372"/>
      <c r="AM111" s="1372"/>
      <c r="AN111" s="1372"/>
      <c r="AO111" s="1372"/>
      <c r="AP111" s="1372"/>
      <c r="AQ111" s="1372"/>
      <c r="AR111" s="1372"/>
      <c r="AS111" s="1372"/>
      <c r="AT111" s="1372"/>
      <c r="AU111" s="1372"/>
      <c r="AV111" s="1372"/>
      <c r="AW111" s="1372"/>
      <c r="AX111" s="1372"/>
      <c r="AY111" s="1372"/>
      <c r="AZ111" s="1372"/>
      <c r="BA111" s="1372"/>
      <c r="BB111" s="1372"/>
      <c r="BC111" s="1372"/>
      <c r="BD111" s="1372"/>
      <c r="BE111" s="1372"/>
      <c r="BF111" s="1372"/>
      <c r="BG111" s="1372"/>
      <c r="BH111" s="1372"/>
      <c r="BI111" s="1372"/>
      <c r="BJ111" s="1372"/>
      <c r="BK111" s="1372"/>
      <c r="BL111" s="1372"/>
      <c r="BM111" s="1372"/>
      <c r="BN111" s="1372"/>
      <c r="BO111" s="1372"/>
      <c r="BP111" s="1372"/>
      <c r="BQ111" s="1372"/>
      <c r="BR111" s="1372"/>
      <c r="BS111" s="1372"/>
      <c r="BT111" s="1372"/>
      <c r="BU111" s="1372"/>
      <c r="BV111" s="1372"/>
      <c r="BW111" s="1372"/>
      <c r="BX111" s="1372"/>
      <c r="BY111" s="1372"/>
      <c r="BZ111" s="1372"/>
      <c r="CA111" s="1372"/>
      <c r="CB111" s="1372"/>
      <c r="CC111" s="1372"/>
      <c r="CD111" s="1372"/>
      <c r="CE111" s="1372"/>
      <c r="CF111" s="1372"/>
      <c r="CG111" s="1372"/>
      <c r="CH111" s="1372"/>
      <c r="CI111" s="1372"/>
      <c r="CJ111" s="1372"/>
      <c r="CK111" s="1372"/>
      <c r="CL111" s="1372"/>
      <c r="CM111" s="1372"/>
      <c r="CN111" s="1372"/>
      <c r="CO111" s="1372"/>
      <c r="CP111" s="1372"/>
      <c r="CQ111" s="1372"/>
      <c r="CR111" s="1372"/>
      <c r="CS111" s="1372"/>
      <c r="CT111" s="1372"/>
      <c r="CU111" s="1372"/>
      <c r="CV111" s="1372"/>
      <c r="CW111" s="1372"/>
      <c r="CX111" s="1372"/>
      <c r="CY111" s="1372"/>
      <c r="CZ111" s="1372"/>
      <c r="DA111" s="1372"/>
      <c r="DB111" s="1372"/>
      <c r="DC111" s="1372"/>
      <c r="DD111" s="1372"/>
      <c r="DE111" s="1372"/>
      <c r="DF111" s="1372"/>
      <c r="DG111" s="1372"/>
      <c r="DH111" s="1372"/>
      <c r="DI111" s="1372"/>
      <c r="DJ111" s="1372"/>
      <c r="DK111" s="1372"/>
      <c r="DL111" s="1372"/>
      <c r="DM111" s="1372"/>
      <c r="DN111" s="1372"/>
      <c r="DO111" s="1372"/>
      <c r="DP111" s="1372"/>
      <c r="DQ111" s="1372"/>
      <c r="DR111" s="1372"/>
      <c r="DS111" s="1372"/>
      <c r="DT111" s="1372"/>
      <c r="DU111" s="1372"/>
      <c r="DV111" s="1372"/>
      <c r="DW111" s="1372"/>
      <c r="DX111" s="1372"/>
      <c r="DY111" s="1372"/>
      <c r="DZ111" s="1372"/>
      <c r="EA111" s="1372"/>
      <c r="EB111" s="1372"/>
      <c r="EC111" s="1372"/>
      <c r="ED111" s="1372"/>
      <c r="EE111" s="1372"/>
      <c r="EF111" s="1372"/>
      <c r="EG111" s="1372"/>
      <c r="EH111" s="1372"/>
      <c r="EI111" s="1372"/>
      <c r="EJ111" s="1372"/>
      <c r="EK111" s="1372"/>
      <c r="EL111" s="1372"/>
      <c r="EM111" s="1372"/>
      <c r="EN111" s="1372"/>
      <c r="EO111" s="1372"/>
      <c r="EP111" s="1372"/>
      <c r="EQ111" s="1372"/>
      <c r="ER111" s="1372"/>
      <c r="ES111" s="1372"/>
      <c r="ET111" s="1372"/>
      <c r="EU111" s="1372"/>
      <c r="EV111" s="1372"/>
      <c r="EW111" s="1372"/>
      <c r="EX111" s="1372"/>
      <c r="EY111" s="1372"/>
      <c r="EZ111" s="1372"/>
      <c r="FA111" s="1372"/>
      <c r="FB111" s="1372"/>
      <c r="FC111" s="1372"/>
      <c r="FD111" s="1372"/>
      <c r="FE111" s="1372"/>
      <c r="FF111" s="1372"/>
      <c r="FG111" s="1372"/>
      <c r="FH111" s="1372"/>
      <c r="FI111" s="1372"/>
      <c r="FJ111" s="1372"/>
      <c r="FK111" s="1372"/>
      <c r="FL111" s="1372"/>
      <c r="FM111" s="1372"/>
      <c r="FN111" s="1372"/>
      <c r="FO111" s="1372"/>
      <c r="FP111" s="1372"/>
      <c r="FQ111" s="1372"/>
      <c r="FR111" s="1372"/>
      <c r="FS111" s="1372"/>
      <c r="FT111" s="1372"/>
      <c r="FU111" s="1372"/>
      <c r="FV111" s="1372"/>
      <c r="FW111" s="1373"/>
      <c r="FX111" s="1374"/>
      <c r="FY111" s="1095"/>
      <c r="FZ111" s="1095"/>
      <c r="GA111" s="1095"/>
      <c r="GB111" s="1095"/>
    </row>
    <row r="113" s="10136" customFormat="1" customHeight="1" ht="11.25">
      <c r="A113" s="1974" t="s">
        <v>1846</v>
      </c>
    </row>
    <row r="115" s="8053" customFormat="1" customHeight="1" ht="15">
      <c r="A115" s="777"/>
      <c r="B115" s="778"/>
      <c r="C115" s="778"/>
      <c r="D115" s="2585" t="s">
        <v>106</v>
      </c>
      <c r="E115" s="2441" t="s">
        <v>102</v>
      </c>
      <c r="F115" s="2442"/>
      <c r="G115" s="2443"/>
      <c r="H115" s="2436" t="str">
        <f>IF(A115="","",INDEX(DIFFERENTIATION_UNMERGE_VD,MATCH(A115,DIFFERENTIATION_ID_DIFF,0)))</f>
        <v/>
      </c>
      <c r="I115" s="2436"/>
      <c r="J115" s="2436"/>
      <c r="K115" s="2436"/>
      <c r="L115" s="2436"/>
      <c r="M115" s="2436"/>
      <c r="N115" s="2436"/>
      <c r="O115" s="2436"/>
      <c r="P115" s="2436"/>
      <c r="Q115" s="2436"/>
      <c r="R115" s="2436"/>
      <c r="S115" s="873"/>
      <c r="T115" s="870"/>
      <c r="U115" s="779"/>
      <c r="V115" s="779"/>
      <c r="W115" s="780"/>
      <c r="X115" s="780"/>
      <c r="Y115" s="780"/>
      <c r="Z115" s="780"/>
      <c r="AA115" s="781"/>
      <c r="AB115" s="782"/>
      <c r="AC115" s="2440"/>
      <c r="AD115" s="783"/>
      <c r="AE115" s="784" t="s">
        <v>24</v>
      </c>
      <c r="AF115" s="784"/>
      <c r="AG115" s="785" t="s">
        <v>610</v>
      </c>
      <c r="AH115" s="786">
        <v>3</v>
      </c>
      <c r="AI115" s="779"/>
      <c r="AJ115" s="779"/>
      <c r="AK115" s="779"/>
      <c r="AL115" s="779"/>
      <c r="AM115" s="779"/>
      <c r="AN115" s="779"/>
      <c r="AO115" s="779"/>
      <c r="AP115" s="779"/>
      <c r="AQ115" s="779"/>
      <c r="AR115" s="779"/>
      <c r="AS115" s="779"/>
      <c r="AT115" s="779"/>
      <c r="AU115" s="779"/>
      <c r="AV115" s="779"/>
      <c r="AW115" s="779"/>
      <c r="AX115" s="779"/>
      <c r="AY115" s="779"/>
      <c r="AZ115" s="779"/>
      <c r="BA115" s="779"/>
      <c r="BB115" s="779"/>
      <c r="BC115" s="779"/>
      <c r="BD115" s="779"/>
      <c r="BE115" s="779"/>
      <c r="BF115" s="779"/>
      <c r="BG115" s="779"/>
      <c r="BH115" s="779"/>
      <c r="BI115" s="779"/>
      <c r="BJ115" s="779"/>
      <c r="BK115" s="779"/>
      <c r="BL115" s="779"/>
      <c r="BM115" s="779"/>
      <c r="BN115" s="779"/>
      <c r="BO115" s="779"/>
      <c r="BP115" s="779"/>
      <c r="BQ115" s="779"/>
      <c r="BR115" s="779"/>
      <c r="BS115" s="779"/>
      <c r="BT115" s="779"/>
      <c r="BU115" s="779"/>
      <c r="BV115" s="780"/>
      <c r="BW115" s="780"/>
      <c r="BX115" s="780"/>
      <c r="BY115" s="780"/>
      <c r="BZ115" s="780"/>
      <c r="CA115" s="780"/>
      <c r="CB115" s="780"/>
      <c r="CC115" s="780"/>
      <c r="CD115" s="780"/>
      <c r="CE115" s="780"/>
    </row>
    <row s="8053" customFormat="1" customHeight="1" ht="15">
      <c r="A116" s="777"/>
      <c r="B116" s="778"/>
      <c r="C116" s="778"/>
      <c r="D116" s="2586"/>
      <c r="E116" s="2441" t="s">
        <v>565</v>
      </c>
      <c r="F116" s="2442"/>
      <c r="G116" s="2443"/>
      <c r="H116" s="2436" t="str">
        <f>IF(A115="","",INDEX(DIFFERENTIATION_UNMERGE_AREA,MATCH(A115,DIFFERENTIATION_ID_DIFF,0)))</f>
        <v/>
      </c>
      <c r="I116" s="2436"/>
      <c r="J116" s="2436"/>
      <c r="K116" s="2436"/>
      <c r="L116" s="2436"/>
      <c r="M116" s="2436"/>
      <c r="N116" s="2436"/>
      <c r="O116" s="2436"/>
      <c r="P116" s="2436"/>
      <c r="Q116" s="2436"/>
      <c r="R116" s="2436"/>
      <c r="S116" s="873"/>
      <c r="T116" s="870"/>
      <c r="U116" s="779"/>
      <c r="V116" s="779"/>
      <c r="W116" s="780"/>
      <c r="X116" s="780"/>
      <c r="Y116" s="780"/>
      <c r="Z116" s="780"/>
      <c r="AA116" s="781"/>
      <c r="AB116" s="782"/>
      <c r="AC116" s="2440"/>
      <c r="AD116" s="783"/>
      <c r="AE116" s="784"/>
      <c r="AF116" s="784"/>
      <c r="AG116" s="785"/>
      <c r="AH116" s="786"/>
      <c r="AI116" s="779"/>
      <c r="AJ116" s="779"/>
      <c r="AK116" s="779"/>
      <c r="AL116" s="779"/>
      <c r="AM116" s="779"/>
      <c r="AN116" s="779"/>
      <c r="AO116" s="779"/>
      <c r="AP116" s="779"/>
      <c r="AQ116" s="779"/>
      <c r="AR116" s="779"/>
      <c r="AS116" s="779"/>
      <c r="AT116" s="779"/>
      <c r="AU116" s="779"/>
      <c r="AV116" s="779"/>
      <c r="AW116" s="779"/>
      <c r="AX116" s="779"/>
      <c r="AY116" s="779"/>
      <c r="AZ116" s="779"/>
      <c r="BA116" s="779"/>
      <c r="BB116" s="779"/>
      <c r="BC116" s="779"/>
      <c r="BD116" s="779"/>
      <c r="BE116" s="779"/>
      <c r="BF116" s="779"/>
      <c r="BG116" s="779"/>
      <c r="BH116" s="779"/>
      <c r="BI116" s="779"/>
      <c r="BJ116" s="779"/>
      <c r="BK116" s="779"/>
      <c r="BL116" s="779"/>
      <c r="BM116" s="779"/>
      <c r="BN116" s="779"/>
      <c r="BO116" s="779"/>
      <c r="BP116" s="779"/>
      <c r="BQ116" s="779"/>
      <c r="BR116" s="779"/>
      <c r="BS116" s="779"/>
      <c r="BT116" s="779"/>
      <c r="BU116" s="779"/>
      <c r="BV116" s="780"/>
      <c r="BW116" s="780"/>
      <c r="BX116" s="780"/>
      <c r="BY116" s="780"/>
      <c r="BZ116" s="780"/>
      <c r="CA116" s="780"/>
      <c r="CB116" s="780"/>
      <c r="CC116" s="780"/>
      <c r="CD116" s="780"/>
      <c r="CE116" s="780"/>
    </row>
    <row s="8053" customFormat="1" customHeight="1" ht="15">
      <c r="A117" s="777"/>
      <c r="B117" s="778"/>
      <c r="C117" s="778"/>
      <c r="D117" s="2586"/>
      <c r="E117" s="2441" t="s">
        <v>566</v>
      </c>
      <c r="F117" s="2442"/>
      <c r="G117" s="2443"/>
      <c r="H117" s="2436" t="str">
        <f>IF(A115="","",INDEX(DIFFERENTIATION_UNMERGE_SYSTEM,MATCH(A115,DIFFERENTIATION_ID_DIFF,0)))</f>
        <v/>
      </c>
      <c r="I117" s="2436"/>
      <c r="J117" s="2436"/>
      <c r="K117" s="2436"/>
      <c r="L117" s="2436"/>
      <c r="M117" s="2436"/>
      <c r="N117" s="2436"/>
      <c r="O117" s="2436"/>
      <c r="P117" s="2436"/>
      <c r="Q117" s="2436"/>
      <c r="R117" s="2436"/>
      <c r="S117" s="873"/>
      <c r="T117" s="870"/>
      <c r="U117" s="779"/>
      <c r="V117" s="779"/>
      <c r="W117" s="780"/>
      <c r="X117" s="780"/>
      <c r="Y117" s="780"/>
      <c r="Z117" s="780"/>
      <c r="AA117" s="781"/>
      <c r="AB117" s="782"/>
      <c r="AC117" s="2440"/>
      <c r="AD117" s="783"/>
      <c r="AE117" s="784"/>
      <c r="AF117" s="784"/>
      <c r="AG117" s="785"/>
      <c r="AH117" s="786"/>
      <c r="AI117" s="779"/>
      <c r="AJ117" s="779"/>
      <c r="AK117" s="779"/>
      <c r="AL117" s="779"/>
      <c r="AM117" s="779"/>
      <c r="AN117" s="779"/>
      <c r="AO117" s="779"/>
      <c r="AP117" s="779"/>
      <c r="AQ117" s="779"/>
      <c r="AR117" s="779"/>
      <c r="AS117" s="779"/>
      <c r="AT117" s="779"/>
      <c r="AU117" s="779"/>
      <c r="AV117" s="779"/>
      <c r="AW117" s="779"/>
      <c r="AX117" s="779"/>
      <c r="AY117" s="779"/>
      <c r="AZ117" s="779"/>
      <c r="BA117" s="779"/>
      <c r="BB117" s="779"/>
      <c r="BC117" s="779"/>
      <c r="BD117" s="779"/>
      <c r="BE117" s="779"/>
      <c r="BF117" s="779"/>
      <c r="BG117" s="779"/>
      <c r="BH117" s="779"/>
      <c r="BI117" s="779"/>
      <c r="BJ117" s="779"/>
      <c r="BK117" s="779"/>
      <c r="BL117" s="779"/>
      <c r="BM117" s="779"/>
      <c r="BN117" s="779"/>
      <c r="BO117" s="779"/>
      <c r="BP117" s="779"/>
      <c r="BQ117" s="779"/>
      <c r="BR117" s="779"/>
      <c r="BS117" s="779"/>
      <c r="BT117" s="779"/>
      <c r="BU117" s="779"/>
      <c r="BV117" s="780"/>
      <c r="BW117" s="780"/>
      <c r="BX117" s="780"/>
      <c r="BY117" s="780"/>
      <c r="BZ117" s="780"/>
      <c r="CA117" s="780"/>
      <c r="CB117" s="780"/>
      <c r="CC117" s="780"/>
      <c r="CD117" s="780"/>
      <c r="CE117" s="780"/>
    </row>
    <row s="8053" customFormat="1" customHeight="1" ht="24.75">
      <c r="A118" s="1965"/>
      <c r="B118" s="1316"/>
      <c r="C118" s="566"/>
      <c r="D118" s="2586"/>
      <c r="E118" s="2438" t="s">
        <v>611</v>
      </c>
      <c r="F118" s="2438"/>
      <c r="G118" s="2438"/>
      <c r="H118" s="2438"/>
      <c r="I118" s="2438"/>
      <c r="J118" s="2438"/>
      <c r="K118" s="2438"/>
      <c r="L118" s="2438"/>
      <c r="M118" s="2438"/>
      <c r="N118" s="2438"/>
      <c r="O118" s="2438"/>
      <c r="P118" s="2438"/>
      <c r="Q118" s="712">
        <f>SUMIF(T119:T120,"i",Q119:Q120)</f>
        <v>0</v>
      </c>
      <c r="R118" s="1172"/>
      <c r="S118" s="1957" t="s">
        <v>612</v>
      </c>
      <c r="T118" s="871" t="s">
        <v>613</v>
      </c>
      <c r="U118" s="2439">
        <v>1</v>
      </c>
      <c r="V118" s="2439" t="s">
        <v>576</v>
      </c>
      <c r="W118" s="1316"/>
      <c r="X118" s="1316"/>
      <c r="Y118" s="1316"/>
      <c r="Z118" s="1316"/>
      <c r="AA118" s="1795"/>
      <c r="AB118" s="1316"/>
      <c r="AC118" s="2440"/>
      <c r="AD118" s="783"/>
      <c r="AE118" s="1316"/>
      <c r="AF118" s="1316"/>
      <c r="AG118" s="1795"/>
      <c r="AH118" s="1795"/>
      <c r="AI118" s="1795"/>
      <c r="AJ118" s="1795"/>
      <c r="AK118" s="1795"/>
      <c r="AL118" s="1795"/>
      <c r="AM118" s="1795"/>
      <c r="AN118" s="1795"/>
      <c r="AO118" s="1795"/>
      <c r="AP118" s="1795"/>
      <c r="AQ118" s="1795"/>
      <c r="AR118" s="1795"/>
      <c r="AS118" s="1795"/>
      <c r="AT118" s="1795"/>
      <c r="AU118" s="1795"/>
      <c r="AV118" s="1795"/>
      <c r="AW118" s="1795"/>
      <c r="AX118" s="1795"/>
      <c r="AY118" s="1795"/>
      <c r="AZ118" s="1795"/>
      <c r="BA118" s="1795"/>
      <c r="BB118" s="1795"/>
      <c r="BC118" s="1795"/>
      <c r="BD118" s="1795"/>
      <c r="BE118" s="1795"/>
      <c r="BF118" s="1795"/>
      <c r="BG118" s="1795"/>
      <c r="BH118" s="1795"/>
      <c r="BI118" s="1795"/>
      <c r="BJ118" s="1795"/>
      <c r="BK118" s="1795"/>
      <c r="BL118" s="1795"/>
      <c r="BM118" s="1795"/>
      <c r="BN118" s="1795"/>
      <c r="BO118" s="1795"/>
      <c r="BP118" s="1795"/>
      <c r="BQ118" s="1795"/>
      <c r="BR118" s="1795"/>
      <c r="BS118" s="1795"/>
      <c r="BT118" s="1795"/>
      <c r="BU118" s="1795"/>
      <c r="BV118" s="1316"/>
      <c r="BW118" s="1316"/>
      <c r="BX118" s="1316"/>
      <c r="BY118" s="1316"/>
      <c r="BZ118" s="1316"/>
      <c r="CA118" s="1316"/>
      <c r="CB118" s="1316"/>
      <c r="CC118" s="1316"/>
      <c r="CD118" s="1316"/>
      <c r="CE118" s="1316"/>
    </row>
    <row s="8053" customFormat="1" customHeight="1" ht="11.25" hidden="1">
      <c r="A119" s="1952"/>
      <c r="B119" s="1795"/>
      <c r="C119" s="1795"/>
      <c r="D119" s="2586"/>
      <c r="E119" s="789"/>
      <c r="F119" s="789">
        <v>0</v>
      </c>
      <c r="G119" s="789"/>
      <c r="H119" s="789"/>
      <c r="I119" s="789"/>
      <c r="J119" s="789"/>
      <c r="K119" s="789"/>
      <c r="L119" s="789"/>
      <c r="M119" s="789"/>
      <c r="N119" s="789"/>
      <c r="O119" s="789"/>
      <c r="P119" s="789"/>
      <c r="Q119" s="789"/>
      <c r="R119" s="789"/>
      <c r="S119" s="790"/>
      <c r="T119" s="872"/>
      <c r="U119" s="2439"/>
      <c r="V119" s="2439"/>
      <c r="W119" s="1795"/>
      <c r="X119" s="1795"/>
      <c r="Y119" s="1795"/>
      <c r="Z119" s="1795"/>
      <c r="AA119" s="1795"/>
      <c r="AB119" s="1316"/>
      <c r="AC119" s="2440"/>
      <c r="AD119" s="783"/>
      <c r="AE119" s="1316"/>
      <c r="AF119" s="1316"/>
      <c r="AG119" s="1795"/>
      <c r="AH119" s="1795"/>
      <c r="AI119" s="1795"/>
      <c r="AJ119" s="1795"/>
      <c r="AK119" s="1795"/>
      <c r="AL119" s="1795"/>
      <c r="AM119" s="1795"/>
      <c r="AN119" s="1795"/>
      <c r="AO119" s="1795"/>
      <c r="AP119" s="1795"/>
      <c r="AQ119" s="1795"/>
      <c r="AR119" s="1795"/>
      <c r="AS119" s="1795"/>
      <c r="AT119" s="1795"/>
      <c r="AU119" s="1795"/>
      <c r="AV119" s="1795"/>
      <c r="AW119" s="1795"/>
      <c r="AX119" s="1795"/>
      <c r="AY119" s="1795"/>
      <c r="AZ119" s="1795"/>
      <c r="BA119" s="1795"/>
      <c r="BB119" s="1795"/>
      <c r="BC119" s="1795"/>
      <c r="BD119" s="1795"/>
      <c r="BE119" s="1795"/>
      <c r="BF119" s="1795"/>
      <c r="BG119" s="1795"/>
      <c r="BH119" s="1795"/>
      <c r="BI119" s="1795"/>
      <c r="BJ119" s="1795"/>
      <c r="BK119" s="1795"/>
      <c r="BL119" s="1795"/>
      <c r="BM119" s="1795"/>
      <c r="BN119" s="1795"/>
      <c r="BO119" s="1795"/>
      <c r="BP119" s="1795"/>
      <c r="BQ119" s="1795"/>
      <c r="BR119" s="1795"/>
      <c r="BS119" s="1795"/>
      <c r="BT119" s="1795"/>
      <c r="BU119" s="1795"/>
      <c r="BV119" s="1795"/>
      <c r="BW119" s="1795"/>
      <c r="BX119" s="1795"/>
      <c r="BY119" s="1795"/>
      <c r="BZ119" s="1795"/>
      <c r="CA119" s="1795"/>
      <c r="CB119" s="1795"/>
      <c r="CC119" s="1795"/>
      <c r="CD119" s="1795"/>
      <c r="CE119" s="1795"/>
    </row>
    <row s="8053" customFormat="1" customHeight="1" ht="11.25">
      <c r="A120" s="1965"/>
      <c r="B120" s="1316"/>
      <c r="C120" s="566"/>
      <c r="D120" s="2586"/>
      <c r="E120" s="803" t="s">
        <v>24</v>
      </c>
      <c r="F120" s="1324" t="s">
        <v>24</v>
      </c>
      <c r="G120" s="1324" t="s">
        <v>1847</v>
      </c>
      <c r="H120" s="805" t="s">
        <v>24</v>
      </c>
      <c r="I120" s="805"/>
      <c r="J120" s="805"/>
      <c r="K120" s="805"/>
      <c r="L120" s="805"/>
      <c r="M120" s="805"/>
      <c r="N120" s="805"/>
      <c r="O120" s="805"/>
      <c r="P120" s="805"/>
      <c r="Q120" s="805"/>
      <c r="R120" s="806"/>
      <c r="S120" s="807"/>
      <c r="T120" s="872"/>
      <c r="U120" s="2439"/>
      <c r="V120" s="2439"/>
      <c r="W120" s="1316"/>
      <c r="X120" s="1316"/>
      <c r="Y120" s="1316"/>
      <c r="Z120" s="1316"/>
      <c r="AA120" s="1795"/>
      <c r="AB120" s="1316"/>
      <c r="AC120" s="2440"/>
      <c r="AD120" s="783"/>
      <c r="AE120" s="1316"/>
      <c r="AF120" s="1316"/>
      <c r="AG120" s="1795"/>
      <c r="AH120" s="1795"/>
      <c r="AI120" s="1795"/>
      <c r="AJ120" s="1795"/>
      <c r="AK120" s="1795"/>
      <c r="AL120" s="1795"/>
      <c r="AM120" s="1795"/>
      <c r="AN120" s="1795"/>
      <c r="AO120" s="1795"/>
      <c r="AP120" s="1795"/>
      <c r="AQ120" s="1795"/>
      <c r="AR120" s="1795"/>
      <c r="AS120" s="1795"/>
      <c r="AT120" s="1795"/>
      <c r="AU120" s="1795"/>
      <c r="AV120" s="1795"/>
      <c r="AW120" s="1795"/>
      <c r="AX120" s="1795"/>
      <c r="AY120" s="1795"/>
      <c r="AZ120" s="1795"/>
      <c r="BA120" s="1795"/>
      <c r="BB120" s="1795"/>
      <c r="BC120" s="1795"/>
      <c r="BD120" s="1795"/>
      <c r="BE120" s="1795"/>
      <c r="BF120" s="1795"/>
      <c r="BG120" s="1795"/>
      <c r="BH120" s="1795"/>
      <c r="BI120" s="1795"/>
      <c r="BJ120" s="1795"/>
      <c r="BK120" s="1795"/>
      <c r="BL120" s="1795"/>
      <c r="BM120" s="1795"/>
      <c r="BN120" s="1795"/>
      <c r="BO120" s="1795"/>
      <c r="BP120" s="1795"/>
      <c r="BQ120" s="1795"/>
      <c r="BR120" s="1795"/>
      <c r="BS120" s="1795"/>
      <c r="BT120" s="1795"/>
      <c r="BU120" s="1795"/>
      <c r="BV120" s="1316"/>
      <c r="BW120" s="1316"/>
      <c r="BX120" s="1316"/>
      <c r="BY120" s="1316"/>
      <c r="BZ120" s="1316"/>
      <c r="CA120" s="1316"/>
      <c r="CB120" s="1316"/>
      <c r="CC120" s="1316"/>
      <c r="CD120" s="1316"/>
      <c r="CE120" s="1316"/>
    </row>
    <row s="8053" customFormat="1" customHeight="1" ht="24.75">
      <c r="A121" s="1965"/>
      <c r="B121" s="1316"/>
      <c r="C121" s="566"/>
      <c r="D121" s="2586"/>
      <c r="E121" s="2438" t="s">
        <v>614</v>
      </c>
      <c r="F121" s="2438"/>
      <c r="G121" s="2438"/>
      <c r="H121" s="2438"/>
      <c r="I121" s="2438"/>
      <c r="J121" s="2438"/>
      <c r="K121" s="2438"/>
      <c r="L121" s="2438"/>
      <c r="M121" s="2438"/>
      <c r="N121" s="2438"/>
      <c r="O121" s="2438"/>
      <c r="P121" s="2438"/>
      <c r="Q121" s="712">
        <f>SUMIF(T122:T123,"i",Q122:Q123)</f>
        <v>0</v>
      </c>
      <c r="R121" s="1172"/>
      <c r="S121" s="1957" t="s">
        <v>615</v>
      </c>
      <c r="T121" s="871" t="s">
        <v>613</v>
      </c>
      <c r="U121" s="2439">
        <v>1</v>
      </c>
      <c r="V121" s="2439" t="s">
        <v>576</v>
      </c>
      <c r="W121" s="1316"/>
      <c r="X121" s="1316"/>
      <c r="Y121" s="1316"/>
      <c r="Z121" s="1316"/>
      <c r="AA121" s="1795"/>
      <c r="AB121" s="1316"/>
      <c r="AC121" s="1955"/>
      <c r="AD121" s="783"/>
      <c r="AE121" s="1316"/>
      <c r="AF121" s="1316"/>
      <c r="AG121" s="1795"/>
      <c r="AH121" s="1795"/>
      <c r="AI121" s="1795"/>
      <c r="AJ121" s="1795"/>
      <c r="AK121" s="1795"/>
      <c r="AL121" s="1795"/>
      <c r="AM121" s="1795"/>
      <c r="AN121" s="1795"/>
      <c r="AO121" s="1795"/>
      <c r="AP121" s="1795"/>
      <c r="AQ121" s="1795"/>
      <c r="AR121" s="1795"/>
      <c r="AS121" s="1795"/>
      <c r="AT121" s="1795"/>
      <c r="AU121" s="1795"/>
      <c r="AV121" s="1795"/>
      <c r="AW121" s="1795"/>
      <c r="AX121" s="1795"/>
      <c r="AY121" s="1795"/>
      <c r="AZ121" s="1795"/>
      <c r="BA121" s="1795"/>
      <c r="BB121" s="1795"/>
      <c r="BC121" s="1795"/>
      <c r="BD121" s="1795"/>
      <c r="BE121" s="1795"/>
      <c r="BF121" s="1795"/>
      <c r="BG121" s="1795"/>
      <c r="BH121" s="1795"/>
      <c r="BI121" s="1795"/>
      <c r="BJ121" s="1795"/>
      <c r="BK121" s="1795"/>
      <c r="BL121" s="1795"/>
      <c r="BM121" s="1795"/>
      <c r="BN121" s="1795"/>
      <c r="BO121" s="1795"/>
      <c r="BP121" s="1795"/>
      <c r="BQ121" s="1795"/>
      <c r="BR121" s="1795"/>
      <c r="BS121" s="1795"/>
      <c r="BT121" s="1795"/>
      <c r="BU121" s="1795"/>
      <c r="BV121" s="1316"/>
      <c r="BW121" s="1316"/>
      <c r="BX121" s="1316"/>
      <c r="BY121" s="1316"/>
      <c r="BZ121" s="1316"/>
      <c r="CA121" s="1316"/>
      <c r="CB121" s="1316"/>
      <c r="CC121" s="1316"/>
      <c r="CD121" s="1316"/>
      <c r="CE121" s="1316"/>
    </row>
    <row s="8053" customFormat="1" customHeight="1" ht="11.25" hidden="1">
      <c r="A122" s="1952"/>
      <c r="B122" s="1795"/>
      <c r="C122" s="1795"/>
      <c r="D122" s="2586"/>
      <c r="E122" s="789"/>
      <c r="F122" s="789">
        <v>0</v>
      </c>
      <c r="G122" s="789"/>
      <c r="H122" s="789"/>
      <c r="I122" s="789"/>
      <c r="J122" s="789"/>
      <c r="K122" s="789"/>
      <c r="L122" s="789"/>
      <c r="M122" s="789"/>
      <c r="N122" s="789"/>
      <c r="O122" s="789"/>
      <c r="P122" s="789"/>
      <c r="Q122" s="789"/>
      <c r="R122" s="789"/>
      <c r="S122" s="790"/>
      <c r="T122" s="872"/>
      <c r="U122" s="2439"/>
      <c r="V122" s="2439"/>
      <c r="W122" s="1795"/>
      <c r="X122" s="1795"/>
      <c r="Y122" s="1795"/>
      <c r="Z122" s="1795"/>
      <c r="AA122" s="1795"/>
      <c r="AB122" s="1316"/>
      <c r="AC122" s="1955"/>
      <c r="AD122" s="783"/>
      <c r="AE122" s="1316"/>
      <c r="AF122" s="1316"/>
      <c r="AG122" s="1795"/>
      <c r="AH122" s="1795"/>
      <c r="AI122" s="1795"/>
      <c r="AJ122" s="1795"/>
      <c r="AK122" s="1795"/>
      <c r="AL122" s="1795"/>
      <c r="AM122" s="1795"/>
      <c r="AN122" s="1795"/>
      <c r="AO122" s="1795"/>
      <c r="AP122" s="1795"/>
      <c r="AQ122" s="1795"/>
      <c r="AR122" s="1795"/>
      <c r="AS122" s="1795"/>
      <c r="AT122" s="1795"/>
      <c r="AU122" s="1795"/>
      <c r="AV122" s="1795"/>
      <c r="AW122" s="1795"/>
      <c r="AX122" s="1795"/>
      <c r="AY122" s="1795"/>
      <c r="AZ122" s="1795"/>
      <c r="BA122" s="1795"/>
      <c r="BB122" s="1795"/>
      <c r="BC122" s="1795"/>
      <c r="BD122" s="1795"/>
      <c r="BE122" s="1795"/>
      <c r="BF122" s="1795"/>
      <c r="BG122" s="1795"/>
      <c r="BH122" s="1795"/>
      <c r="BI122" s="1795"/>
      <c r="BJ122" s="1795"/>
      <c r="BK122" s="1795"/>
      <c r="BL122" s="1795"/>
      <c r="BM122" s="1795"/>
      <c r="BN122" s="1795"/>
      <c r="BO122" s="1795"/>
      <c r="BP122" s="1795"/>
      <c r="BQ122" s="1795"/>
      <c r="BR122" s="1795"/>
      <c r="BS122" s="1795"/>
      <c r="BT122" s="1795"/>
      <c r="BU122" s="1795"/>
      <c r="BV122" s="1795"/>
      <c r="BW122" s="1795"/>
      <c r="BX122" s="1795"/>
      <c r="BY122" s="1795"/>
      <c r="BZ122" s="1795"/>
      <c r="CA122" s="1795"/>
      <c r="CB122" s="1795"/>
      <c r="CC122" s="1795"/>
      <c r="CD122" s="1795"/>
      <c r="CE122" s="1795"/>
    </row>
    <row s="8053" customFormat="1" customHeight="1" ht="11.25">
      <c r="A123" s="1965"/>
      <c r="B123" s="1316"/>
      <c r="C123" s="566"/>
      <c r="D123" s="2587"/>
      <c r="E123" s="803" t="s">
        <v>24</v>
      </c>
      <c r="F123" s="1324" t="s">
        <v>24</v>
      </c>
      <c r="G123" s="1324" t="s">
        <v>1847</v>
      </c>
      <c r="H123" s="805" t="s">
        <v>24</v>
      </c>
      <c r="I123" s="805"/>
      <c r="J123" s="805"/>
      <c r="K123" s="805"/>
      <c r="L123" s="805"/>
      <c r="M123" s="805"/>
      <c r="N123" s="805"/>
      <c r="O123" s="805"/>
      <c r="P123" s="805"/>
      <c r="Q123" s="805"/>
      <c r="R123" s="806"/>
      <c r="S123" s="807"/>
      <c r="T123" s="872"/>
      <c r="U123" s="2439"/>
      <c r="V123" s="2439"/>
      <c r="W123" s="1316"/>
      <c r="X123" s="1316"/>
      <c r="Y123" s="1316"/>
      <c r="Z123" s="1316"/>
      <c r="AA123" s="1795"/>
      <c r="AB123" s="1316"/>
      <c r="AC123" s="1955"/>
      <c r="AD123" s="783"/>
      <c r="AE123" s="1316"/>
      <c r="AF123" s="1316"/>
      <c r="AG123" s="1795"/>
      <c r="AH123" s="1795"/>
      <c r="AI123" s="1795"/>
      <c r="AJ123" s="1795"/>
      <c r="AK123" s="1795"/>
      <c r="AL123" s="1795"/>
      <c r="AM123" s="1795"/>
      <c r="AN123" s="1795"/>
      <c r="AO123" s="1795"/>
      <c r="AP123" s="1795"/>
      <c r="AQ123" s="1795"/>
      <c r="AR123" s="1795"/>
      <c r="AS123" s="1795"/>
      <c r="AT123" s="1795"/>
      <c r="AU123" s="1795"/>
      <c r="AV123" s="1795"/>
      <c r="AW123" s="1795"/>
      <c r="AX123" s="1795"/>
      <c r="AY123" s="1795"/>
      <c r="AZ123" s="1795"/>
      <c r="BA123" s="1795"/>
      <c r="BB123" s="1795"/>
      <c r="BC123" s="1795"/>
      <c r="BD123" s="1795"/>
      <c r="BE123" s="1795"/>
      <c r="BF123" s="1795"/>
      <c r="BG123" s="1795"/>
      <c r="BH123" s="1795"/>
      <c r="BI123" s="1795"/>
      <c r="BJ123" s="1795"/>
      <c r="BK123" s="1795"/>
      <c r="BL123" s="1795"/>
      <c r="BM123" s="1795"/>
      <c r="BN123" s="1795"/>
      <c r="BO123" s="1795"/>
      <c r="BP123" s="1795"/>
      <c r="BQ123" s="1795"/>
      <c r="BR123" s="1795"/>
      <c r="BS123" s="1795"/>
      <c r="BT123" s="1795"/>
      <c r="BU123" s="1795"/>
      <c r="BV123" s="1316"/>
      <c r="BW123" s="1316"/>
      <c r="BX123" s="1316"/>
      <c r="BY123" s="1316"/>
      <c r="BZ123" s="1316"/>
      <c r="CA123" s="1316"/>
      <c r="CB123" s="1316"/>
      <c r="CC123" s="1316"/>
      <c r="CD123" s="1316"/>
      <c r="CE123" s="1316"/>
    </row>
    <row r="125" s="10136" customFormat="1" customHeight="1" ht="11.25">
      <c r="A125" s="1974" t="s">
        <v>1848</v>
      </c>
    </row>
    <row r="127" s="8053" customFormat="1" customHeight="1" ht="15">
      <c r="A127" s="777"/>
      <c r="B127" s="778"/>
      <c r="C127" s="778"/>
      <c r="D127" s="2585" t="s">
        <v>106</v>
      </c>
      <c r="E127" s="2441" t="s">
        <v>102</v>
      </c>
      <c r="F127" s="2442"/>
      <c r="G127" s="2443"/>
      <c r="H127" s="2436" t="str">
        <f>IF(A127="","",INDEX(DIFFERENTIATION_UNMERGE_VD,MATCH(A127,DIFFERENTIATION_ID_DIFF,0)))</f>
        <v/>
      </c>
      <c r="I127" s="2436"/>
      <c r="J127" s="2436"/>
      <c r="K127" s="2436"/>
      <c r="L127" s="2436"/>
      <c r="M127" s="2436"/>
      <c r="N127" s="2436"/>
      <c r="O127" s="2436"/>
      <c r="P127" s="2436"/>
      <c r="Q127" s="2436"/>
      <c r="R127" s="2436"/>
      <c r="S127" s="873"/>
      <c r="T127" s="870"/>
      <c r="U127" s="779"/>
      <c r="V127" s="779"/>
      <c r="W127" s="780"/>
      <c r="X127" s="780"/>
      <c r="Y127" s="780"/>
      <c r="Z127" s="780"/>
      <c r="AA127" s="781"/>
      <c r="AB127" s="782"/>
      <c r="AC127" s="2440"/>
      <c r="AD127" s="783"/>
      <c r="AE127" s="784" t="s">
        <v>24</v>
      </c>
      <c r="AF127" s="784"/>
      <c r="AG127" s="785" t="s">
        <v>610</v>
      </c>
      <c r="AH127" s="786">
        <v>3</v>
      </c>
      <c r="AI127" s="779"/>
      <c r="AJ127" s="779"/>
      <c r="AK127" s="779"/>
      <c r="AL127" s="779"/>
      <c r="AM127" s="779"/>
      <c r="AN127" s="779"/>
      <c r="AO127" s="779"/>
      <c r="AP127" s="779"/>
      <c r="AQ127" s="779"/>
      <c r="AR127" s="779"/>
      <c r="AS127" s="779"/>
      <c r="AT127" s="779"/>
      <c r="AU127" s="779"/>
      <c r="AV127" s="779"/>
      <c r="AW127" s="779"/>
      <c r="AX127" s="779"/>
      <c r="AY127" s="779"/>
      <c r="AZ127" s="779"/>
      <c r="BA127" s="779"/>
      <c r="BB127" s="779"/>
      <c r="BC127" s="779"/>
      <c r="BD127" s="779"/>
      <c r="BE127" s="779"/>
      <c r="BF127" s="779"/>
      <c r="BG127" s="779"/>
      <c r="BH127" s="779"/>
      <c r="BI127" s="779"/>
      <c r="BJ127" s="779"/>
      <c r="BK127" s="779"/>
      <c r="BL127" s="779"/>
      <c r="BM127" s="779"/>
      <c r="BN127" s="779"/>
      <c r="BO127" s="779"/>
      <c r="BP127" s="779"/>
      <c r="BQ127" s="779"/>
      <c r="BR127" s="779"/>
      <c r="BS127" s="779"/>
      <c r="BT127" s="779"/>
      <c r="BU127" s="779"/>
      <c r="BV127" s="780"/>
      <c r="BW127" s="780"/>
      <c r="BX127" s="780"/>
      <c r="BY127" s="780"/>
      <c r="BZ127" s="780"/>
      <c r="CA127" s="780"/>
      <c r="CB127" s="780"/>
      <c r="CC127" s="780"/>
      <c r="CD127" s="780"/>
      <c r="CE127" s="780"/>
    </row>
    <row s="8053" customFormat="1" customHeight="1" ht="15">
      <c r="A128" s="777"/>
      <c r="B128" s="778"/>
      <c r="C128" s="778"/>
      <c r="D128" s="2586"/>
      <c r="E128" s="2441" t="s">
        <v>565</v>
      </c>
      <c r="F128" s="2442"/>
      <c r="G128" s="2443"/>
      <c r="H128" s="2436" t="str">
        <f>IF(A127="","",INDEX(DIFFERENTIATION_UNMERGE_AREA,MATCH(A127,DIFFERENTIATION_ID_DIFF,0)))</f>
        <v/>
      </c>
      <c r="I128" s="2436"/>
      <c r="J128" s="2436"/>
      <c r="K128" s="2436"/>
      <c r="L128" s="2436"/>
      <c r="M128" s="2436"/>
      <c r="N128" s="2436"/>
      <c r="O128" s="2436"/>
      <c r="P128" s="2436"/>
      <c r="Q128" s="2436"/>
      <c r="R128" s="2436"/>
      <c r="S128" s="873"/>
      <c r="T128" s="870"/>
      <c r="U128" s="779"/>
      <c r="V128" s="779"/>
      <c r="W128" s="780"/>
      <c r="X128" s="780"/>
      <c r="Y128" s="780"/>
      <c r="Z128" s="780"/>
      <c r="AA128" s="781"/>
      <c r="AB128" s="782"/>
      <c r="AC128" s="2440"/>
      <c r="AD128" s="783"/>
      <c r="AE128" s="784"/>
      <c r="AF128" s="784"/>
      <c r="AG128" s="785"/>
      <c r="AH128" s="786"/>
      <c r="AI128" s="779"/>
      <c r="AJ128" s="779"/>
      <c r="AK128" s="779"/>
      <c r="AL128" s="779"/>
      <c r="AM128" s="779"/>
      <c r="AN128" s="779"/>
      <c r="AO128" s="779"/>
      <c r="AP128" s="779"/>
      <c r="AQ128" s="779"/>
      <c r="AR128" s="779"/>
      <c r="AS128" s="779"/>
      <c r="AT128" s="779"/>
      <c r="AU128" s="779"/>
      <c r="AV128" s="779"/>
      <c r="AW128" s="779"/>
      <c r="AX128" s="779"/>
      <c r="AY128" s="779"/>
      <c r="AZ128" s="779"/>
      <c r="BA128" s="779"/>
      <c r="BB128" s="779"/>
      <c r="BC128" s="779"/>
      <c r="BD128" s="779"/>
      <c r="BE128" s="779"/>
      <c r="BF128" s="779"/>
      <c r="BG128" s="779"/>
      <c r="BH128" s="779"/>
      <c r="BI128" s="779"/>
      <c r="BJ128" s="779"/>
      <c r="BK128" s="779"/>
      <c r="BL128" s="779"/>
      <c r="BM128" s="779"/>
      <c r="BN128" s="779"/>
      <c r="BO128" s="779"/>
      <c r="BP128" s="779"/>
      <c r="BQ128" s="779"/>
      <c r="BR128" s="779"/>
      <c r="BS128" s="779"/>
      <c r="BT128" s="779"/>
      <c r="BU128" s="779"/>
      <c r="BV128" s="780"/>
      <c r="BW128" s="780"/>
      <c r="BX128" s="780"/>
      <c r="BY128" s="780"/>
      <c r="BZ128" s="780"/>
      <c r="CA128" s="780"/>
      <c r="CB128" s="780"/>
      <c r="CC128" s="780"/>
      <c r="CD128" s="780"/>
      <c r="CE128" s="780"/>
    </row>
    <row s="8053" customFormat="1" customHeight="1" ht="15">
      <c r="A129" s="777"/>
      <c r="B129" s="778"/>
      <c r="C129" s="778"/>
      <c r="D129" s="2586"/>
      <c r="E129" s="2441" t="s">
        <v>566</v>
      </c>
      <c r="F129" s="2442"/>
      <c r="G129" s="2443"/>
      <c r="H129" s="2436" t="str">
        <f>IF(A127="","",INDEX(DIFFERENTIATION_UNMERGE_SYSTEM,MATCH(A127,DIFFERENTIATION_ID_DIFF,0)))</f>
        <v/>
      </c>
      <c r="I129" s="2436"/>
      <c r="J129" s="2436"/>
      <c r="K129" s="2436"/>
      <c r="L129" s="2436"/>
      <c r="M129" s="2436"/>
      <c r="N129" s="2436"/>
      <c r="O129" s="2436"/>
      <c r="P129" s="2436"/>
      <c r="Q129" s="2436"/>
      <c r="R129" s="2436"/>
      <c r="S129" s="873"/>
      <c r="T129" s="870"/>
      <c r="U129" s="779"/>
      <c r="V129" s="779"/>
      <c r="W129" s="780"/>
      <c r="X129" s="780"/>
      <c r="Y129" s="780"/>
      <c r="Z129" s="780"/>
      <c r="AA129" s="781"/>
      <c r="AB129" s="782"/>
      <c r="AC129" s="2440"/>
      <c r="AD129" s="783"/>
      <c r="AE129" s="784"/>
      <c r="AF129" s="784"/>
      <c r="AG129" s="785"/>
      <c r="AH129" s="786"/>
      <c r="AI129" s="779"/>
      <c r="AJ129" s="779"/>
      <c r="AK129" s="779"/>
      <c r="AL129" s="779"/>
      <c r="AM129" s="779"/>
      <c r="AN129" s="779"/>
      <c r="AO129" s="779"/>
      <c r="AP129" s="779"/>
      <c r="AQ129" s="779"/>
      <c r="AR129" s="779"/>
      <c r="AS129" s="779"/>
      <c r="AT129" s="779"/>
      <c r="AU129" s="779"/>
      <c r="AV129" s="779"/>
      <c r="AW129" s="779"/>
      <c r="AX129" s="779"/>
      <c r="AY129" s="779"/>
      <c r="AZ129" s="779"/>
      <c r="BA129" s="779"/>
      <c r="BB129" s="779"/>
      <c r="BC129" s="779"/>
      <c r="BD129" s="779"/>
      <c r="BE129" s="779"/>
      <c r="BF129" s="779"/>
      <c r="BG129" s="779"/>
      <c r="BH129" s="779"/>
      <c r="BI129" s="779"/>
      <c r="BJ129" s="779"/>
      <c r="BK129" s="779"/>
      <c r="BL129" s="779"/>
      <c r="BM129" s="779"/>
      <c r="BN129" s="779"/>
      <c r="BO129" s="779"/>
      <c r="BP129" s="779"/>
      <c r="BQ129" s="779"/>
      <c r="BR129" s="779"/>
      <c r="BS129" s="779"/>
      <c r="BT129" s="779"/>
      <c r="BU129" s="779"/>
      <c r="BV129" s="780"/>
      <c r="BW129" s="780"/>
      <c r="BX129" s="780"/>
      <c r="BY129" s="780"/>
      <c r="BZ129" s="780"/>
      <c r="CA129" s="780"/>
      <c r="CB129" s="780"/>
      <c r="CC129" s="780"/>
      <c r="CD129" s="780"/>
      <c r="CE129" s="780"/>
    </row>
    <row s="8053" customFormat="1" customHeight="1" ht="24.75">
      <c r="A130" s="1965"/>
      <c r="B130" s="1316"/>
      <c r="C130" s="566"/>
      <c r="D130" s="2586"/>
      <c r="E130" s="2438" t="s">
        <v>611</v>
      </c>
      <c r="F130" s="2438"/>
      <c r="G130" s="2438"/>
      <c r="H130" s="2438"/>
      <c r="I130" s="2438"/>
      <c r="J130" s="2438"/>
      <c r="K130" s="2438"/>
      <c r="L130" s="2438"/>
      <c r="M130" s="2438"/>
      <c r="N130" s="2438"/>
      <c r="O130" s="2438"/>
      <c r="P130" s="2438"/>
      <c r="Q130" s="712">
        <f>SUMIF(T131:T132,"i",Q131:Q132)</f>
        <v>0</v>
      </c>
      <c r="R130" s="1172"/>
      <c r="S130" s="1957" t="s">
        <v>612</v>
      </c>
      <c r="T130" s="871" t="s">
        <v>613</v>
      </c>
      <c r="U130" s="2439">
        <v>1</v>
      </c>
      <c r="V130" s="2439" t="s">
        <v>576</v>
      </c>
      <c r="W130" s="1316"/>
      <c r="X130" s="1316"/>
      <c r="Y130" s="1316"/>
      <c r="Z130" s="1316"/>
      <c r="AA130" s="1795"/>
      <c r="AB130" s="1316"/>
      <c r="AC130" s="2440"/>
      <c r="AD130" s="783"/>
      <c r="AE130" s="1316"/>
      <c r="AF130" s="1316"/>
      <c r="AG130" s="1795"/>
      <c r="AH130" s="1795"/>
      <c r="AI130" s="1795"/>
      <c r="AJ130" s="1795"/>
      <c r="AK130" s="1795"/>
      <c r="AL130" s="1795"/>
      <c r="AM130" s="1795"/>
      <c r="AN130" s="1795"/>
      <c r="AO130" s="1795"/>
      <c r="AP130" s="1795"/>
      <c r="AQ130" s="1795"/>
      <c r="AR130" s="1795"/>
      <c r="AS130" s="1795"/>
      <c r="AT130" s="1795"/>
      <c r="AU130" s="1795"/>
      <c r="AV130" s="1795"/>
      <c r="AW130" s="1795"/>
      <c r="AX130" s="1795"/>
      <c r="AY130" s="1795"/>
      <c r="AZ130" s="1795"/>
      <c r="BA130" s="1795"/>
      <c r="BB130" s="1795"/>
      <c r="BC130" s="1795"/>
      <c r="BD130" s="1795"/>
      <c r="BE130" s="1795"/>
      <c r="BF130" s="1795"/>
      <c r="BG130" s="1795"/>
      <c r="BH130" s="1795"/>
      <c r="BI130" s="1795"/>
      <c r="BJ130" s="1795"/>
      <c r="BK130" s="1795"/>
      <c r="BL130" s="1795"/>
      <c r="BM130" s="1795"/>
      <c r="BN130" s="1795"/>
      <c r="BO130" s="1795"/>
      <c r="BP130" s="1795"/>
      <c r="BQ130" s="1795"/>
      <c r="BR130" s="1795"/>
      <c r="BS130" s="1795"/>
      <c r="BT130" s="1795"/>
      <c r="BU130" s="1795"/>
      <c r="BV130" s="1316"/>
      <c r="BW130" s="1316"/>
      <c r="BX130" s="1316"/>
      <c r="BY130" s="1316"/>
      <c r="BZ130" s="1316"/>
      <c r="CA130" s="1316"/>
      <c r="CB130" s="1316"/>
      <c r="CC130" s="1316"/>
      <c r="CD130" s="1316"/>
      <c r="CE130" s="1316"/>
    </row>
    <row s="8053" customFormat="1" customHeight="1" ht="11.25" hidden="1">
      <c r="A131" s="1952"/>
      <c r="B131" s="1795"/>
      <c r="C131" s="1795"/>
      <c r="D131" s="2586"/>
      <c r="E131" s="789"/>
      <c r="F131" s="789">
        <v>0</v>
      </c>
      <c r="G131" s="789"/>
      <c r="H131" s="789"/>
      <c r="I131" s="789"/>
      <c r="J131" s="789"/>
      <c r="K131" s="789"/>
      <c r="L131" s="789"/>
      <c r="M131" s="789"/>
      <c r="N131" s="789"/>
      <c r="O131" s="789"/>
      <c r="P131" s="789"/>
      <c r="Q131" s="789"/>
      <c r="R131" s="789"/>
      <c r="S131" s="790"/>
      <c r="T131" s="872"/>
      <c r="U131" s="2439"/>
      <c r="V131" s="2439"/>
      <c r="W131" s="1795"/>
      <c r="X131" s="1795"/>
      <c r="Y131" s="1795"/>
      <c r="Z131" s="1795"/>
      <c r="AA131" s="1795"/>
      <c r="AB131" s="1316"/>
      <c r="AC131" s="2440"/>
      <c r="AD131" s="783"/>
      <c r="AE131" s="1316"/>
      <c r="AF131" s="1316"/>
      <c r="AG131" s="1795"/>
      <c r="AH131" s="1795"/>
      <c r="AI131" s="1795"/>
      <c r="AJ131" s="1795"/>
      <c r="AK131" s="1795"/>
      <c r="AL131" s="1795"/>
      <c r="AM131" s="1795"/>
      <c r="AN131" s="1795"/>
      <c r="AO131" s="1795"/>
      <c r="AP131" s="1795"/>
      <c r="AQ131" s="1795"/>
      <c r="AR131" s="1795"/>
      <c r="AS131" s="1795"/>
      <c r="AT131" s="1795"/>
      <c r="AU131" s="1795"/>
      <c r="AV131" s="1795"/>
      <c r="AW131" s="1795"/>
      <c r="AX131" s="1795"/>
      <c r="AY131" s="1795"/>
      <c r="AZ131" s="1795"/>
      <c r="BA131" s="1795"/>
      <c r="BB131" s="1795"/>
      <c r="BC131" s="1795"/>
      <c r="BD131" s="1795"/>
      <c r="BE131" s="1795"/>
      <c r="BF131" s="1795"/>
      <c r="BG131" s="1795"/>
      <c r="BH131" s="1795"/>
      <c r="BI131" s="1795"/>
      <c r="BJ131" s="1795"/>
      <c r="BK131" s="1795"/>
      <c r="BL131" s="1795"/>
      <c r="BM131" s="1795"/>
      <c r="BN131" s="1795"/>
      <c r="BO131" s="1795"/>
      <c r="BP131" s="1795"/>
      <c r="BQ131" s="1795"/>
      <c r="BR131" s="1795"/>
      <c r="BS131" s="1795"/>
      <c r="BT131" s="1795"/>
      <c r="BU131" s="1795"/>
      <c r="BV131" s="1795"/>
      <c r="BW131" s="1795"/>
      <c r="BX131" s="1795"/>
      <c r="BY131" s="1795"/>
      <c r="BZ131" s="1795"/>
      <c r="CA131" s="1795"/>
      <c r="CB131" s="1795"/>
      <c r="CC131" s="1795"/>
      <c r="CD131" s="1795"/>
      <c r="CE131" s="1795"/>
    </row>
    <row s="8053" customFormat="1" customHeight="1" ht="11.25">
      <c r="A132" s="1965"/>
      <c r="B132" s="1316"/>
      <c r="C132" s="566"/>
      <c r="D132" s="2586"/>
      <c r="E132" s="803" t="s">
        <v>24</v>
      </c>
      <c r="F132" s="1324" t="s">
        <v>24</v>
      </c>
      <c r="G132" s="1324" t="s">
        <v>1847</v>
      </c>
      <c r="H132" s="805" t="s">
        <v>24</v>
      </c>
      <c r="I132" s="805"/>
      <c r="J132" s="805"/>
      <c r="K132" s="805"/>
      <c r="L132" s="805"/>
      <c r="M132" s="805"/>
      <c r="N132" s="805"/>
      <c r="O132" s="805"/>
      <c r="P132" s="805"/>
      <c r="Q132" s="805"/>
      <c r="R132" s="806"/>
      <c r="S132" s="807"/>
      <c r="T132" s="872"/>
      <c r="U132" s="2439"/>
      <c r="V132" s="2439"/>
      <c r="W132" s="1316"/>
      <c r="X132" s="1316"/>
      <c r="Y132" s="1316"/>
      <c r="Z132" s="1316"/>
      <c r="AA132" s="1795"/>
      <c r="AB132" s="1316"/>
      <c r="AC132" s="2440"/>
      <c r="AD132" s="783"/>
      <c r="AE132" s="1316"/>
      <c r="AF132" s="1316"/>
      <c r="AG132" s="1795"/>
      <c r="AH132" s="1795"/>
      <c r="AI132" s="1795"/>
      <c r="AJ132" s="1795"/>
      <c r="AK132" s="1795"/>
      <c r="AL132" s="1795"/>
      <c r="AM132" s="1795"/>
      <c r="AN132" s="1795"/>
      <c r="AO132" s="1795"/>
      <c r="AP132" s="1795"/>
      <c r="AQ132" s="1795"/>
      <c r="AR132" s="1795"/>
      <c r="AS132" s="1795"/>
      <c r="AT132" s="1795"/>
      <c r="AU132" s="1795"/>
      <c r="AV132" s="1795"/>
      <c r="AW132" s="1795"/>
      <c r="AX132" s="1795"/>
      <c r="AY132" s="1795"/>
      <c r="AZ132" s="1795"/>
      <c r="BA132" s="1795"/>
      <c r="BB132" s="1795"/>
      <c r="BC132" s="1795"/>
      <c r="BD132" s="1795"/>
      <c r="BE132" s="1795"/>
      <c r="BF132" s="1795"/>
      <c r="BG132" s="1795"/>
      <c r="BH132" s="1795"/>
      <c r="BI132" s="1795"/>
      <c r="BJ132" s="1795"/>
      <c r="BK132" s="1795"/>
      <c r="BL132" s="1795"/>
      <c r="BM132" s="1795"/>
      <c r="BN132" s="1795"/>
      <c r="BO132" s="1795"/>
      <c r="BP132" s="1795"/>
      <c r="BQ132" s="1795"/>
      <c r="BR132" s="1795"/>
      <c r="BS132" s="1795"/>
      <c r="BT132" s="1795"/>
      <c r="BU132" s="1795"/>
      <c r="BV132" s="1316"/>
      <c r="BW132" s="1316"/>
      <c r="BX132" s="1316"/>
      <c r="BY132" s="1316"/>
      <c r="BZ132" s="1316"/>
      <c r="CA132" s="1316"/>
      <c r="CB132" s="1316"/>
      <c r="CC132" s="1316"/>
      <c r="CD132" s="1316"/>
      <c r="CE132" s="1316"/>
    </row>
    <row s="8347" customFormat="1" customHeight="1" ht="5.25" hidden="1">
      <c r="A133" s="1952"/>
      <c r="B133" s="1795"/>
      <c r="C133" s="1795"/>
      <c r="D133" s="2586"/>
      <c r="E133" s="1194"/>
      <c r="F133" s="1194"/>
      <c r="G133" s="1194"/>
      <c r="H133" s="1194"/>
      <c r="I133" s="1194"/>
      <c r="J133" s="1194"/>
      <c r="K133" s="1194"/>
      <c r="L133" s="1194"/>
      <c r="M133" s="1194"/>
      <c r="N133" s="1194"/>
      <c r="O133" s="1194"/>
      <c r="P133" s="1194"/>
      <c r="Q133" s="1195"/>
      <c r="R133" s="1196"/>
      <c r="S133" s="1197"/>
      <c r="T133" s="871" t="s">
        <v>613</v>
      </c>
      <c r="U133" s="2439">
        <v>1</v>
      </c>
      <c r="V133" s="2439" t="s">
        <v>576</v>
      </c>
      <c r="W133" s="1795"/>
      <c r="X133" s="1795"/>
      <c r="Y133" s="1795"/>
      <c r="Z133" s="1795"/>
      <c r="AA133" s="1795"/>
      <c r="AB133" s="1795"/>
      <c r="AC133" s="1192"/>
      <c r="AD133" s="1193"/>
      <c r="AE133" s="1795"/>
      <c r="AF133" s="1795"/>
      <c r="AG133" s="1795"/>
      <c r="AH133" s="1795"/>
      <c r="AI133" s="1795"/>
      <c r="AJ133" s="1795"/>
      <c r="AK133" s="1795"/>
      <c r="AL133" s="1795"/>
      <c r="AM133" s="1795"/>
      <c r="AN133" s="1795"/>
      <c r="AO133" s="1795"/>
      <c r="AP133" s="1795"/>
      <c r="AQ133" s="1795"/>
      <c r="AR133" s="1795"/>
      <c r="AS133" s="1795"/>
      <c r="AT133" s="1795"/>
      <c r="AU133" s="1795"/>
      <c r="AV133" s="1795"/>
      <c r="AW133" s="1795"/>
      <c r="AX133" s="1795"/>
      <c r="AY133" s="1795"/>
      <c r="AZ133" s="1795"/>
      <c r="BA133" s="1795"/>
      <c r="BB133" s="1795"/>
      <c r="BC133" s="1795"/>
      <c r="BD133" s="1795"/>
      <c r="BE133" s="1795"/>
      <c r="BF133" s="1795"/>
      <c r="BG133" s="1795"/>
      <c r="BH133" s="1795"/>
      <c r="BI133" s="1795"/>
      <c r="BJ133" s="1795"/>
      <c r="BK133" s="1795"/>
      <c r="BL133" s="1795"/>
      <c r="BM133" s="1795"/>
      <c r="BN133" s="1795"/>
      <c r="BO133" s="1795"/>
      <c r="BP133" s="1795"/>
      <c r="BQ133" s="1795"/>
      <c r="BR133" s="1795"/>
      <c r="BS133" s="1795"/>
      <c r="BT133" s="1795"/>
      <c r="BU133" s="1795"/>
      <c r="BV133" s="1795"/>
      <c r="BW133" s="1795"/>
      <c r="BX133" s="1795"/>
      <c r="BY133" s="1795"/>
      <c r="BZ133" s="1795"/>
      <c r="CA133" s="1795"/>
      <c r="CB133" s="1795"/>
      <c r="CC133" s="1795"/>
      <c r="CD133" s="1795"/>
      <c r="CE133" s="1795"/>
    </row>
    <row s="8347" customFormat="1" customHeight="1" ht="5.25" hidden="1">
      <c r="A134" s="1952"/>
      <c r="B134" s="1795"/>
      <c r="C134" s="1795"/>
      <c r="D134" s="2586"/>
      <c r="E134" s="789"/>
      <c r="F134" s="789"/>
      <c r="G134" s="789"/>
      <c r="H134" s="789"/>
      <c r="I134" s="789"/>
      <c r="J134" s="789"/>
      <c r="K134" s="789"/>
      <c r="L134" s="789"/>
      <c r="M134" s="789"/>
      <c r="N134" s="789"/>
      <c r="O134" s="789"/>
      <c r="P134" s="789"/>
      <c r="Q134" s="789"/>
      <c r="R134" s="789"/>
      <c r="S134" s="790"/>
      <c r="T134" s="872"/>
      <c r="U134" s="2439"/>
      <c r="V134" s="2439"/>
      <c r="W134" s="1795"/>
      <c r="X134" s="1795"/>
      <c r="Y134" s="1795"/>
      <c r="Z134" s="1795"/>
      <c r="AA134" s="1795"/>
      <c r="AB134" s="1795"/>
      <c r="AC134" s="1192"/>
      <c r="AD134" s="1193"/>
      <c r="AE134" s="1795"/>
      <c r="AF134" s="1795"/>
      <c r="AG134" s="1795"/>
      <c r="AH134" s="1795"/>
      <c r="AI134" s="1795"/>
      <c r="AJ134" s="1795"/>
      <c r="AK134" s="1795"/>
      <c r="AL134" s="1795"/>
      <c r="AM134" s="1795"/>
      <c r="AN134" s="1795"/>
      <c r="AO134" s="1795"/>
      <c r="AP134" s="1795"/>
      <c r="AQ134" s="1795"/>
      <c r="AR134" s="1795"/>
      <c r="AS134" s="1795"/>
      <c r="AT134" s="1795"/>
      <c r="AU134" s="1795"/>
      <c r="AV134" s="1795"/>
      <c r="AW134" s="1795"/>
      <c r="AX134" s="1795"/>
      <c r="AY134" s="1795"/>
      <c r="AZ134" s="1795"/>
      <c r="BA134" s="1795"/>
      <c r="BB134" s="1795"/>
      <c r="BC134" s="1795"/>
      <c r="BD134" s="1795"/>
      <c r="BE134" s="1795"/>
      <c r="BF134" s="1795"/>
      <c r="BG134" s="1795"/>
      <c r="BH134" s="1795"/>
      <c r="BI134" s="1795"/>
      <c r="BJ134" s="1795"/>
      <c r="BK134" s="1795"/>
      <c r="BL134" s="1795"/>
      <c r="BM134" s="1795"/>
      <c r="BN134" s="1795"/>
      <c r="BO134" s="1795"/>
      <c r="BP134" s="1795"/>
      <c r="BQ134" s="1795"/>
      <c r="BR134" s="1795"/>
      <c r="BS134" s="1795"/>
      <c r="BT134" s="1795"/>
      <c r="BU134" s="1795"/>
      <c r="BV134" s="1795"/>
      <c r="BW134" s="1795"/>
      <c r="BX134" s="1795"/>
      <c r="BY134" s="1795"/>
      <c r="BZ134" s="1795"/>
      <c r="CA134" s="1795"/>
      <c r="CB134" s="1795"/>
      <c r="CC134" s="1795"/>
      <c r="CD134" s="1795"/>
      <c r="CE134" s="1795"/>
    </row>
    <row s="8347" customFormat="1" customHeight="1" ht="5.25" hidden="1">
      <c r="A135" s="1952"/>
      <c r="B135" s="1795"/>
      <c r="C135" s="1795"/>
      <c r="D135" s="2587"/>
      <c r="E135" s="1198"/>
      <c r="F135" s="1199"/>
      <c r="G135" s="1199"/>
      <c r="H135" s="1200"/>
      <c r="I135" s="1200"/>
      <c r="J135" s="1200"/>
      <c r="K135" s="1200"/>
      <c r="L135" s="1200"/>
      <c r="M135" s="1200"/>
      <c r="N135" s="1200"/>
      <c r="O135" s="1200"/>
      <c r="P135" s="1200"/>
      <c r="Q135" s="1200"/>
      <c r="R135" s="1101"/>
      <c r="S135" s="1201"/>
      <c r="T135" s="872"/>
      <c r="U135" s="2439"/>
      <c r="V135" s="2439"/>
      <c r="W135" s="1795"/>
      <c r="X135" s="1795"/>
      <c r="Y135" s="1795"/>
      <c r="Z135" s="1795"/>
      <c r="AA135" s="1795"/>
      <c r="AB135" s="1795"/>
      <c r="AC135" s="1192"/>
      <c r="AD135" s="1193"/>
      <c r="AE135" s="1795"/>
      <c r="AF135" s="1795"/>
      <c r="AG135" s="1795"/>
      <c r="AH135" s="1795"/>
      <c r="AI135" s="1795"/>
      <c r="AJ135" s="1795"/>
      <c r="AK135" s="1795"/>
      <c r="AL135" s="1795"/>
      <c r="AM135" s="1795"/>
      <c r="AN135" s="1795"/>
      <c r="AO135" s="1795"/>
      <c r="AP135" s="1795"/>
      <c r="AQ135" s="1795"/>
      <c r="AR135" s="1795"/>
      <c r="AS135" s="1795"/>
      <c r="AT135" s="1795"/>
      <c r="AU135" s="1795"/>
      <c r="AV135" s="1795"/>
      <c r="AW135" s="1795"/>
      <c r="AX135" s="1795"/>
      <c r="AY135" s="1795"/>
      <c r="AZ135" s="1795"/>
      <c r="BA135" s="1795"/>
      <c r="BB135" s="1795"/>
      <c r="BC135" s="1795"/>
      <c r="BD135" s="1795"/>
      <c r="BE135" s="1795"/>
      <c r="BF135" s="1795"/>
      <c r="BG135" s="1795"/>
      <c r="BH135" s="1795"/>
      <c r="BI135" s="1795"/>
      <c r="BJ135" s="1795"/>
      <c r="BK135" s="1795"/>
      <c r="BL135" s="1795"/>
      <c r="BM135" s="1795"/>
      <c r="BN135" s="1795"/>
      <c r="BO135" s="1795"/>
      <c r="BP135" s="1795"/>
      <c r="BQ135" s="1795"/>
      <c r="BR135" s="1795"/>
      <c r="BS135" s="1795"/>
      <c r="BT135" s="1795"/>
      <c r="BU135" s="1795"/>
      <c r="BV135" s="1795"/>
      <c r="BW135" s="1795"/>
      <c r="BX135" s="1795"/>
      <c r="BY135" s="1795"/>
      <c r="BZ135" s="1795"/>
      <c r="CA135" s="1795"/>
      <c r="CB135" s="1795"/>
      <c r="CC135" s="1795"/>
      <c r="CD135" s="1795"/>
      <c r="CE135" s="1795"/>
    </row>
    <row customHeight="1" ht="17.25">
      <c r="D136" s="1995"/>
    </row>
    <row s="10136" customFormat="1" customHeight="1" ht="11.25">
      <c r="A137" s="1974" t="s">
        <v>1849</v>
      </c>
    </row>
    <row r="139" s="8053" customFormat="1" customHeight="1" ht="45">
      <c r="A139" s="1965"/>
      <c r="B139" s="1316"/>
      <c r="C139" s="566"/>
      <c r="D139" s="243"/>
      <c r="E139" s="2591"/>
      <c r="F139" s="2196" t="s">
        <v>106</v>
      </c>
      <c r="G139" s="2594" t="s">
        <v>24</v>
      </c>
      <c r="H139" s="443"/>
      <c r="I139" s="791" t="s">
        <v>106</v>
      </c>
      <c r="J139" s="1966" t="s">
        <v>1850</v>
      </c>
      <c r="K139" s="792" t="s">
        <v>547</v>
      </c>
      <c r="L139" s="2286" t="s">
        <v>547</v>
      </c>
      <c r="M139" s="2596"/>
      <c r="N139" s="792" t="s">
        <v>547</v>
      </c>
      <c r="O139" s="792" t="s">
        <v>547</v>
      </c>
      <c r="P139" s="792" t="s">
        <v>547</v>
      </c>
      <c r="Q139" s="793">
        <f>SUM(Q140:Q142)</f>
        <v>0</v>
      </c>
      <c r="R139" s="793">
        <f>IF(R136=0,0,(Q136/R136)*100)</f>
        <v>0</v>
      </c>
      <c r="S139" s="2255"/>
      <c r="T139" s="871" t="s">
        <v>613</v>
      </c>
      <c r="U139" s="243"/>
      <c r="V139" s="243"/>
      <c r="AC139" s="243"/>
    </row>
    <row s="8053" customFormat="1" customHeight="1" ht="11.25">
      <c r="A140" s="1965"/>
      <c r="B140" s="1316"/>
      <c r="C140" s="566"/>
      <c r="D140" s="243"/>
      <c r="E140" s="2592"/>
      <c r="F140" s="2196"/>
      <c r="G140" s="2594"/>
      <c r="H140" s="2185"/>
      <c r="I140" s="2580" t="s">
        <v>940</v>
      </c>
      <c r="J140" s="2588"/>
      <c r="K140" s="2589"/>
      <c r="L140" s="794"/>
      <c r="M140" s="795" t="s">
        <v>106</v>
      </c>
      <c r="N140" s="1954"/>
      <c r="O140" s="796"/>
      <c r="P140" s="797"/>
      <c r="Q140" s="796"/>
      <c r="R140" s="798">
        <v>0</v>
      </c>
      <c r="S140" s="2255"/>
      <c r="T140" s="871"/>
      <c r="U140" s="243"/>
      <c r="V140" s="243"/>
      <c r="AC140" s="243"/>
    </row>
    <row s="8053" customFormat="1" customHeight="1" ht="11.25">
      <c r="A141" s="1965"/>
      <c r="B141" s="1316"/>
      <c r="C141" s="566"/>
      <c r="D141" s="243"/>
      <c r="E141" s="2592"/>
      <c r="F141" s="2196"/>
      <c r="G141" s="2594"/>
      <c r="H141" s="2185"/>
      <c r="I141" s="2580"/>
      <c r="J141" s="2588"/>
      <c r="K141" s="2590"/>
      <c r="L141" s="799"/>
      <c r="M141" s="800"/>
      <c r="N141" s="801" t="s">
        <v>1851</v>
      </c>
      <c r="O141" s="801"/>
      <c r="P141" s="801"/>
      <c r="Q141" s="801"/>
      <c r="R141" s="802"/>
      <c r="S141" s="2255"/>
      <c r="T141" s="871"/>
      <c r="U141" s="243"/>
      <c r="V141" s="243"/>
      <c r="AC141" s="243"/>
    </row>
    <row s="8053" customFormat="1" customHeight="1" ht="11.25">
      <c r="A142" s="1965"/>
      <c r="B142" s="1316"/>
      <c r="C142" s="566"/>
      <c r="D142" s="243"/>
      <c r="E142" s="2593"/>
      <c r="F142" s="2196"/>
      <c r="G142" s="2595"/>
      <c r="H142" s="799" t="s">
        <v>24</v>
      </c>
      <c r="I142" s="800"/>
      <c r="J142" s="801" t="s">
        <v>1852</v>
      </c>
      <c r="K142" s="801"/>
      <c r="L142" s="801"/>
      <c r="M142" s="801"/>
      <c r="N142" s="801"/>
      <c r="O142" s="801"/>
      <c r="P142" s="801"/>
      <c r="Q142" s="801"/>
      <c r="R142" s="802"/>
      <c r="S142" s="2255"/>
      <c r="T142" s="871"/>
      <c r="U142" s="243"/>
      <c r="V142" s="243"/>
      <c r="AC142" s="243"/>
    </row>
    <row r="147" s="8053" customFormat="1" customHeight="1" ht="11.25">
      <c r="A147" s="1965"/>
      <c r="B147" s="1316"/>
      <c r="C147" s="566"/>
      <c r="D147" s="243"/>
      <c r="E147" s="1989"/>
      <c r="F147" s="1989"/>
      <c r="G147" s="1989"/>
      <c r="H147" s="2185"/>
      <c r="I147" s="2580" t="s">
        <v>940</v>
      </c>
      <c r="J147" s="2588"/>
      <c r="K147" s="2589"/>
      <c r="L147" s="794"/>
      <c r="M147" s="795" t="s">
        <v>106</v>
      </c>
      <c r="N147" s="1954"/>
      <c r="O147" s="796"/>
      <c r="P147" s="797"/>
      <c r="Q147" s="796"/>
      <c r="R147" s="798">
        <v>0</v>
      </c>
      <c r="S147" s="243"/>
      <c r="T147" s="871"/>
      <c r="U147" s="243"/>
      <c r="V147" s="243"/>
      <c r="AC147" s="243"/>
    </row>
    <row s="8053" customFormat="1" customHeight="1" ht="11.25">
      <c r="A148" s="1965"/>
      <c r="B148" s="1316"/>
      <c r="C148" s="566"/>
      <c r="D148" s="243"/>
      <c r="E148" s="1989"/>
      <c r="F148" s="1989"/>
      <c r="G148" s="1989"/>
      <c r="H148" s="2185"/>
      <c r="I148" s="2580"/>
      <c r="J148" s="2588"/>
      <c r="K148" s="2590"/>
      <c r="L148" s="799"/>
      <c r="M148" s="800"/>
      <c r="N148" s="801" t="s">
        <v>1851</v>
      </c>
      <c r="O148" s="801"/>
      <c r="P148" s="801"/>
      <c r="Q148" s="801"/>
      <c r="R148" s="802"/>
      <c r="S148" s="243"/>
      <c r="T148" s="871"/>
      <c r="U148" s="243"/>
      <c r="V148" s="243"/>
      <c r="AC148" s="243"/>
    </row>
    <row r="150" s="8053" customFormat="1" customHeight="1" ht="11.25">
      <c r="A150" s="1965"/>
      <c r="B150" s="1316"/>
      <c r="C150" s="566"/>
      <c r="D150" s="243"/>
      <c r="E150" s="1996"/>
      <c r="F150" s="1994"/>
      <c r="G150" s="1994"/>
      <c r="H150" s="1997"/>
      <c r="I150" s="1989"/>
      <c r="J150" s="1990"/>
      <c r="K150" s="1990"/>
      <c r="L150" s="794"/>
      <c r="M150" s="795" t="s">
        <v>106</v>
      </c>
      <c r="N150" s="1954"/>
      <c r="O150" s="796"/>
      <c r="P150" s="797"/>
      <c r="Q150" s="796"/>
      <c r="R150" s="798">
        <v>0</v>
      </c>
      <c r="S150" s="243"/>
      <c r="T150" s="871"/>
      <c r="U150" s="243"/>
      <c r="V150" s="243"/>
      <c r="AC150" s="243"/>
    </row>
    <row r="152" s="10136" customFormat="1" customHeight="1" ht="17.25">
      <c r="A152" s="1974" t="s">
        <v>1853</v>
      </c>
    </row>
    <row customHeight="1" ht="17.25">
      <c r="G153" s="1998"/>
      <c r="H153" s="1998"/>
      <c r="I153" s="1998"/>
      <c r="M153" s="1994"/>
    </row>
    <row s="10332" customFormat="1" customHeight="1" ht="17.25">
      <c r="A154" s="1999"/>
      <c r="C154" s="2001"/>
      <c r="D154" s="2577"/>
      <c r="E154" s="2211"/>
      <c r="F154" s="2213"/>
      <c r="G154" s="2583"/>
      <c r="H154" s="2577"/>
      <c r="I154" s="2577">
        <v>1</v>
      </c>
      <c r="J154" s="2603"/>
      <c r="K154" s="2258" t="s">
        <v>64</v>
      </c>
      <c r="L154" s="2196"/>
      <c r="M154" s="2196" t="s">
        <v>106</v>
      </c>
      <c r="N154" s="2601" t="str">
        <f>IF(Z154="","",INDEX(TERRITORY_MR_LIST,MATCH(Z154,TERRITORY_LIST_ID,0)))</f>
        <v/>
      </c>
      <c r="O154" s="2258" t="s">
        <v>64</v>
      </c>
      <c r="P154" s="2196"/>
      <c r="Q154" s="2196" t="s">
        <v>106</v>
      </c>
      <c r="R154" s="2582" t="s">
        <v>24</v>
      </c>
      <c r="S154" s="2195" t="s">
        <v>64</v>
      </c>
      <c r="T154" s="1970"/>
      <c r="U154" s="1970" t="s">
        <v>106</v>
      </c>
      <c r="V154" s="2002" t="s">
        <v>24</v>
      </c>
      <c r="W154" s="1960"/>
      <c r="Y154" s="1426"/>
      <c r="Z154" s="1426"/>
      <c r="AA154" s="1426"/>
      <c r="AB154" s="1426"/>
      <c r="AC154" s="1426"/>
      <c r="AD154" s="1426"/>
      <c r="AE154" s="1426"/>
      <c r="AF154" s="1426"/>
      <c r="AG154" s="1426"/>
      <c r="AH154" s="1426"/>
      <c r="AI154" s="1426"/>
      <c r="AJ154" s="1426"/>
      <c r="AK154" s="1426"/>
      <c r="AL154" s="2003"/>
      <c r="AM154" s="2003"/>
      <c r="AN154" s="1426"/>
      <c r="AO154" s="1426"/>
      <c r="AP154" s="1426"/>
      <c r="AQ154" s="1426"/>
    </row>
    <row s="10332" customFormat="1" customHeight="1" ht="17.25">
      <c r="A155" s="1999"/>
      <c r="C155" s="2004"/>
      <c r="D155" s="2577"/>
      <c r="E155" s="2211"/>
      <c r="F155" s="2214"/>
      <c r="G155" s="2583"/>
      <c r="H155" s="2577"/>
      <c r="I155" s="2577"/>
      <c r="J155" s="2603"/>
      <c r="K155" s="2259"/>
      <c r="L155" s="2196"/>
      <c r="M155" s="2196"/>
      <c r="N155" s="2601"/>
      <c r="O155" s="2259"/>
      <c r="P155" s="2196"/>
      <c r="Q155" s="2196"/>
      <c r="R155" s="2582"/>
      <c r="S155" s="2195"/>
      <c r="T155" s="471"/>
      <c r="U155" s="472"/>
      <c r="V155" s="472" t="s">
        <v>414</v>
      </c>
      <c r="W155" s="473"/>
      <c r="Y155" s="1418"/>
      <c r="Z155" s="1418"/>
      <c r="AA155" s="1418"/>
      <c r="AB155" s="1418"/>
      <c r="AC155" s="1418"/>
      <c r="AD155" s="1418"/>
      <c r="AE155" s="1418"/>
      <c r="AF155" s="1418"/>
      <c r="AG155" s="1418"/>
      <c r="AH155" s="1418"/>
      <c r="AI155" s="1418"/>
      <c r="AJ155" s="1418"/>
      <c r="AK155" s="1418"/>
    </row>
    <row s="10332" customFormat="1" customHeight="1" ht="17.25">
      <c r="A156" s="1999"/>
      <c r="C156" s="2004"/>
      <c r="D156" s="2578"/>
      <c r="E156" s="2600"/>
      <c r="F156" s="2214"/>
      <c r="G156" s="2584"/>
      <c r="H156" s="2578"/>
      <c r="I156" s="2578"/>
      <c r="J156" s="2604"/>
      <c r="K156" s="2259"/>
      <c r="L156" s="2578"/>
      <c r="M156" s="2578"/>
      <c r="N156" s="2602"/>
      <c r="O156" s="2200"/>
      <c r="P156" s="471"/>
      <c r="Q156" s="472"/>
      <c r="R156" s="472" t="s">
        <v>251</v>
      </c>
      <c r="S156" s="2005"/>
      <c r="T156" s="2005"/>
      <c r="U156" s="2005"/>
      <c r="V156" s="2005"/>
      <c r="W156" s="473"/>
      <c r="Y156" s="1418"/>
      <c r="Z156" s="1418"/>
      <c r="AA156" s="1418"/>
      <c r="AB156" s="1418"/>
      <c r="AC156" s="1418"/>
      <c r="AD156" s="1418"/>
      <c r="AE156" s="1418"/>
      <c r="AF156" s="1418"/>
      <c r="AG156" s="1418"/>
      <c r="AH156" s="1418"/>
      <c r="AI156" s="1418"/>
      <c r="AJ156" s="1418"/>
      <c r="AK156" s="1418"/>
    </row>
    <row s="10332" customFormat="1" customHeight="1" ht="17.25">
      <c r="A157" s="1999"/>
      <c r="C157" s="2004"/>
      <c r="D157" s="2578"/>
      <c r="E157" s="2600"/>
      <c r="F157" s="2214"/>
      <c r="G157" s="2584"/>
      <c r="H157" s="2578"/>
      <c r="I157" s="2578"/>
      <c r="J157" s="2604"/>
      <c r="K157" s="2200"/>
      <c r="L157" s="471"/>
      <c r="M157" s="472"/>
      <c r="N157" s="472" t="s">
        <v>252</v>
      </c>
      <c r="O157" s="472"/>
      <c r="P157" s="472"/>
      <c r="Q157" s="472"/>
      <c r="R157" s="472"/>
      <c r="S157" s="2005"/>
      <c r="T157" s="2005"/>
      <c r="U157" s="2005"/>
      <c r="V157" s="2005"/>
      <c r="W157" s="473"/>
      <c r="Y157" s="1418"/>
      <c r="Z157" s="1418"/>
      <c r="AA157" s="1418"/>
      <c r="AB157" s="1418"/>
      <c r="AC157" s="1418"/>
      <c r="AD157" s="1418"/>
      <c r="AE157" s="1418"/>
      <c r="AF157" s="1418"/>
      <c r="AG157" s="1418"/>
      <c r="AH157" s="1418"/>
      <c r="AI157" s="1418"/>
      <c r="AJ157" s="1418"/>
      <c r="AK157" s="1418"/>
    </row>
    <row s="10332" customFormat="1" customHeight="1" ht="17.25">
      <c r="A158" s="1999"/>
      <c r="C158" s="2004"/>
      <c r="D158" s="2578"/>
      <c r="E158" s="2600"/>
      <c r="F158" s="2215"/>
      <c r="G158" s="2584"/>
      <c r="H158" s="471"/>
      <c r="I158" s="472"/>
      <c r="J158" s="472" t="s">
        <v>253</v>
      </c>
      <c r="K158" s="472"/>
      <c r="L158" s="472"/>
      <c r="M158" s="472"/>
      <c r="N158" s="472"/>
      <c r="O158" s="472"/>
      <c r="P158" s="472"/>
      <c r="Q158" s="472"/>
      <c r="R158" s="472"/>
      <c r="S158" s="2005"/>
      <c r="T158" s="2005"/>
      <c r="U158" s="2005"/>
      <c r="V158" s="2005"/>
      <c r="W158" s="473"/>
      <c r="Y158" s="1418"/>
      <c r="Z158" s="1418"/>
      <c r="AA158" s="1418"/>
      <c r="AB158" s="1418"/>
      <c r="AC158" s="1418"/>
      <c r="AD158" s="1418"/>
      <c r="AE158" s="1418"/>
      <c r="AF158" s="1418"/>
      <c r="AG158" s="1418"/>
      <c r="AH158" s="1418"/>
      <c r="AI158" s="1418"/>
      <c r="AJ158" s="1418"/>
      <c r="AK158" s="1418"/>
    </row>
    <row customHeight="1" ht="17.25">
      <c r="G159" s="1998"/>
      <c r="H159" s="1998"/>
      <c r="I159" s="1998"/>
      <c r="M159" s="1994"/>
    </row>
    <row s="10332" customFormat="1" customHeight="1" ht="17.25">
      <c r="A160" s="1999"/>
      <c r="C160" s="2001"/>
      <c r="D160" s="1989"/>
      <c r="E160" s="2006"/>
      <c r="F160" s="1943"/>
      <c r="G160" s="2007"/>
      <c r="H160" s="2577"/>
      <c r="I160" s="2577">
        <v>1</v>
      </c>
      <c r="J160" s="2603"/>
      <c r="K160" s="2258" t="s">
        <v>64</v>
      </c>
      <c r="L160" s="2196"/>
      <c r="M160" s="2196" t="s">
        <v>106</v>
      </c>
      <c r="N160" s="2601" t="str">
        <f>IF(Z160="","",INDEX(TERRITORY_MR_LIST,MATCH(Z160,TERRITORY_LIST_ID,0)))</f>
        <v/>
      </c>
      <c r="O160" s="2258" t="s">
        <v>64</v>
      </c>
      <c r="P160" s="2196"/>
      <c r="Q160" s="2196" t="s">
        <v>106</v>
      </c>
      <c r="R160" s="2582" t="s">
        <v>24</v>
      </c>
      <c r="S160" s="2195" t="s">
        <v>64</v>
      </c>
      <c r="T160" s="1970"/>
      <c r="U160" s="1970" t="s">
        <v>106</v>
      </c>
      <c r="V160" s="2002" t="s">
        <v>24</v>
      </c>
      <c r="W160" s="1960"/>
      <c r="Y160" s="1426"/>
      <c r="Z160" s="1426"/>
      <c r="AA160" s="1426"/>
      <c r="AB160" s="1426"/>
      <c r="AC160" s="1426"/>
      <c r="AD160" s="1426"/>
      <c r="AE160" s="1426"/>
      <c r="AF160" s="1426"/>
      <c r="AG160" s="1426"/>
      <c r="AH160" s="1426"/>
      <c r="AI160" s="1426"/>
      <c r="AJ160" s="1426"/>
      <c r="AK160" s="1426"/>
      <c r="AL160" s="2003"/>
      <c r="AM160" s="2003"/>
      <c r="AN160" s="1426"/>
      <c r="AO160" s="1426"/>
      <c r="AP160" s="1426"/>
      <c r="AQ160" s="1426"/>
    </row>
    <row s="10332" customFormat="1" customHeight="1" ht="17.25">
      <c r="A161" s="1999"/>
      <c r="C161" s="2004"/>
      <c r="D161" s="1989"/>
      <c r="E161" s="2006"/>
      <c r="F161" s="1943"/>
      <c r="G161" s="2007"/>
      <c r="H161" s="2577"/>
      <c r="I161" s="2577"/>
      <c r="J161" s="2603"/>
      <c r="K161" s="2259"/>
      <c r="L161" s="2196"/>
      <c r="M161" s="2196"/>
      <c r="N161" s="2601"/>
      <c r="O161" s="2259"/>
      <c r="P161" s="2196"/>
      <c r="Q161" s="2196"/>
      <c r="R161" s="2582"/>
      <c r="S161" s="2195"/>
      <c r="T161" s="471"/>
      <c r="U161" s="472"/>
      <c r="V161" s="472" t="s">
        <v>414</v>
      </c>
      <c r="W161" s="473"/>
      <c r="Y161" s="1418"/>
      <c r="Z161" s="1418"/>
      <c r="AA161" s="1418"/>
      <c r="AB161" s="1418"/>
      <c r="AC161" s="1418"/>
      <c r="AD161" s="1418"/>
      <c r="AE161" s="1418"/>
      <c r="AF161" s="1418"/>
      <c r="AG161" s="1418"/>
      <c r="AH161" s="1418"/>
      <c r="AI161" s="1418"/>
      <c r="AJ161" s="1418"/>
      <c r="AK161" s="1418"/>
    </row>
    <row s="10332" customFormat="1" customHeight="1" ht="17.25">
      <c r="A162" s="1999"/>
      <c r="C162" s="2004"/>
      <c r="D162" s="1989"/>
      <c r="E162" s="2006"/>
      <c r="F162" s="1943"/>
      <c r="G162" s="2007"/>
      <c r="H162" s="2578"/>
      <c r="I162" s="2578"/>
      <c r="J162" s="2604"/>
      <c r="K162" s="2259"/>
      <c r="L162" s="2578"/>
      <c r="M162" s="2578"/>
      <c r="N162" s="2602"/>
      <c r="O162" s="2200"/>
      <c r="P162" s="471"/>
      <c r="Q162" s="472"/>
      <c r="R162" s="472" t="s">
        <v>251</v>
      </c>
      <c r="S162" s="2005"/>
      <c r="T162" s="2005"/>
      <c r="U162" s="2005"/>
      <c r="V162" s="2005"/>
      <c r="W162" s="473"/>
      <c r="Y162" s="1418"/>
      <c r="Z162" s="1418"/>
      <c r="AA162" s="1418"/>
      <c r="AB162" s="1418"/>
      <c r="AC162" s="1418"/>
      <c r="AD162" s="1418"/>
      <c r="AE162" s="1418"/>
      <c r="AF162" s="1418"/>
      <c r="AG162" s="1418"/>
      <c r="AH162" s="1418"/>
      <c r="AI162" s="1418"/>
      <c r="AJ162" s="1418"/>
      <c r="AK162" s="1418"/>
    </row>
    <row s="10332" customFormat="1" customHeight="1" ht="17.25">
      <c r="A163" s="1999"/>
      <c r="C163" s="2004"/>
      <c r="D163" s="1989"/>
      <c r="E163" s="2006"/>
      <c r="F163" s="1943"/>
      <c r="G163" s="2007"/>
      <c r="H163" s="2578"/>
      <c r="I163" s="2578"/>
      <c r="J163" s="2604"/>
      <c r="K163" s="2200"/>
      <c r="L163" s="471"/>
      <c r="M163" s="472"/>
      <c r="N163" s="472" t="s">
        <v>252</v>
      </c>
      <c r="O163" s="472"/>
      <c r="P163" s="472"/>
      <c r="Q163" s="472"/>
      <c r="R163" s="472"/>
      <c r="S163" s="2005"/>
      <c r="T163" s="2005"/>
      <c r="U163" s="2005"/>
      <c r="V163" s="2005"/>
      <c r="W163" s="473"/>
      <c r="Y163" s="1418"/>
      <c r="Z163" s="1418"/>
      <c r="AA163" s="1418"/>
      <c r="AB163" s="1418"/>
      <c r="AC163" s="1418"/>
      <c r="AD163" s="1418"/>
      <c r="AE163" s="1418"/>
      <c r="AF163" s="1418"/>
      <c r="AG163" s="1418"/>
      <c r="AH163" s="1418"/>
      <c r="AI163" s="1418"/>
      <c r="AJ163" s="1418"/>
      <c r="AK163" s="1418"/>
    </row>
    <row customHeight="1" ht="17.25">
      <c r="G164" s="1998"/>
      <c r="H164" s="1998"/>
      <c r="I164" s="1998"/>
      <c r="M164" s="1994"/>
    </row>
    <row s="10332" customFormat="1" customHeight="1" ht="17.25">
      <c r="A165" s="1999"/>
      <c r="C165" s="2001"/>
      <c r="D165" s="1989"/>
      <c r="E165" s="2006"/>
      <c r="F165" s="1943"/>
      <c r="G165" s="2007"/>
      <c r="H165" s="1989"/>
      <c r="I165" s="1989"/>
      <c r="J165" s="2008"/>
      <c r="K165" s="1919"/>
      <c r="L165" s="2196"/>
      <c r="M165" s="2196" t="s">
        <v>106</v>
      </c>
      <c r="N165" s="2601" t="str">
        <f>IF(Z165="","",INDEX(TERRITORY_MR_LIST,MATCH(Z165,TERRITORY_LIST_ID,0)))</f>
        <v/>
      </c>
      <c r="O165" s="2258" t="s">
        <v>64</v>
      </c>
      <c r="P165" s="2196"/>
      <c r="Q165" s="2196" t="s">
        <v>106</v>
      </c>
      <c r="R165" s="2582" t="s">
        <v>24</v>
      </c>
      <c r="S165" s="2195" t="s">
        <v>64</v>
      </c>
      <c r="T165" s="1970"/>
      <c r="U165" s="1970" t="s">
        <v>106</v>
      </c>
      <c r="V165" s="2002" t="s">
        <v>24</v>
      </c>
      <c r="W165" s="1960"/>
      <c r="Y165" s="1426"/>
      <c r="Z165" s="1426"/>
      <c r="AA165" s="1426"/>
      <c r="AB165" s="1426"/>
      <c r="AC165" s="1426"/>
      <c r="AD165" s="1426"/>
      <c r="AE165" s="1426"/>
      <c r="AF165" s="1426"/>
      <c r="AG165" s="1426"/>
      <c r="AH165" s="1426"/>
      <c r="AI165" s="1426"/>
      <c r="AJ165" s="1426"/>
      <c r="AK165" s="1426"/>
      <c r="AL165" s="2003"/>
      <c r="AM165" s="2003"/>
      <c r="AN165" s="1426"/>
      <c r="AO165" s="1426"/>
      <c r="AP165" s="1426"/>
      <c r="AQ165" s="1426"/>
    </row>
    <row s="10332" customFormat="1" customHeight="1" ht="17.25">
      <c r="A166" s="1999"/>
      <c r="C166" s="2004"/>
      <c r="D166" s="1989"/>
      <c r="E166" s="2006"/>
      <c r="F166" s="1943"/>
      <c r="G166" s="2007"/>
      <c r="H166" s="1989"/>
      <c r="I166" s="1989"/>
      <c r="J166" s="2008"/>
      <c r="K166" s="1919"/>
      <c r="L166" s="2196"/>
      <c r="M166" s="2196"/>
      <c r="N166" s="2601"/>
      <c r="O166" s="2259"/>
      <c r="P166" s="2196"/>
      <c r="Q166" s="2196"/>
      <c r="R166" s="2582"/>
      <c r="S166" s="2195"/>
      <c r="T166" s="471"/>
      <c r="U166" s="472"/>
      <c r="V166" s="472" t="s">
        <v>414</v>
      </c>
      <c r="W166" s="473"/>
      <c r="Y166" s="1418"/>
      <c r="Z166" s="1418"/>
      <c r="AA166" s="1418"/>
      <c r="AB166" s="1418"/>
      <c r="AC166" s="1418"/>
      <c r="AD166" s="1418"/>
      <c r="AE166" s="1418"/>
      <c r="AF166" s="1418"/>
      <c r="AG166" s="1418"/>
      <c r="AH166" s="1418"/>
      <c r="AI166" s="1418"/>
      <c r="AJ166" s="1418"/>
      <c r="AK166" s="1418"/>
    </row>
    <row s="10332" customFormat="1" customHeight="1" ht="17.25">
      <c r="A167" s="1999"/>
      <c r="C167" s="2004"/>
      <c r="D167" s="1989"/>
      <c r="E167" s="2006"/>
      <c r="F167" s="1943"/>
      <c r="G167" s="2007"/>
      <c r="H167" s="1989"/>
      <c r="I167" s="1989"/>
      <c r="J167" s="2008"/>
      <c r="K167" s="1919"/>
      <c r="L167" s="2578"/>
      <c r="M167" s="2578"/>
      <c r="N167" s="2602"/>
      <c r="O167" s="2200"/>
      <c r="P167" s="471"/>
      <c r="Q167" s="472"/>
      <c r="R167" s="472" t="s">
        <v>251</v>
      </c>
      <c r="S167" s="2005"/>
      <c r="T167" s="2005"/>
      <c r="U167" s="2005"/>
      <c r="V167" s="2005"/>
      <c r="W167" s="473"/>
      <c r="Y167" s="1418"/>
      <c r="Z167" s="1418"/>
      <c r="AA167" s="1418"/>
      <c r="AB167" s="1418"/>
      <c r="AC167" s="1418"/>
      <c r="AD167" s="1418"/>
      <c r="AE167" s="1418"/>
      <c r="AF167" s="1418"/>
      <c r="AG167" s="1418"/>
      <c r="AH167" s="1418"/>
      <c r="AI167" s="1418"/>
      <c r="AJ167" s="1418"/>
      <c r="AK167" s="1418"/>
    </row>
    <row customHeight="1" ht="17.25">
      <c r="G168" s="1998"/>
      <c r="H168" s="1998"/>
      <c r="I168" s="1998"/>
      <c r="M168" s="1994"/>
    </row>
    <row s="10332" customFormat="1" customHeight="1" ht="17.25">
      <c r="A169" s="1999"/>
      <c r="C169" s="2001"/>
      <c r="D169" s="1989"/>
      <c r="E169" s="2006"/>
      <c r="F169" s="1943"/>
      <c r="G169" s="2007"/>
      <c r="H169" s="1989"/>
      <c r="I169" s="1989"/>
      <c r="J169" s="2008"/>
      <c r="K169" s="1919"/>
      <c r="L169" s="1915"/>
      <c r="M169" s="1915"/>
      <c r="N169" s="2009"/>
      <c r="O169" s="1946"/>
      <c r="P169" s="2196"/>
      <c r="Q169" s="2196" t="s">
        <v>106</v>
      </c>
      <c r="R169" s="2582" t="s">
        <v>24</v>
      </c>
      <c r="S169" s="2195" t="s">
        <v>64</v>
      </c>
      <c r="T169" s="1970"/>
      <c r="U169" s="1970" t="s">
        <v>106</v>
      </c>
      <c r="V169" s="2002" t="s">
        <v>24</v>
      </c>
      <c r="W169" s="1960"/>
      <c r="Y169" s="1426"/>
      <c r="Z169" s="1426"/>
      <c r="AA169" s="1426"/>
      <c r="AB169" s="1426"/>
      <c r="AC169" s="1426"/>
      <c r="AD169" s="1426"/>
      <c r="AE169" s="1426"/>
      <c r="AF169" s="1426"/>
      <c r="AG169" s="1426"/>
      <c r="AH169" s="1426"/>
      <c r="AI169" s="1426"/>
      <c r="AJ169" s="1426"/>
      <c r="AK169" s="1426"/>
      <c r="AL169" s="2003"/>
      <c r="AM169" s="2003"/>
      <c r="AN169" s="1426"/>
      <c r="AO169" s="1426"/>
      <c r="AP169" s="1426"/>
      <c r="AQ169" s="1426"/>
    </row>
    <row s="10332" customFormat="1" customHeight="1" ht="17.25">
      <c r="A170" s="1999"/>
      <c r="C170" s="2004"/>
      <c r="D170" s="1989"/>
      <c r="E170" s="2006"/>
      <c r="F170" s="1943"/>
      <c r="G170" s="2007"/>
      <c r="H170" s="1989"/>
      <c r="I170" s="1989"/>
      <c r="J170" s="2008"/>
      <c r="K170" s="1919"/>
      <c r="L170" s="1915"/>
      <c r="M170" s="1915"/>
      <c r="N170" s="2009"/>
      <c r="O170" s="1946"/>
      <c r="P170" s="2196"/>
      <c r="Q170" s="2196"/>
      <c r="R170" s="2582"/>
      <c r="S170" s="2195"/>
      <c r="T170" s="471"/>
      <c r="U170" s="472"/>
      <c r="V170" s="472" t="s">
        <v>414</v>
      </c>
      <c r="W170" s="473"/>
      <c r="Y170" s="1418"/>
      <c r="Z170" s="1418"/>
      <c r="AA170" s="1418"/>
      <c r="AB170" s="1418"/>
      <c r="AC170" s="1418"/>
      <c r="AD170" s="1418"/>
      <c r="AE170" s="1418"/>
      <c r="AF170" s="1418"/>
      <c r="AG170" s="1418"/>
      <c r="AH170" s="1418"/>
      <c r="AI170" s="1418"/>
      <c r="AJ170" s="1418"/>
      <c r="AK170" s="1418"/>
    </row>
    <row customHeight="1" ht="17.25">
      <c r="G171" s="1998"/>
      <c r="H171" s="1998"/>
      <c r="I171" s="1998"/>
      <c r="M171" s="1994"/>
    </row>
    <row s="10332" customFormat="1" customHeight="1" ht="17.25">
      <c r="A172" s="1999"/>
      <c r="C172" s="2001"/>
      <c r="D172" s="1989"/>
      <c r="E172" s="2006"/>
      <c r="F172" s="1943"/>
      <c r="G172" s="2007"/>
      <c r="H172" s="1915"/>
      <c r="I172" s="1915"/>
      <c r="J172" s="1916"/>
      <c r="K172" s="2007"/>
      <c r="L172" s="1915"/>
      <c r="M172" s="1915"/>
      <c r="N172" s="2007"/>
      <c r="O172" s="2007"/>
      <c r="P172" s="1915"/>
      <c r="Q172" s="1915"/>
      <c r="R172" s="1917"/>
      <c r="S172" s="2007"/>
      <c r="T172" s="1970"/>
      <c r="U172" s="1970" t="s">
        <v>106</v>
      </c>
      <c r="V172" s="2002" t="s">
        <v>24</v>
      </c>
      <c r="W172" s="1960"/>
      <c r="Y172" s="1426"/>
      <c r="Z172" s="1426"/>
      <c r="AA172" s="1426"/>
      <c r="AB172" s="1426"/>
      <c r="AC172" s="1426"/>
      <c r="AD172" s="1426"/>
      <c r="AE172" s="1426"/>
      <c r="AF172" s="1426"/>
      <c r="AG172" s="1426"/>
      <c r="AH172" s="1426"/>
      <c r="AI172" s="1426"/>
      <c r="AJ172" s="1426"/>
      <c r="AK172" s="1426"/>
      <c r="AL172" s="2003"/>
      <c r="AM172" s="2003"/>
      <c r="AN172" s="1426"/>
      <c r="AO172" s="1426"/>
      <c r="AP172" s="1426"/>
      <c r="AQ172" s="1426"/>
    </row>
    <row r="174" s="10136" customFormat="1" customHeight="1" ht="17.25">
      <c r="A174" s="1974" t="s">
        <v>1854</v>
      </c>
    </row>
    <row customHeight="1" ht="17.25">
      <c r="G175" s="1998"/>
      <c r="H175" s="1998"/>
      <c r="I175" s="1998"/>
      <c r="M175" s="1994"/>
    </row>
    <row s="10332" customFormat="1" customHeight="1" ht="17.25">
      <c r="A176" s="1999"/>
      <c r="C176" s="2001"/>
      <c r="D176" s="2577"/>
      <c r="E176" s="2211"/>
      <c r="F176" s="2213"/>
      <c r="G176" s="2583"/>
      <c r="H176" s="2577"/>
      <c r="I176" s="2577">
        <v>1</v>
      </c>
      <c r="J176" s="2603"/>
      <c r="K176" s="2258" t="s">
        <v>64</v>
      </c>
      <c r="L176" s="2196"/>
      <c r="M176" s="2196" t="s">
        <v>106</v>
      </c>
      <c r="N176" s="2601" t="str">
        <f>IF(Z176="","",INDEX(TERRITORY_MR_LIST,MATCH(Z176,TERRITORY_LIST_ID,0)))</f>
        <v/>
      </c>
      <c r="O176" s="2258" t="s">
        <v>64</v>
      </c>
      <c r="P176" s="2196"/>
      <c r="Q176" s="2196" t="s">
        <v>106</v>
      </c>
      <c r="R176" s="2582" t="s">
        <v>24</v>
      </c>
      <c r="S176" s="2456" t="s">
        <v>54</v>
      </c>
      <c r="T176" s="1961"/>
      <c r="U176" s="1961" t="s">
        <v>106</v>
      </c>
      <c r="V176" s="1593"/>
      <c r="W176" s="2603"/>
      <c r="Y176" s="1426"/>
      <c r="Z176" s="1426"/>
      <c r="AA176" s="1426"/>
      <c r="AB176" s="1426"/>
      <c r="AC176" s="1426"/>
      <c r="AD176" s="1426"/>
      <c r="AE176" s="1426"/>
      <c r="AF176" s="1426"/>
      <c r="AG176" s="1426"/>
      <c r="AH176" s="1426"/>
      <c r="AI176" s="1426"/>
      <c r="AJ176" s="1426"/>
      <c r="AK176" s="1426"/>
      <c r="AL176" s="2003"/>
      <c r="AM176" s="2003"/>
      <c r="AN176" s="1426"/>
      <c r="AO176" s="1426"/>
      <c r="AP176" s="1426"/>
      <c r="AQ176" s="1426"/>
    </row>
    <row s="10332" customFormat="1" customHeight="1" ht="17.25">
      <c r="A177" s="1999"/>
      <c r="C177" s="2004"/>
      <c r="D177" s="2577"/>
      <c r="E177" s="2211"/>
      <c r="F177" s="2214"/>
      <c r="G177" s="2583"/>
      <c r="H177" s="2577"/>
      <c r="I177" s="2577"/>
      <c r="J177" s="2603"/>
      <c r="K177" s="2259"/>
      <c r="L177" s="2196"/>
      <c r="M177" s="2196"/>
      <c r="N177" s="2601"/>
      <c r="O177" s="2259"/>
      <c r="P177" s="2196"/>
      <c r="Q177" s="2196"/>
      <c r="R177" s="2582"/>
      <c r="S177" s="2456"/>
      <c r="T177" s="1594"/>
      <c r="U177" s="1595"/>
      <c r="V177" s="1595"/>
      <c r="W177" s="2603"/>
      <c r="Y177" s="1418"/>
      <c r="Z177" s="1418"/>
      <c r="AA177" s="1418"/>
      <c r="AB177" s="1418"/>
      <c r="AC177" s="1418"/>
      <c r="AD177" s="1418"/>
      <c r="AE177" s="1418"/>
      <c r="AF177" s="1418"/>
      <c r="AG177" s="1418"/>
      <c r="AH177" s="1418"/>
      <c r="AI177" s="1418"/>
      <c r="AJ177" s="1418"/>
      <c r="AK177" s="1418"/>
    </row>
    <row s="10332" customFormat="1" customHeight="1" ht="17.25">
      <c r="A178" s="1999"/>
      <c r="C178" s="2004"/>
      <c r="D178" s="2578"/>
      <c r="E178" s="2600"/>
      <c r="F178" s="2214"/>
      <c r="G178" s="2584"/>
      <c r="H178" s="2578"/>
      <c r="I178" s="2578"/>
      <c r="J178" s="2604"/>
      <c r="K178" s="2259"/>
      <c r="L178" s="2578"/>
      <c r="M178" s="2578"/>
      <c r="N178" s="2602"/>
      <c r="O178" s="2200"/>
      <c r="P178" s="471"/>
      <c r="Q178" s="472"/>
      <c r="R178" s="472" t="s">
        <v>251</v>
      </c>
      <c r="S178" s="2005"/>
      <c r="T178" s="2005"/>
      <c r="U178" s="2005"/>
      <c r="V178" s="2005"/>
      <c r="W178" s="1592"/>
      <c r="Y178" s="1418"/>
      <c r="Z178" s="1418"/>
      <c r="AA178" s="1418"/>
      <c r="AB178" s="1418"/>
      <c r="AC178" s="1418"/>
      <c r="AD178" s="1418"/>
      <c r="AE178" s="1418"/>
      <c r="AF178" s="1418"/>
      <c r="AG178" s="1418"/>
      <c r="AH178" s="1418"/>
      <c r="AI178" s="1418"/>
      <c r="AJ178" s="1418"/>
      <c r="AK178" s="1418"/>
    </row>
    <row s="10332" customFormat="1" customHeight="1" ht="17.25">
      <c r="A179" s="1999"/>
      <c r="C179" s="2004"/>
      <c r="D179" s="2578"/>
      <c r="E179" s="2600"/>
      <c r="F179" s="2214"/>
      <c r="G179" s="2584"/>
      <c r="H179" s="2578"/>
      <c r="I179" s="2578"/>
      <c r="J179" s="2604"/>
      <c r="K179" s="2200"/>
      <c r="L179" s="471"/>
      <c r="M179" s="472"/>
      <c r="N179" s="472" t="s">
        <v>252</v>
      </c>
      <c r="O179" s="472"/>
      <c r="P179" s="472"/>
      <c r="Q179" s="472"/>
      <c r="R179" s="472"/>
      <c r="S179" s="2005"/>
      <c r="T179" s="2005"/>
      <c r="U179" s="2005"/>
      <c r="V179" s="2005"/>
      <c r="W179" s="473"/>
      <c r="Y179" s="1418"/>
      <c r="Z179" s="1418"/>
      <c r="AA179" s="1418"/>
      <c r="AB179" s="1418"/>
      <c r="AC179" s="1418"/>
      <c r="AD179" s="1418"/>
      <c r="AE179" s="1418"/>
      <c r="AF179" s="1418"/>
      <c r="AG179" s="1418"/>
      <c r="AH179" s="1418"/>
      <c r="AI179" s="1418"/>
      <c r="AJ179" s="1418"/>
      <c r="AK179" s="1418"/>
    </row>
    <row s="10332" customFormat="1" customHeight="1" ht="17.25">
      <c r="A180" s="1999"/>
      <c r="C180" s="2004"/>
      <c r="D180" s="2578"/>
      <c r="E180" s="2600"/>
      <c r="F180" s="2215"/>
      <c r="G180" s="2584"/>
      <c r="H180" s="471"/>
      <c r="I180" s="472"/>
      <c r="J180" s="472" t="s">
        <v>253</v>
      </c>
      <c r="K180" s="472"/>
      <c r="L180" s="472"/>
      <c r="M180" s="472"/>
      <c r="N180" s="472"/>
      <c r="O180" s="472"/>
      <c r="P180" s="472"/>
      <c r="Q180" s="472"/>
      <c r="R180" s="472"/>
      <c r="S180" s="2005"/>
      <c r="T180" s="2005"/>
      <c r="U180" s="2005"/>
      <c r="V180" s="2005"/>
      <c r="W180" s="473"/>
      <c r="Y180" s="1418"/>
      <c r="Z180" s="1418"/>
      <c r="AA180" s="1418"/>
      <c r="AB180" s="1418"/>
      <c r="AC180" s="1418"/>
      <c r="AD180" s="1418"/>
      <c r="AE180" s="1418"/>
      <c r="AF180" s="1418"/>
      <c r="AG180" s="1418"/>
      <c r="AH180" s="1418"/>
      <c r="AI180" s="1418"/>
      <c r="AJ180" s="1418"/>
      <c r="AK180" s="1418"/>
    </row>
    <row customHeight="1" ht="17.25">
      <c r="A181" s="2010"/>
    </row>
    <row s="10332" customFormat="1" customHeight="1" ht="17.25">
      <c r="A182" s="1999"/>
      <c r="C182" s="2001"/>
      <c r="D182" s="1989"/>
      <c r="E182" s="2006"/>
      <c r="F182" s="1943"/>
      <c r="G182" s="2007"/>
      <c r="H182" s="2577"/>
      <c r="I182" s="2577">
        <v>1</v>
      </c>
      <c r="J182" s="2603"/>
      <c r="K182" s="2258" t="s">
        <v>64</v>
      </c>
      <c r="L182" s="2196"/>
      <c r="M182" s="2196" t="s">
        <v>106</v>
      </c>
      <c r="N182" s="2601" t="str">
        <f>IF(Z182="","",INDEX(TERRITORY_MR_LIST,MATCH(Z182,TERRITORY_LIST_ID,0)))</f>
        <v/>
      </c>
      <c r="O182" s="2258" t="s">
        <v>64</v>
      </c>
      <c r="P182" s="2196"/>
      <c r="Q182" s="2196" t="s">
        <v>106</v>
      </c>
      <c r="R182" s="2582" t="s">
        <v>24</v>
      </c>
      <c r="S182" s="2456" t="s">
        <v>54</v>
      </c>
      <c r="T182" s="1961"/>
      <c r="U182" s="1961" t="s">
        <v>106</v>
      </c>
      <c r="V182" s="1593"/>
      <c r="W182" s="2603"/>
      <c r="Y182" s="1426"/>
      <c r="Z182" s="1426"/>
      <c r="AA182" s="1426"/>
      <c r="AB182" s="1426"/>
      <c r="AC182" s="1426"/>
      <c r="AD182" s="1426"/>
      <c r="AE182" s="1426"/>
      <c r="AF182" s="1426"/>
      <c r="AG182" s="1426"/>
      <c r="AH182" s="1426"/>
      <c r="AI182" s="1426"/>
      <c r="AJ182" s="1426"/>
      <c r="AK182" s="1426"/>
      <c r="AL182" s="2003"/>
      <c r="AM182" s="2003"/>
      <c r="AN182" s="1426"/>
      <c r="AO182" s="1426"/>
      <c r="AP182" s="1426"/>
      <c r="AQ182" s="1426"/>
    </row>
    <row s="10332" customFormat="1" customHeight="1" ht="17.25">
      <c r="A183" s="1999"/>
      <c r="C183" s="2004"/>
      <c r="D183" s="1989"/>
      <c r="E183" s="2006"/>
      <c r="F183" s="1943"/>
      <c r="G183" s="2007"/>
      <c r="H183" s="2577"/>
      <c r="I183" s="2577"/>
      <c r="J183" s="2603"/>
      <c r="K183" s="2259"/>
      <c r="L183" s="2196"/>
      <c r="M183" s="2196"/>
      <c r="N183" s="2601"/>
      <c r="O183" s="2259"/>
      <c r="P183" s="2196"/>
      <c r="Q183" s="2196"/>
      <c r="R183" s="2582"/>
      <c r="S183" s="2456"/>
      <c r="T183" s="1594"/>
      <c r="U183" s="1595"/>
      <c r="V183" s="1595"/>
      <c r="W183" s="2603"/>
      <c r="Y183" s="1418"/>
      <c r="Z183" s="1418"/>
      <c r="AA183" s="1418"/>
      <c r="AB183" s="1418"/>
      <c r="AC183" s="1418"/>
      <c r="AD183" s="1418"/>
      <c r="AE183" s="1418"/>
      <c r="AF183" s="1418"/>
      <c r="AG183" s="1418"/>
      <c r="AH183" s="1418"/>
      <c r="AI183" s="1418"/>
      <c r="AJ183" s="1418"/>
      <c r="AK183" s="1418"/>
    </row>
    <row s="10332" customFormat="1" customHeight="1" ht="17.25">
      <c r="A184" s="1999"/>
      <c r="C184" s="2004"/>
      <c r="D184" s="1989"/>
      <c r="E184" s="2006"/>
      <c r="F184" s="1943"/>
      <c r="G184" s="2007"/>
      <c r="H184" s="2578"/>
      <c r="I184" s="2578"/>
      <c r="J184" s="2604"/>
      <c r="K184" s="2259"/>
      <c r="L184" s="2578"/>
      <c r="M184" s="2578"/>
      <c r="N184" s="2602"/>
      <c r="O184" s="2200"/>
      <c r="P184" s="471"/>
      <c r="Q184" s="472"/>
      <c r="R184" s="472" t="s">
        <v>251</v>
      </c>
      <c r="S184" s="2005"/>
      <c r="T184" s="2005"/>
      <c r="U184" s="2005"/>
      <c r="V184" s="2005"/>
      <c r="W184" s="1592"/>
      <c r="Y184" s="1418"/>
      <c r="Z184" s="1418"/>
      <c r="AA184" s="1418"/>
      <c r="AB184" s="1418"/>
      <c r="AC184" s="1418"/>
      <c r="AD184" s="1418"/>
      <c r="AE184" s="1418"/>
      <c r="AF184" s="1418"/>
      <c r="AG184" s="1418"/>
      <c r="AH184" s="1418"/>
      <c r="AI184" s="1418"/>
      <c r="AJ184" s="1418"/>
      <c r="AK184" s="1418"/>
    </row>
    <row s="10332" customFormat="1" customHeight="1" ht="17.25">
      <c r="A185" s="1999"/>
      <c r="C185" s="2004"/>
      <c r="D185" s="1989"/>
      <c r="E185" s="2006"/>
      <c r="F185" s="1943"/>
      <c r="G185" s="2007"/>
      <c r="H185" s="2578"/>
      <c r="I185" s="2578"/>
      <c r="J185" s="2604"/>
      <c r="K185" s="2200"/>
      <c r="L185" s="471"/>
      <c r="M185" s="472"/>
      <c r="N185" s="472" t="s">
        <v>252</v>
      </c>
      <c r="O185" s="472"/>
      <c r="P185" s="472"/>
      <c r="Q185" s="472"/>
      <c r="R185" s="472"/>
      <c r="S185" s="2005"/>
      <c r="T185" s="2005"/>
      <c r="U185" s="2005"/>
      <c r="V185" s="2005"/>
      <c r="W185" s="473"/>
      <c r="Y185" s="1418"/>
      <c r="Z185" s="1418"/>
      <c r="AA185" s="1418"/>
      <c r="AB185" s="1418"/>
      <c r="AC185" s="1418"/>
      <c r="AD185" s="1418"/>
      <c r="AE185" s="1418"/>
      <c r="AF185" s="1418"/>
      <c r="AG185" s="1418"/>
      <c r="AH185" s="1418"/>
      <c r="AI185" s="1418"/>
      <c r="AJ185" s="1418"/>
      <c r="AK185" s="1418"/>
    </row>
    <row customHeight="1" ht="17.25">
      <c r="A186" s="2010"/>
    </row>
    <row s="10332" customFormat="1" customHeight="1" ht="17.25">
      <c r="A187" s="1999"/>
      <c r="C187" s="2001"/>
      <c r="D187" s="1989"/>
      <c r="E187" s="2006"/>
      <c r="F187" s="1943"/>
      <c r="G187" s="2007"/>
      <c r="H187" s="1989"/>
      <c r="I187" s="1989"/>
      <c r="J187" s="2011"/>
      <c r="K187" s="2007"/>
      <c r="L187" s="2196"/>
      <c r="M187" s="2196" t="s">
        <v>106</v>
      </c>
      <c r="N187" s="2601" t="str">
        <f>IF(Z187="","",INDEX(TERRITORY_MR_LIST,MATCH(Z187,TERRITORY_LIST_ID,0)))</f>
        <v/>
      </c>
      <c r="O187" s="2258" t="s">
        <v>64</v>
      </c>
      <c r="P187" s="2196"/>
      <c r="Q187" s="2196" t="s">
        <v>106</v>
      </c>
      <c r="R187" s="2582" t="s">
        <v>24</v>
      </c>
      <c r="S187" s="2456" t="s">
        <v>54</v>
      </c>
      <c r="T187" s="1961"/>
      <c r="U187" s="1961" t="s">
        <v>106</v>
      </c>
      <c r="V187" s="1593"/>
      <c r="W187" s="2603"/>
      <c r="Y187" s="1426"/>
      <c r="Z187" s="1426"/>
      <c r="AA187" s="1426"/>
      <c r="AB187" s="1426"/>
      <c r="AC187" s="1426"/>
      <c r="AD187" s="1426"/>
      <c r="AE187" s="1426"/>
      <c r="AF187" s="1426"/>
      <c r="AG187" s="1426"/>
      <c r="AH187" s="1426"/>
      <c r="AI187" s="1426"/>
      <c r="AJ187" s="1426"/>
      <c r="AK187" s="1426"/>
      <c r="AL187" s="2003"/>
      <c r="AM187" s="2003"/>
      <c r="AN187" s="1426"/>
      <c r="AO187" s="1426"/>
      <c r="AP187" s="1426"/>
      <c r="AQ187" s="1426"/>
    </row>
    <row s="10332" customFormat="1" customHeight="1" ht="17.25">
      <c r="A188" s="1999"/>
      <c r="C188" s="2004"/>
      <c r="D188" s="1989"/>
      <c r="E188" s="2006"/>
      <c r="F188" s="1943"/>
      <c r="G188" s="2007"/>
      <c r="H188" s="1989"/>
      <c r="I188" s="1989"/>
      <c r="J188" s="2011"/>
      <c r="K188" s="2007"/>
      <c r="L188" s="2196"/>
      <c r="M188" s="2196"/>
      <c r="N188" s="2601"/>
      <c r="O188" s="2259"/>
      <c r="P188" s="2196"/>
      <c r="Q188" s="2196"/>
      <c r="R188" s="2582"/>
      <c r="S188" s="2456"/>
      <c r="T188" s="1594"/>
      <c r="U188" s="1595"/>
      <c r="V188" s="1595"/>
      <c r="W188" s="2603"/>
      <c r="Y188" s="1418"/>
      <c r="Z188" s="1418"/>
      <c r="AA188" s="1418"/>
      <c r="AB188" s="1418"/>
      <c r="AC188" s="1418"/>
      <c r="AD188" s="1418"/>
      <c r="AE188" s="1418"/>
      <c r="AF188" s="1418"/>
      <c r="AG188" s="1418"/>
      <c r="AH188" s="1418"/>
      <c r="AI188" s="1418"/>
      <c r="AJ188" s="1418"/>
      <c r="AK188" s="1418"/>
    </row>
    <row s="10332" customFormat="1" customHeight="1" ht="17.25">
      <c r="A189" s="1999"/>
      <c r="C189" s="2004"/>
      <c r="D189" s="1989"/>
      <c r="E189" s="2006"/>
      <c r="F189" s="1943"/>
      <c r="G189" s="2007"/>
      <c r="H189" s="1989"/>
      <c r="I189" s="1989"/>
      <c r="J189" s="2011"/>
      <c r="K189" s="2007"/>
      <c r="L189" s="2578"/>
      <c r="M189" s="2578"/>
      <c r="N189" s="2602"/>
      <c r="O189" s="2200"/>
      <c r="P189" s="471"/>
      <c r="Q189" s="472"/>
      <c r="R189" s="472" t="s">
        <v>251</v>
      </c>
      <c r="S189" s="2005"/>
      <c r="T189" s="2005"/>
      <c r="U189" s="2005"/>
      <c r="V189" s="2005"/>
      <c r="W189" s="1592"/>
      <c r="Y189" s="1418"/>
      <c r="Z189" s="1418"/>
      <c r="AA189" s="1418"/>
      <c r="AB189" s="1418"/>
      <c r="AC189" s="1418"/>
      <c r="AD189" s="1418"/>
      <c r="AE189" s="1418"/>
      <c r="AF189" s="1418"/>
      <c r="AG189" s="1418"/>
      <c r="AH189" s="1418"/>
      <c r="AI189" s="1418"/>
      <c r="AJ189" s="1418"/>
      <c r="AK189" s="1418"/>
    </row>
    <row customHeight="1" ht="17.25">
      <c r="A190" s="2010"/>
    </row>
    <row s="10332" customFormat="1" customHeight="1" ht="17.25">
      <c r="A191" s="1999"/>
      <c r="C191" s="2001"/>
      <c r="D191" s="1989"/>
      <c r="E191" s="2006"/>
      <c r="F191" s="1943"/>
      <c r="G191" s="2007"/>
      <c r="H191" s="1989"/>
      <c r="I191" s="1989"/>
      <c r="J191" s="2011"/>
      <c r="K191" s="2007"/>
      <c r="L191" s="1989"/>
      <c r="M191" s="1989"/>
      <c r="N191" s="2009"/>
      <c r="O191" s="1946"/>
      <c r="P191" s="2196"/>
      <c r="Q191" s="2196" t="s">
        <v>106</v>
      </c>
      <c r="R191" s="2582" t="s">
        <v>24</v>
      </c>
      <c r="S191" s="2456" t="s">
        <v>54</v>
      </c>
      <c r="T191" s="1961"/>
      <c r="U191" s="1961" t="s">
        <v>106</v>
      </c>
      <c r="V191" s="1593"/>
      <c r="W191" s="2603"/>
      <c r="Y191" s="1426"/>
      <c r="Z191" s="1426"/>
      <c r="AA191" s="1426"/>
      <c r="AB191" s="1426"/>
      <c r="AC191" s="1426"/>
      <c r="AD191" s="1426"/>
      <c r="AE191" s="1426"/>
      <c r="AF191" s="1426"/>
      <c r="AG191" s="1426"/>
      <c r="AH191" s="1426"/>
      <c r="AI191" s="1426"/>
      <c r="AJ191" s="1426"/>
      <c r="AK191" s="1426"/>
      <c r="AL191" s="2003"/>
      <c r="AM191" s="2003"/>
      <c r="AN191" s="1426"/>
      <c r="AO191" s="1426"/>
      <c r="AP191" s="1426"/>
      <c r="AQ191" s="1426"/>
    </row>
    <row s="10332" customFormat="1" customHeight="1" ht="17.25">
      <c r="A192" s="1999"/>
      <c r="C192" s="2004"/>
      <c r="D192" s="1989"/>
      <c r="E192" s="2006"/>
      <c r="F192" s="1943"/>
      <c r="G192" s="2007"/>
      <c r="H192" s="1989"/>
      <c r="I192" s="1989"/>
      <c r="J192" s="2011"/>
      <c r="K192" s="2007"/>
      <c r="L192" s="1989"/>
      <c r="M192" s="1989"/>
      <c r="N192" s="2009"/>
      <c r="O192" s="1946"/>
      <c r="P192" s="2196"/>
      <c r="Q192" s="2196"/>
      <c r="R192" s="2582"/>
      <c r="S192" s="2456"/>
      <c r="T192" s="1594"/>
      <c r="U192" s="1595"/>
      <c r="V192" s="1595"/>
      <c r="W192" s="2603"/>
      <c r="Y192" s="1418"/>
      <c r="Z192" s="1418"/>
      <c r="AA192" s="1418"/>
      <c r="AB192" s="1418"/>
      <c r="AC192" s="1418"/>
      <c r="AD192" s="1418"/>
      <c r="AE192" s="1418"/>
      <c r="AF192" s="1418"/>
      <c r="AG192" s="1418"/>
      <c r="AH192" s="1418"/>
      <c r="AI192" s="1418"/>
      <c r="AJ192" s="1418"/>
      <c r="AK192" s="1418"/>
    </row>
    <row customHeight="1" ht="17.25">
      <c r="A193" s="2010"/>
    </row>
    <row customHeight="1" ht="16.5">
      <c r="A194" s="1999"/>
      <c r="B194" s="2000"/>
      <c r="C194" s="2004"/>
      <c r="D194" s="2614"/>
      <c r="E194" s="2255"/>
      <c r="F194" s="2255"/>
      <c r="G194" s="2185"/>
      <c r="H194" s="2615"/>
      <c r="I194" s="2605"/>
      <c r="J194" s="2220"/>
      <c r="K194" s="2203"/>
      <c r="L194" s="2203"/>
      <c r="M194" s="2203"/>
      <c r="N194" s="2597"/>
      <c r="O194" s="2203"/>
      <c r="P194" s="2203"/>
      <c r="Q194" s="2203"/>
      <c r="R194" s="2607"/>
      <c r="S194" s="2203"/>
      <c r="T194" s="1942"/>
      <c r="U194" s="1942"/>
      <c r="V194" s="2012"/>
      <c r="W194" s="1455"/>
    </row>
    <row customHeight="1" ht="16.5">
      <c r="A195" s="1999"/>
      <c r="B195" s="2000"/>
      <c r="C195" s="2004"/>
      <c r="D195" s="2614"/>
      <c r="E195" s="2255"/>
      <c r="F195" s="2255"/>
      <c r="G195" s="2185"/>
      <c r="H195" s="2616"/>
      <c r="I195" s="2606"/>
      <c r="J195" s="2221"/>
      <c r="K195" s="2204"/>
      <c r="L195" s="2204"/>
      <c r="M195" s="2204"/>
      <c r="N195" s="2598"/>
      <c r="O195" s="2204"/>
      <c r="P195" s="2204"/>
      <c r="Q195" s="2204"/>
      <c r="R195" s="2599"/>
      <c r="S195" s="2204"/>
      <c r="T195" s="1456"/>
      <c r="U195" s="1456"/>
      <c r="V195" s="1456"/>
      <c r="W195" s="1457"/>
    </row>
    <row customHeight="1" ht="17.25">
      <c r="A196" s="1999"/>
      <c r="B196" s="2000"/>
      <c r="C196" s="2004"/>
      <c r="D196" s="2614"/>
      <c r="E196" s="2255"/>
      <c r="F196" s="2255"/>
      <c r="G196" s="2185"/>
      <c r="H196" s="2616"/>
      <c r="I196" s="2606"/>
      <c r="J196" s="2617"/>
      <c r="K196" s="2204"/>
      <c r="L196" s="2204"/>
      <c r="M196" s="2204"/>
      <c r="N196" s="2599"/>
      <c r="O196" s="2204"/>
      <c r="P196" s="1945"/>
      <c r="Q196" s="1456"/>
      <c r="R196" s="1456"/>
      <c r="S196" s="2013"/>
      <c r="T196" s="2013"/>
      <c r="U196" s="2013"/>
      <c r="V196" s="2013"/>
      <c r="W196" s="1457"/>
    </row>
    <row customHeight="1" ht="17.25">
      <c r="A197" s="1999"/>
      <c r="B197" s="2000"/>
      <c r="C197" s="2004"/>
      <c r="D197" s="2614"/>
      <c r="E197" s="2255"/>
      <c r="F197" s="2255"/>
      <c r="G197" s="2185"/>
      <c r="H197" s="2616"/>
      <c r="I197" s="2606"/>
      <c r="J197" s="2617"/>
      <c r="K197" s="2204"/>
      <c r="L197" s="1456"/>
      <c r="M197" s="1456"/>
      <c r="N197" s="1456"/>
      <c r="O197" s="1456"/>
      <c r="P197" s="1456"/>
      <c r="Q197" s="1456"/>
      <c r="R197" s="1456"/>
      <c r="S197" s="2013"/>
      <c r="T197" s="2013"/>
      <c r="U197" s="2013"/>
      <c r="V197" s="2013"/>
      <c r="W197" s="1457"/>
    </row>
    <row customHeight="1" ht="17.25">
      <c r="A198" s="1999"/>
      <c r="B198" s="2000"/>
      <c r="C198" s="2004"/>
      <c r="D198" s="2614"/>
      <c r="E198" s="2255"/>
      <c r="F198" s="2255"/>
      <c r="G198" s="2185"/>
      <c r="H198" s="1458"/>
      <c r="I198" s="1459"/>
      <c r="J198" s="1459"/>
      <c r="K198" s="1459"/>
      <c r="L198" s="1459"/>
      <c r="M198" s="1459"/>
      <c r="N198" s="1459"/>
      <c r="O198" s="1459"/>
      <c r="P198" s="1459"/>
      <c r="Q198" s="1459"/>
      <c r="R198" s="1459"/>
      <c r="S198" s="2014"/>
      <c r="T198" s="2014"/>
      <c r="U198" s="2014"/>
      <c r="V198" s="2014"/>
      <c r="W198" s="1461"/>
    </row>
    <row r="200" s="10136" customFormat="1" customHeight="1" ht="17.25">
      <c r="A200" s="1974" t="s">
        <v>1855</v>
      </c>
    </row>
    <row customHeight="1" ht="17.25">
      <c r="G201" s="1998"/>
      <c r="H201" s="1998"/>
      <c r="I201" s="1998"/>
      <c r="M201" s="1994"/>
    </row>
    <row s="8053" customFormat="1" customHeight="1" ht="15">
      <c r="D202" s="2633"/>
      <c r="E202" s="2250"/>
      <c r="F202" s="2250"/>
      <c r="G202" s="2258"/>
      <c r="H202" s="1723"/>
      <c r="I202" s="2634">
        <v>1</v>
      </c>
      <c r="J202" s="2603"/>
      <c r="K202" s="1738"/>
      <c r="L202" s="2258" t="s">
        <v>64</v>
      </c>
      <c r="M202" s="2258" t="s">
        <v>64</v>
      </c>
      <c r="N202" s="1723"/>
      <c r="O202" s="2196" t="s">
        <v>106</v>
      </c>
      <c r="P202" s="2628"/>
      <c r="Q202" s="1739"/>
      <c r="R202" s="2258" t="s">
        <v>64</v>
      </c>
      <c r="S202" s="2258" t="s">
        <v>64</v>
      </c>
      <c r="T202" s="2015"/>
      <c r="U202" s="2196" t="s">
        <v>106</v>
      </c>
      <c r="V202" s="2630" t="str">
        <f>IF(AK202="","",INDEX(TERRITORY_MR_LIST,MATCH(AK202,TERRITORY_LIST_ID,0)))</f>
        <v/>
      </c>
      <c r="W202" s="1740"/>
      <c r="X202" s="2258" t="s">
        <v>64</v>
      </c>
      <c r="Y202" s="2258" t="s">
        <v>54</v>
      </c>
      <c r="Z202" s="1723"/>
      <c r="AA202" s="2196" t="s">
        <v>106</v>
      </c>
      <c r="AB202" s="2632"/>
      <c r="AC202" s="1741"/>
      <c r="AD202" s="2258" t="s">
        <v>64</v>
      </c>
      <c r="AE202" s="2258" t="s">
        <v>54</v>
      </c>
      <c r="AF202" s="1721"/>
      <c r="AG202" s="1970" t="s">
        <v>106</v>
      </c>
      <c r="AH202" s="1731"/>
      <c r="AI202" s="1960"/>
    </row>
    <row s="8053" customFormat="1" customHeight="1" ht="15">
      <c r="D203" s="2633"/>
      <c r="E203" s="2250"/>
      <c r="F203" s="2250"/>
      <c r="G203" s="2259"/>
      <c r="H203" s="1723"/>
      <c r="I203" s="2634"/>
      <c r="J203" s="2603"/>
      <c r="K203" s="1722"/>
      <c r="L203" s="2259"/>
      <c r="M203" s="2259"/>
      <c r="N203" s="1723"/>
      <c r="O203" s="2196"/>
      <c r="P203" s="2628"/>
      <c r="Q203" s="1719"/>
      <c r="R203" s="2259"/>
      <c r="S203" s="2259"/>
      <c r="T203" s="2015"/>
      <c r="U203" s="2196"/>
      <c r="V203" s="2631"/>
      <c r="W203" s="1720"/>
      <c r="X203" s="2259"/>
      <c r="Y203" s="2259"/>
      <c r="Z203" s="1723"/>
      <c r="AA203" s="2196"/>
      <c r="AB203" s="2549"/>
      <c r="AC203" s="1724"/>
      <c r="AD203" s="2200"/>
      <c r="AE203" s="2200"/>
      <c r="AF203" s="1725"/>
      <c r="AG203" s="1726"/>
      <c r="AH203" s="2636" t="s">
        <v>1856</v>
      </c>
      <c r="AI203" s="2637"/>
    </row>
    <row s="8053" customFormat="1" customHeight="1" ht="15">
      <c r="D204" s="2633"/>
      <c r="E204" s="2250"/>
      <c r="F204" s="2250"/>
      <c r="G204" s="2259"/>
      <c r="H204" s="1723"/>
      <c r="I204" s="2634"/>
      <c r="J204" s="2603"/>
      <c r="K204" s="1722"/>
      <c r="L204" s="2259"/>
      <c r="M204" s="2259"/>
      <c r="N204" s="1723"/>
      <c r="O204" s="2196"/>
      <c r="P204" s="2628"/>
      <c r="Q204" s="1719"/>
      <c r="R204" s="2259"/>
      <c r="S204" s="2259"/>
      <c r="T204" s="2015"/>
      <c r="U204" s="2196"/>
      <c r="V204" s="2631"/>
      <c r="W204" s="1720"/>
      <c r="X204" s="2259"/>
      <c r="Y204" s="2259"/>
      <c r="Z204" s="1762"/>
      <c r="AA204" s="1728"/>
      <c r="AB204" s="2638" t="s">
        <v>1857</v>
      </c>
      <c r="AC204" s="2638"/>
      <c r="AD204" s="2638"/>
      <c r="AE204" s="2638"/>
      <c r="AF204" s="2638"/>
      <c r="AG204" s="2638"/>
      <c r="AH204" s="2638"/>
      <c r="AI204" s="2639"/>
    </row>
    <row s="8053" customFormat="1" customHeight="1" ht="15">
      <c r="D205" s="2633"/>
      <c r="E205" s="2250"/>
      <c r="F205" s="2250"/>
      <c r="G205" s="2259"/>
      <c r="H205" s="1723"/>
      <c r="I205" s="2634"/>
      <c r="J205" s="2603"/>
      <c r="K205" s="1722"/>
      <c r="L205" s="2259"/>
      <c r="M205" s="2259"/>
      <c r="N205" s="1723"/>
      <c r="O205" s="2196"/>
      <c r="P205" s="2640"/>
      <c r="Q205" s="1719"/>
      <c r="R205" s="2259"/>
      <c r="S205" s="2259"/>
      <c r="T205" s="2016"/>
      <c r="U205" s="1763"/>
      <c r="V205" s="2636" t="s">
        <v>100</v>
      </c>
      <c r="W205" s="2636"/>
      <c r="X205" s="2636"/>
      <c r="Y205" s="2636"/>
      <c r="Z205" s="2636"/>
      <c r="AA205" s="2636"/>
      <c r="AB205" s="2636"/>
      <c r="AC205" s="2636"/>
      <c r="AD205" s="2636"/>
      <c r="AE205" s="2636"/>
      <c r="AF205" s="2636"/>
      <c r="AG205" s="2636"/>
      <c r="AH205" s="2636"/>
      <c r="AI205" s="2637"/>
    </row>
    <row s="8053" customFormat="1" customHeight="1" ht="11.25">
      <c r="D206" s="2633"/>
      <c r="E206" s="2250"/>
      <c r="F206" s="2250"/>
      <c r="G206" s="2259"/>
      <c r="H206" s="1727"/>
      <c r="I206" s="2634"/>
      <c r="J206" s="2635"/>
      <c r="K206" s="1722"/>
      <c r="L206" s="2259"/>
      <c r="M206" s="2259"/>
      <c r="N206" s="1727"/>
      <c r="O206" s="1728"/>
      <c r="P206" s="2636" t="s">
        <v>1858</v>
      </c>
      <c r="Q206" s="2636"/>
      <c r="R206" s="2636"/>
      <c r="S206" s="2636"/>
      <c r="T206" s="2636"/>
      <c r="U206" s="2636"/>
      <c r="V206" s="2636"/>
      <c r="W206" s="2636"/>
      <c r="X206" s="2636"/>
      <c r="Y206" s="2636"/>
      <c r="Z206" s="2636"/>
      <c r="AA206" s="2636"/>
      <c r="AB206" s="2636"/>
      <c r="AC206" s="2636"/>
      <c r="AD206" s="2636"/>
      <c r="AE206" s="2636"/>
      <c r="AF206" s="2636"/>
      <c r="AG206" s="2636"/>
      <c r="AH206" s="2636"/>
      <c r="AI206" s="2637"/>
    </row>
    <row s="8351" customFormat="1" customHeight="1" ht="11.25">
      <c r="D207" s="2633"/>
      <c r="E207" s="2250"/>
      <c r="F207" s="2250"/>
      <c r="G207" s="2200"/>
      <c r="H207" s="1729"/>
      <c r="I207" s="1730"/>
      <c r="J207" s="2636" t="s">
        <v>253</v>
      </c>
      <c r="K207" s="2636"/>
      <c r="L207" s="2636"/>
      <c r="M207" s="2636"/>
      <c r="N207" s="2636"/>
      <c r="O207" s="2636"/>
      <c r="P207" s="2636"/>
      <c r="Q207" s="2636"/>
      <c r="R207" s="2636"/>
      <c r="S207" s="2636"/>
      <c r="T207" s="2636"/>
      <c r="U207" s="2636"/>
      <c r="V207" s="2636"/>
      <c r="W207" s="2636"/>
      <c r="X207" s="2636"/>
      <c r="Y207" s="2636"/>
      <c r="Z207" s="2636"/>
      <c r="AA207" s="2636"/>
      <c r="AB207" s="2636"/>
      <c r="AC207" s="2636"/>
      <c r="AD207" s="2636"/>
      <c r="AE207" s="2636"/>
      <c r="AF207" s="2636"/>
      <c r="AG207" s="2636"/>
      <c r="AH207" s="2636"/>
      <c r="AI207" s="2637"/>
      <c r="BK207" s="1733"/>
    </row>
    <row customHeight="1" ht="17.25">
      <c r="G208" s="1998"/>
      <c r="I208" s="1998"/>
      <c r="J208" s="1998"/>
      <c r="N208" s="1994"/>
    </row>
    <row s="8053" customFormat="1" customHeight="1" ht="15">
      <c r="D209" s="2633"/>
      <c r="E209" s="2250"/>
      <c r="F209" s="2250"/>
      <c r="G209" s="2255"/>
      <c r="H209" s="1758"/>
      <c r="I209" s="2260"/>
      <c r="J209" s="2220"/>
      <c r="K209" s="1944"/>
      <c r="L209" s="2203"/>
      <c r="M209" s="2203"/>
      <c r="N209" s="1743"/>
      <c r="O209" s="2203"/>
      <c r="P209" s="2220"/>
      <c r="Q209" s="1948"/>
      <c r="R209" s="2203"/>
      <c r="S209" s="2203"/>
      <c r="T209" s="2017"/>
      <c r="U209" s="2203"/>
      <c r="V209" s="2220"/>
      <c r="W209" s="1746"/>
      <c r="X209" s="2203"/>
      <c r="Y209" s="2203"/>
      <c r="Z209" s="1743"/>
      <c r="AA209" s="2203"/>
      <c r="AB209" s="2220"/>
      <c r="AC209" s="1747"/>
      <c r="AD209" s="2203"/>
      <c r="AE209" s="2203"/>
      <c r="AF209" s="1942"/>
      <c r="AG209" s="1942"/>
      <c r="AH209" s="1748"/>
      <c r="AI209" s="1455"/>
    </row>
    <row s="8053" customFormat="1" customHeight="1" ht="15">
      <c r="D210" s="2633"/>
      <c r="E210" s="2250"/>
      <c r="F210" s="2250"/>
      <c r="G210" s="2255"/>
      <c r="H210" s="1759"/>
      <c r="I210" s="2261"/>
      <c r="J210" s="2221"/>
      <c r="K210" s="1769"/>
      <c r="L210" s="2204"/>
      <c r="M210" s="2204"/>
      <c r="N210" s="1749"/>
      <c r="O210" s="2204"/>
      <c r="P210" s="2221"/>
      <c r="Q210" s="1949"/>
      <c r="R210" s="2204"/>
      <c r="S210" s="2204"/>
      <c r="T210" s="2018"/>
      <c r="U210" s="2204"/>
      <c r="V210" s="2221"/>
      <c r="W210" s="1752"/>
      <c r="X210" s="2204"/>
      <c r="Y210" s="2204"/>
      <c r="Z210" s="1749"/>
      <c r="AA210" s="2204"/>
      <c r="AB210" s="2221"/>
      <c r="AC210" s="1753"/>
      <c r="AD210" s="2204"/>
      <c r="AE210" s="2204"/>
      <c r="AF210" s="1947"/>
      <c r="AG210" s="1947"/>
      <c r="AH210" s="2264"/>
      <c r="AI210" s="2265"/>
    </row>
    <row s="8053" customFormat="1" customHeight="1" ht="15">
      <c r="D211" s="2633"/>
      <c r="E211" s="2250"/>
      <c r="F211" s="2250"/>
      <c r="G211" s="2255"/>
      <c r="H211" s="1759"/>
      <c r="I211" s="2261"/>
      <c r="J211" s="2221"/>
      <c r="K211" s="1769"/>
      <c r="L211" s="2204"/>
      <c r="M211" s="2204"/>
      <c r="N211" s="1749"/>
      <c r="O211" s="2204"/>
      <c r="P211" s="2221"/>
      <c r="Q211" s="1949"/>
      <c r="R211" s="2204"/>
      <c r="S211" s="2204"/>
      <c r="T211" s="2018"/>
      <c r="U211" s="2204"/>
      <c r="V211" s="2221"/>
      <c r="W211" s="1752"/>
      <c r="X211" s="2204"/>
      <c r="Y211" s="2204"/>
      <c r="Z211" s="1945"/>
      <c r="AA211" s="1947"/>
      <c r="AB211" s="2264"/>
      <c r="AC211" s="2264"/>
      <c r="AD211" s="2264"/>
      <c r="AE211" s="2264"/>
      <c r="AF211" s="2264"/>
      <c r="AG211" s="2264"/>
      <c r="AH211" s="2264"/>
      <c r="AI211" s="2265"/>
    </row>
    <row s="8053" customFormat="1" customHeight="1" ht="15">
      <c r="D212" s="2633"/>
      <c r="E212" s="2250"/>
      <c r="F212" s="2250"/>
      <c r="G212" s="2255"/>
      <c r="H212" s="1759"/>
      <c r="I212" s="2261"/>
      <c r="J212" s="2221"/>
      <c r="K212" s="1769"/>
      <c r="L212" s="2204"/>
      <c r="M212" s="2204"/>
      <c r="N212" s="1749"/>
      <c r="O212" s="2204"/>
      <c r="P212" s="2221"/>
      <c r="Q212" s="1949"/>
      <c r="R212" s="2204"/>
      <c r="S212" s="2204"/>
      <c r="T212" s="2019"/>
      <c r="U212" s="1756"/>
      <c r="V212" s="2264"/>
      <c r="W212" s="2264"/>
      <c r="X212" s="2264"/>
      <c r="Y212" s="2264"/>
      <c r="Z212" s="2264"/>
      <c r="AA212" s="2264"/>
      <c r="AB212" s="2264"/>
      <c r="AC212" s="2264"/>
      <c r="AD212" s="2264"/>
      <c r="AE212" s="2264"/>
      <c r="AF212" s="2264"/>
      <c r="AG212" s="2264"/>
      <c r="AH212" s="2264"/>
      <c r="AI212" s="2265"/>
    </row>
    <row s="8053" customFormat="1" customHeight="1" ht="11.25">
      <c r="D213" s="2633"/>
      <c r="E213" s="2250"/>
      <c r="F213" s="2250"/>
      <c r="G213" s="2255"/>
      <c r="H213" s="1760"/>
      <c r="I213" s="2261"/>
      <c r="J213" s="2221"/>
      <c r="K213" s="1769"/>
      <c r="L213" s="2204"/>
      <c r="M213" s="2204"/>
      <c r="N213" s="1947"/>
      <c r="O213" s="1947"/>
      <c r="P213" s="2264"/>
      <c r="Q213" s="2264"/>
      <c r="R213" s="2264"/>
      <c r="S213" s="2264"/>
      <c r="T213" s="2264"/>
      <c r="U213" s="2264"/>
      <c r="V213" s="2264"/>
      <c r="W213" s="2264"/>
      <c r="X213" s="2264"/>
      <c r="Y213" s="2264"/>
      <c r="Z213" s="2264"/>
      <c r="AA213" s="2264"/>
      <c r="AB213" s="2264"/>
      <c r="AC213" s="2264"/>
      <c r="AD213" s="2264"/>
      <c r="AE213" s="2264"/>
      <c r="AF213" s="2264"/>
      <c r="AG213" s="2264"/>
      <c r="AH213" s="2264"/>
      <c r="AI213" s="2265"/>
    </row>
    <row s="8351" customFormat="1" customHeight="1" ht="11.25">
      <c r="D214" s="2633"/>
      <c r="E214" s="2250"/>
      <c r="F214" s="2250"/>
      <c r="G214" s="2266"/>
      <c r="H214" s="1757"/>
      <c r="I214" s="1761"/>
      <c r="J214" s="2262"/>
      <c r="K214" s="2262"/>
      <c r="L214" s="2262"/>
      <c r="M214" s="2262"/>
      <c r="N214" s="2262"/>
      <c r="O214" s="2262"/>
      <c r="P214" s="2262"/>
      <c r="Q214" s="2262"/>
      <c r="R214" s="2262"/>
      <c r="S214" s="2262"/>
      <c r="T214" s="2262"/>
      <c r="U214" s="2262"/>
      <c r="V214" s="2262"/>
      <c r="W214" s="2262"/>
      <c r="X214" s="2262"/>
      <c r="Y214" s="2262"/>
      <c r="Z214" s="2262"/>
      <c r="AA214" s="2262"/>
      <c r="AB214" s="2262"/>
      <c r="AC214" s="2262"/>
      <c r="AD214" s="2262"/>
      <c r="AE214" s="2262"/>
      <c r="AF214" s="2262"/>
      <c r="AG214" s="2262"/>
      <c r="AH214" s="2262"/>
      <c r="AI214" s="2263"/>
      <c r="BK214" s="1733"/>
    </row>
    <row customHeight="1" ht="17.25">
      <c r="A215" s="2010"/>
    </row>
  </sheetData>
  <sheetProtection formatColumns="0" formatRows="0" sort="0" autoFilter="0" insertRows="0" insertColumns="1" deleteRows="0" deleteColumns="0"/>
  <mergeCells count="287">
    <mergeCell ref="W176:W177"/>
    <mergeCell ref="O176:O178"/>
    <mergeCell ref="P176:P177"/>
    <mergeCell ref="Q176:Q177"/>
    <mergeCell ref="R176:R177"/>
    <mergeCell ref="S191:S192"/>
    <mergeCell ref="W191:W192"/>
    <mergeCell ref="W182:W183"/>
    <mergeCell ref="L187:L189"/>
    <mergeCell ref="M187:M189"/>
    <mergeCell ref="N187:N189"/>
    <mergeCell ref="O187:O189"/>
    <mergeCell ref="P187:P188"/>
    <mergeCell ref="Q187:Q188"/>
    <mergeCell ref="R187:R188"/>
    <mergeCell ref="S187:S188"/>
    <mergeCell ref="W187:W188"/>
    <mergeCell ref="AF101:AF105"/>
    <mergeCell ref="AG101:AG105"/>
    <mergeCell ref="AH101:AH105"/>
    <mergeCell ref="AI101:AI105"/>
    <mergeCell ref="AJ101:AJ105"/>
    <mergeCell ref="AK101:AK105"/>
    <mergeCell ref="N102:N104"/>
    <mergeCell ref="O102:O104"/>
    <mergeCell ref="P102:P104"/>
    <mergeCell ref="Q102:Q104"/>
    <mergeCell ref="R102:R104"/>
    <mergeCell ref="S102:S104"/>
    <mergeCell ref="T102:T104"/>
    <mergeCell ref="U102:U104"/>
    <mergeCell ref="V102:V104"/>
    <mergeCell ref="W102:W104"/>
    <mergeCell ref="X102:X104"/>
    <mergeCell ref="Y102:Y104"/>
    <mergeCell ref="V91:V93"/>
    <mergeCell ref="W91:W93"/>
    <mergeCell ref="X91:X93"/>
    <mergeCell ref="Y91:Y93"/>
    <mergeCell ref="H101:H105"/>
    <mergeCell ref="I101:I105"/>
    <mergeCell ref="J101:J105"/>
    <mergeCell ref="K101:K105"/>
    <mergeCell ref="L101:L105"/>
    <mergeCell ref="M101:M105"/>
    <mergeCell ref="AB209:AB210"/>
    <mergeCell ref="AD209:AD210"/>
    <mergeCell ref="AE209:AE210"/>
    <mergeCell ref="AH210:AI210"/>
    <mergeCell ref="AB211:AI211"/>
    <mergeCell ref="V212:AI212"/>
    <mergeCell ref="P213:AI213"/>
    <mergeCell ref="J214:AI214"/>
    <mergeCell ref="AD202:AD203"/>
    <mergeCell ref="AE202:AE203"/>
    <mergeCell ref="AH203:AI203"/>
    <mergeCell ref="AB204:AI204"/>
    <mergeCell ref="V205:AI205"/>
    <mergeCell ref="P206:AI206"/>
    <mergeCell ref="J207:AI207"/>
    <mergeCell ref="P209:P212"/>
    <mergeCell ref="R209:R212"/>
    <mergeCell ref="S209:S212"/>
    <mergeCell ref="U209:U211"/>
    <mergeCell ref="V209:V211"/>
    <mergeCell ref="X209:X211"/>
    <mergeCell ref="Y209:Y211"/>
    <mergeCell ref="AA209:AA210"/>
    <mergeCell ref="P202:P205"/>
    <mergeCell ref="D209:D214"/>
    <mergeCell ref="E209:E214"/>
    <mergeCell ref="F209:F214"/>
    <mergeCell ref="G209:G214"/>
    <mergeCell ref="I209:I213"/>
    <mergeCell ref="J209:J213"/>
    <mergeCell ref="L209:L213"/>
    <mergeCell ref="M209:M213"/>
    <mergeCell ref="O209:O212"/>
    <mergeCell ref="R202:R205"/>
    <mergeCell ref="S202:S205"/>
    <mergeCell ref="U202:U204"/>
    <mergeCell ref="V202:V204"/>
    <mergeCell ref="X202:X204"/>
    <mergeCell ref="Y202:Y204"/>
    <mergeCell ref="AA202:AA203"/>
    <mergeCell ref="AB202:AB203"/>
    <mergeCell ref="D202:D207"/>
    <mergeCell ref="E202:E207"/>
    <mergeCell ref="F202:F207"/>
    <mergeCell ref="G202:G207"/>
    <mergeCell ref="I202:I206"/>
    <mergeCell ref="J202:J206"/>
    <mergeCell ref="L202:L206"/>
    <mergeCell ref="M202:M206"/>
    <mergeCell ref="O202:O205"/>
    <mergeCell ref="D176:D180"/>
    <mergeCell ref="E176:E180"/>
    <mergeCell ref="F176:F180"/>
    <mergeCell ref="G176:G180"/>
    <mergeCell ref="H176:H179"/>
    <mergeCell ref="I176:I179"/>
    <mergeCell ref="J176:J179"/>
    <mergeCell ref="K176:K179"/>
    <mergeCell ref="L176:L178"/>
    <mergeCell ref="AJ82:AJ86"/>
    <mergeCell ref="AK82:AK86"/>
    <mergeCell ref="I87:K87"/>
    <mergeCell ref="F82:F87"/>
    <mergeCell ref="AF82:AF86"/>
    <mergeCell ref="AG82:AG86"/>
    <mergeCell ref="AH82:AH86"/>
    <mergeCell ref="AI82:AI86"/>
    <mergeCell ref="S83:S85"/>
    <mergeCell ref="T83:T85"/>
    <mergeCell ref="U83:U85"/>
    <mergeCell ref="V83:V85"/>
    <mergeCell ref="W83:W85"/>
    <mergeCell ref="X83:X85"/>
    <mergeCell ref="Y83:Y85"/>
    <mergeCell ref="H82:H86"/>
    <mergeCell ref="I82:I86"/>
    <mergeCell ref="J82:J86"/>
    <mergeCell ref="K82:K86"/>
    <mergeCell ref="L82:L86"/>
    <mergeCell ref="M82:M86"/>
    <mergeCell ref="N83:N85"/>
    <mergeCell ref="O83:O85"/>
    <mergeCell ref="Y72:Y73"/>
    <mergeCell ref="S72:S73"/>
    <mergeCell ref="T72:T73"/>
    <mergeCell ref="M72:M73"/>
    <mergeCell ref="N72:N73"/>
    <mergeCell ref="O72:O73"/>
    <mergeCell ref="Q72:Q73"/>
    <mergeCell ref="R72:R73"/>
    <mergeCell ref="W72:W73"/>
    <mergeCell ref="X72:X73"/>
    <mergeCell ref="P72:P73"/>
    <mergeCell ref="H128:R128"/>
    <mergeCell ref="E129:G129"/>
    <mergeCell ref="H129:R129"/>
    <mergeCell ref="E130:P130"/>
    <mergeCell ref="D194:D198"/>
    <mergeCell ref="I154:I157"/>
    <mergeCell ref="H194:H197"/>
    <mergeCell ref="J194:J197"/>
    <mergeCell ref="K194:K197"/>
    <mergeCell ref="M194:M196"/>
    <mergeCell ref="O194:O196"/>
    <mergeCell ref="P165:P166"/>
    <mergeCell ref="Q165:Q166"/>
    <mergeCell ref="R165:R166"/>
    <mergeCell ref="P169:P170"/>
    <mergeCell ref="Q169:Q170"/>
    <mergeCell ref="R169:R170"/>
    <mergeCell ref="P191:P192"/>
    <mergeCell ref="Q191:Q192"/>
    <mergeCell ref="R191:R192"/>
    <mergeCell ref="O160:O162"/>
    <mergeCell ref="P160:P161"/>
    <mergeCell ref="Q160:Q161"/>
    <mergeCell ref="R160:R161"/>
    <mergeCell ref="A13:A15"/>
    <mergeCell ref="D23:D25"/>
    <mergeCell ref="E23:E25"/>
    <mergeCell ref="F23:F25"/>
    <mergeCell ref="G23:G24"/>
    <mergeCell ref="H23:H24"/>
    <mergeCell ref="I23:I24"/>
    <mergeCell ref="J23:J24"/>
    <mergeCell ref="G29:G30"/>
    <mergeCell ref="H29:H30"/>
    <mergeCell ref="I29:I30"/>
    <mergeCell ref="J29:J30"/>
    <mergeCell ref="L194:L196"/>
    <mergeCell ref="S160:S161"/>
    <mergeCell ref="L165:L167"/>
    <mergeCell ref="M165:M167"/>
    <mergeCell ref="N165:N167"/>
    <mergeCell ref="O165:O167"/>
    <mergeCell ref="S165:S166"/>
    <mergeCell ref="Q194:Q195"/>
    <mergeCell ref="R194:R195"/>
    <mergeCell ref="S194:S195"/>
    <mergeCell ref="P194:P195"/>
    <mergeCell ref="S169:S170"/>
    <mergeCell ref="L182:L184"/>
    <mergeCell ref="M182:M184"/>
    <mergeCell ref="N182:N184"/>
    <mergeCell ref="O182:O184"/>
    <mergeCell ref="P182:P183"/>
    <mergeCell ref="Q182:Q183"/>
    <mergeCell ref="R182:R183"/>
    <mergeCell ref="S182:S183"/>
    <mergeCell ref="S176:S177"/>
    <mergeCell ref="L154:L156"/>
    <mergeCell ref="N194:N196"/>
    <mergeCell ref="E154:E158"/>
    <mergeCell ref="N154:N156"/>
    <mergeCell ref="J154:J157"/>
    <mergeCell ref="F154:F158"/>
    <mergeCell ref="E194:E198"/>
    <mergeCell ref="H154:H157"/>
    <mergeCell ref="G194:G198"/>
    <mergeCell ref="H160:H163"/>
    <mergeCell ref="I160:I163"/>
    <mergeCell ref="J160:J163"/>
    <mergeCell ref="K160:K163"/>
    <mergeCell ref="L160:L162"/>
    <mergeCell ref="M160:M162"/>
    <mergeCell ref="N160:N162"/>
    <mergeCell ref="F194:F198"/>
    <mergeCell ref="I194:I197"/>
    <mergeCell ref="M176:M178"/>
    <mergeCell ref="N176:N178"/>
    <mergeCell ref="H182:H185"/>
    <mergeCell ref="I182:I185"/>
    <mergeCell ref="J182:J185"/>
    <mergeCell ref="K182:K185"/>
    <mergeCell ref="H147:H148"/>
    <mergeCell ref="I147:I148"/>
    <mergeCell ref="J147:J148"/>
    <mergeCell ref="K147:K148"/>
    <mergeCell ref="AC115:AC120"/>
    <mergeCell ref="E116:G116"/>
    <mergeCell ref="H116:R116"/>
    <mergeCell ref="E117:G117"/>
    <mergeCell ref="E139:E142"/>
    <mergeCell ref="F139:F142"/>
    <mergeCell ref="G139:G142"/>
    <mergeCell ref="L139:M139"/>
    <mergeCell ref="S139:S142"/>
    <mergeCell ref="H140:H141"/>
    <mergeCell ref="I140:I141"/>
    <mergeCell ref="J140:J141"/>
    <mergeCell ref="K140:K141"/>
    <mergeCell ref="H117:R117"/>
    <mergeCell ref="E118:P118"/>
    <mergeCell ref="U118:U120"/>
    <mergeCell ref="V118:V120"/>
    <mergeCell ref="E121:P121"/>
    <mergeCell ref="AC127:AC132"/>
    <mergeCell ref="E128:G128"/>
    <mergeCell ref="V121:V123"/>
    <mergeCell ref="D154:D158"/>
    <mergeCell ref="L72:L73"/>
    <mergeCell ref="G82:G86"/>
    <mergeCell ref="U133:U135"/>
    <mergeCell ref="V133:V135"/>
    <mergeCell ref="O154:O156"/>
    <mergeCell ref="S154:S155"/>
    <mergeCell ref="U72:U73"/>
    <mergeCell ref="V72:V73"/>
    <mergeCell ref="U130:U132"/>
    <mergeCell ref="V130:V132"/>
    <mergeCell ref="P154:P155"/>
    <mergeCell ref="Q154:Q155"/>
    <mergeCell ref="R154:R155"/>
    <mergeCell ref="G154:G158"/>
    <mergeCell ref="K154:K157"/>
    <mergeCell ref="D127:D135"/>
    <mergeCell ref="E127:G127"/>
    <mergeCell ref="H127:R127"/>
    <mergeCell ref="D115:D123"/>
    <mergeCell ref="E115:G115"/>
    <mergeCell ref="H115:R115"/>
    <mergeCell ref="M154:M156"/>
    <mergeCell ref="A47:A51"/>
    <mergeCell ref="C47:C51"/>
    <mergeCell ref="F72:F73"/>
    <mergeCell ref="G72:G73"/>
    <mergeCell ref="H72:H73"/>
    <mergeCell ref="I72:I73"/>
    <mergeCell ref="J72:J73"/>
    <mergeCell ref="K72:K73"/>
    <mergeCell ref="U121:U123"/>
    <mergeCell ref="P83:P85"/>
    <mergeCell ref="Q83:Q85"/>
    <mergeCell ref="R83:R85"/>
    <mergeCell ref="N91:N93"/>
    <mergeCell ref="O91:O93"/>
    <mergeCell ref="P91:P93"/>
    <mergeCell ref="Q91:Q93"/>
    <mergeCell ref="R91:R93"/>
    <mergeCell ref="S91:S93"/>
    <mergeCell ref="T91:T93"/>
    <mergeCell ref="U91:U93"/>
  </mergeCells>
  <dataValidations count="20">
    <dataValidation type="decimal" allowBlank="1" showErrorMessage="1" errorTitle="Ошибка" error="Допускается ввод только действительных чисел!" sqref="CY110:DJ110 BT110:CK110 O110:AB110">
      <formula1>-9.99999999999999E+23</formula1>
      <formula2>9.99999999999999E+23</formula2>
    </dataValidation>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202 AC209">
      <formula1>list_typeTKO</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54:N156 N176:N178 N160:N162 N165:N167 N169:N170 N182:N184 N187:N189 N191:N192"/>
    <dataValidation type="list" allowBlank="1" showInputMessage="1" showErrorMessage="1" errorTitle="Ошибка" error="Выберите значение из списка" prompt="Выберите значение из списка" sqref="H110">
      <formula1>QRE_METHOD_LIST</formula1>
    </dataValidation>
    <dataValidation type="list" allowBlank="1" showInputMessage="1" showErrorMessage="1" errorTitle="Ошибка" error="Выберите значение из списка" prompt="Выберите значение из списка" sqref="J140:J141 J147:J148 J150">
      <formula1>kind_of_purchase_method</formula1>
    </dataValidation>
    <dataValidation allowBlank="1" showInputMessage="1" showErrorMessage="1" promptTitle="Ввод" prompt="Для выбора ИП необходимо два раза нажать левую кнопку мыши!" sqref="G72 G77"/>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60"/>
    <dataValidation type="whole" allowBlank="1" showErrorMessage="1" errorTitle="Ошибка" error="Допускается ввод только неотрицательных целых чисел!" sqref="AF91:AF93 AI91:AI93 AF101:AF105 AI101:AI105 AF97 AI97 AF82:AF86 AI82:AI86 N60 P60 U60:V60 Y60:Z60 J60 R60:S60 AC60">
      <formula1>0</formula1>
      <formula2>9.99999999999999E+23</formula2>
    </dataValidation>
    <dataValidation type="list" allowBlank="1" showInputMessage="1" showErrorMessage="1" errorTitle="Ошибка" error="Выберите значение из списка" prompt="Выберите значение из списка" sqref="L60">
      <formula1>kind_of_power_te_unit</formula1>
    </dataValidation>
    <dataValidation allowBlank="1" showInputMessage="1" showErrorMessage="1" prompt="Изменение значения по двойному щелчоку левой кнопки мыши" sqref="J56"/>
    <dataValidation type="list" allowBlank="1" showInputMessage="1" showErrorMessage="1" sqref="I34">
      <formula1>DESCRIPTION_TERRITORY</formula1>
    </dataValidation>
    <dataValidation type="textLength" operator="lessThan" allowBlank="1" showInputMessage="1" showErrorMessage="1" error="Допускается ввод не более 900 символов!" sqref="M29 M23">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39 I82:J85 K72 K77 I97:J97 I101:J104">
      <formula1>"a"</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K56 H64 F68">
      <formula1>900</formula1>
    </dataValidation>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94:N196">
      <formula1>DESCRIPTION_TERRITORY</formula1>
    </dataValidation>
    <dataValidation allowBlank="1" showInputMessage="1" showErrorMessage="1" prompt="Выберите виды деятельности, выполнив двойной щелчок левой кнопки мыши по ячейке." sqref="G165:G167 G172 G154:G158 G191:G192 G160:G163 G176:G180 G182:G185 G187:G189 G169:G170"/>
    <dataValidation type="decimal" allowBlank="1" showErrorMessage="1" errorTitle="Ошибка" error="Допускается ввод только неотрицательных чисел!" sqref="Q147 O147 O150 Q150 Q140 O140 AC84 AE84 AC92 AE92 AE97 AE103 AC103 AC97 T60 H60:I60 AB60 X60 K60 M60 O60 Q60">
      <formula1>0</formula1>
      <formula2>9.99999999999999E+23</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64 T72 I72:J72 X72 T77 I77:J77 X77 F49"/>
    <dataValidation allowBlank="1" showInputMessage="1" showErrorMessage="1" prompt="Для выбора выполните двойной щелчок левой клавиши мыши по соответствующей ячейке." sqref="K194:K195 O194:O195 S154:S155 S194:S195 O154 K154 F165:F167 S176:S177 O176 K176 F172 K160 S160:S161 O160 F154:F158 K165 S165:S166 O165 O191 K169 S169:S170 O169 F160:F163 K182 S182:S183 O182 F176:F180 F182:F185 S187:S188 O187 F187:F189 F191:F192 S191:S192 F169:F170"/>
    <dataValidation type="textLength" operator="lessThanOrEqual" allowBlank="1" showInputMessage="1" showErrorMessage="1" errorTitle="Ошибка" error="Допускается ввод не более 900 символов!" sqref="L72:M72 E8 J194:J195 R194:R195 U72:W72 V194:W194 AB72 G13 M34 E39 E60 R191:R192 E64:F64 E68 G68 Q72:S72 M82 K82:K85 V154:W154 J154:J155 R154:R155 V176:W176 J176:J177 R176:R177 AI202 J202:J206 P202:P205 AI209 J209:J213 P209:P212 E4 L77:M77 U77:W77 AB77 Q77:S77 V172:W172 J172 R172 K91:K93 M101 K101:K104 K97 V160:W160 J160:J161 R160:R161 V165:W165 J165:J166 R165:R166 V169:W169 J169:J170 R169:R170 V182:W182 J182:J183 R182:R183 V187:W187 J187:J188 R187:R188 V191:W191 J191:J192 E43:F43 F48 F50:F51 I110">
      <formula1>900</formula1>
    </dataValidation>
  </dataValidations>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B2B406A-0B29-1C71-F2D2-AACC147FE7D7}" mc:Ignorable="x14ac xr xr2 xr3">
  <sheetPr>
    <tabColor rgb="FFFFCC99"/>
  </sheetPr>
  <dimension ref="A1:H34"/>
  <sheetViews>
    <sheetView topLeftCell="A1" showGridLines="0" workbookViewId="0">
      <selection activeCell="A1" sqref="A1"/>
    </sheetView>
  </sheetViews>
  <sheetFormatPr defaultColWidth="43.140625" customHeight="1" defaultRowHeight="9"/>
  <cols>
    <col min="1" max="1" style="10434" width="43.140625"/>
    <col min="2" max="2" style="10434" width="43.140625" hidden="1"/>
    <col min="3" max="3" style="10434" width="43.140625"/>
    <col min="4" max="5" style="10434" width="36.421875" customWidth="1"/>
    <col min="6" max="8" style="10435" width="36.421875" customWidth="1"/>
  </cols>
  <sheetData>
    <row customHeight="1" ht="9">
      <c r="A1" s="1000" t="s">
        <v>1859</v>
      </c>
      <c r="B1" s="1000"/>
      <c r="C1" s="1137" t="s">
        <v>1860</v>
      </c>
      <c r="D1" s="1135" t="s">
        <v>723</v>
      </c>
      <c r="E1" s="1135" t="s">
        <v>769</v>
      </c>
      <c r="F1" s="1135" t="s">
        <v>824</v>
      </c>
      <c r="G1" s="1135" t="s">
        <v>810</v>
      </c>
      <c r="H1" s="1135" t="s">
        <v>1534</v>
      </c>
    </row>
    <row customHeight="1" ht="9">
      <c r="A2" s="1138" t="s">
        <v>1861</v>
      </c>
      <c r="B2" s="1138"/>
      <c r="C2" s="1139" t="str">
        <f>INDEX(TEMPLATE_NUMBER_FORM_LIST,MATCH(TEMPLATE_SPHERE,TEMPLATE_SPHERE_LIST,0))</f>
        <v>10</v>
      </c>
      <c r="D2" s="1138" t="s">
        <v>1385</v>
      </c>
      <c r="E2" s="1138" t="s">
        <v>146</v>
      </c>
      <c r="F2" s="1140" t="s">
        <v>146</v>
      </c>
      <c r="G2" s="1138" t="s">
        <v>146</v>
      </c>
      <c r="H2" s="1141"/>
    </row>
    <row customHeight="1" ht="63">
      <c r="A3" s="1000"/>
      <c r="B3" s="1000" t="s">
        <v>106</v>
      </c>
      <c r="C3" s="1139" t="str">
        <f>IF(TEMPLATE_SPHERE="HEAT",D3,IF(TEMPLATE_SPHERE="TKO",H3,E3))</f>
        <v>Форма 8. Информация о наличии (об отсутствии) технической возможности подключения (технологического присоединения) к централизованной системе горячего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горячего водоснабжения</v>
      </c>
      <c r="D3" s="1139" t="s">
        <v>1862</v>
      </c>
      <c r="E3" s="1139" t="str">
        <f>"Форма 8. Информация о наличии (об отсутствии) технической возможности подключения (технологического присоединения) к централизованной системе "&amp;TEMPLATE_SPHERE_RUS&amp;", а также о принятии и рассмотрении заявлений о заключении договоров о подключении (технологическом присоединении) к централизованной системе "&amp;TEMPLATE_SPHERE_RUS</f>
        <v>Форма 8. Информация о наличии (об отсутствии) технической возможности подключения (технологического присоединения) к централизованной системе горячего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горячего водоснабжения</v>
      </c>
      <c r="F3" s="1140"/>
      <c r="G3" s="1141"/>
      <c r="H3" s="1000"/>
    </row>
    <row customHeight="1" ht="243">
      <c r="A4" s="1000" t="s">
        <v>1863</v>
      </c>
      <c r="B4" s="1000" t="s">
        <v>107</v>
      </c>
      <c r="C4" s="1139" t="str">
        <f>IF(TEMPLATE_SPHERE="HEAT",D4,IF(TEMPLATE_SPHERE="TKO",H4,E4))</f>
        <v>Форма 1. Информация об организации, осуществляющей горячее водоснабжение (общая информация)</v>
      </c>
      <c r="D4" s="1138" t="s">
        <v>1864</v>
      </c>
      <c r="E4" s="1139" t="str">
        <f>"Форма 1. Информация об организации, осуществляющей "&amp;TEMPLATE_SPHERE_RUS_2&amp;" (общая информация)"</f>
        <v>Форма 1. Информация об организации, осуществляющей горячее водоснабжение (общая информация)</v>
      </c>
      <c r="F4" s="1138"/>
      <c r="G4" s="1138"/>
      <c r="H4" s="1000" t="s">
        <v>1865</v>
      </c>
    </row>
    <row customHeight="1" ht="117">
      <c r="A5" s="1000" t="s">
        <v>1866</v>
      </c>
      <c r="B5" s="1000" t="s">
        <v>87</v>
      </c>
      <c r="C5" s="1139" t="str">
        <f>IF(TEMPLATE_SPHERE="HEAT",D5,IF(TEMPLATE_SPHERE="TKO",H5,E5))</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горячего водоснабжения</v>
      </c>
      <c r="D5" s="1000" t="s">
        <v>1867</v>
      </c>
      <c r="E5" s="1003" t="str">
        <f>"Форма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"&amp;TEMPLATE_SPHERE_RUS</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горячего водоснабжения</v>
      </c>
      <c r="F5" s="1141"/>
      <c r="G5" s="1141"/>
      <c r="H5" s="1000" t="s">
        <v>1868</v>
      </c>
    </row>
    <row customHeight="1" ht="45">
      <c r="A6" s="1000" t="s">
        <v>1869</v>
      </c>
      <c r="B6" s="1000" t="s">
        <v>88</v>
      </c>
      <c r="C6" s="1139" t="str">
        <f>IF(TEMPLATE_SPHERE="HEAT",D6,E6)</f>
        <v>Форма 4. Информация об основных показателях финансово-хозяйственной деятельности организации горячего водоснабжения, включая структуру основных производственных затрат (в части регулируемых видов деятельности в сфере горячего водоснабжения)</v>
      </c>
      <c r="D6" s="1000" t="s">
        <v>1870</v>
      </c>
      <c r="E6" s="1003" t="str">
        <f>"Форма 4. Информация об основных показателях финансово-хозяйственной деятельности организации "&amp;TEMPLATE_SPHERE_RUS&amp;", включая структуру основных производственных затрат (в части регулируемых видов деятельности в сфере "&amp;TEMPLATE_SPHERE_RUS&amp;")"</f>
        <v>Форма 4. Информация об основных показателях финансово-хозяйственной деятельности организации горячего водоснабжения, включая структуру основных производственных затрат (в части регулируемых видов деятельности в сфере горячего водоснабжения)</v>
      </c>
      <c r="F6" s="1000"/>
      <c r="G6" s="1000"/>
      <c r="H6" s="1141"/>
    </row>
    <row customHeight="1" ht="45">
      <c r="A7" s="1000" t="s">
        <v>1871</v>
      </c>
      <c r="B7" s="1000" t="s">
        <v>108</v>
      </c>
      <c r="C7" s="1139" t="str">
        <f>IF(TEMPLATE_SPHERE="HEAT",D7,E7)</f>
        <v>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D7" s="1000" t="s">
        <v>1872</v>
      </c>
      <c r="E7" s="1000" t="s">
        <v>1873</v>
      </c>
      <c r="F7" s="1141"/>
      <c r="G7" s="1141"/>
      <c r="H7" s="1141"/>
    </row>
    <row customHeight="1" ht="108">
      <c r="A8" s="1000" t="s">
        <v>1874</v>
      </c>
      <c r="B8" s="1000" t="s">
        <v>89</v>
      </c>
      <c r="C8" s="1139" t="str">
        <f>IF(TEMPLATE_SPHERE="HEAT",D8,E8)</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D8" s="1000" t="s">
        <v>1073</v>
      </c>
      <c r="E8" s="1000" t="s">
        <v>1875</v>
      </c>
      <c r="F8" s="1141"/>
      <c r="G8" s="1141"/>
      <c r="H8" s="1141"/>
    </row>
    <row customHeight="1" ht="99">
      <c r="A9" s="1000" t="s">
        <v>1876</v>
      </c>
      <c r="B9" s="1000"/>
      <c r="C9" s="1000" t="s">
        <v>1877</v>
      </c>
      <c r="D9" s="1000"/>
      <c r="E9" s="1000"/>
      <c r="F9" s="1141"/>
      <c r="G9" s="1141"/>
      <c r="H9" s="1141"/>
    </row>
    <row customHeight="1" ht="126">
      <c r="A10" s="1000" t="s">
        <v>1878</v>
      </c>
      <c r="B10" s="1000"/>
      <c r="C10" s="1000" t="s">
        <v>1879</v>
      </c>
      <c r="D10" s="1000"/>
      <c r="E10" s="1000"/>
      <c r="F10" s="1141"/>
      <c r="G10" s="1141"/>
      <c r="H10" s="1141"/>
    </row>
    <row customHeight="1" ht="108">
      <c r="A11" s="1000" t="s">
        <v>1880</v>
      </c>
      <c r="B11" s="1000"/>
      <c r="C11" s="1000" t="s">
        <v>1881</v>
      </c>
      <c r="D11" s="1000"/>
      <c r="E11" s="1000"/>
      <c r="F11" s="1141"/>
      <c r="G11" s="1141"/>
      <c r="H11" s="1141"/>
    </row>
    <row customHeight="1" ht="54">
      <c r="A12" s="1000" t="s">
        <v>1882</v>
      </c>
      <c r="B12" s="1000"/>
      <c r="C12" s="1000" t="s">
        <v>1883</v>
      </c>
      <c r="D12" s="1000"/>
      <c r="E12" s="1000"/>
      <c r="F12" s="1141"/>
      <c r="G12" s="1141"/>
      <c r="H12" s="1141"/>
    </row>
    <row customHeight="1" ht="45">
      <c r="A13" s="1000" t="s">
        <v>1884</v>
      </c>
      <c r="B13" s="1000"/>
      <c r="C13" s="1000" t="s">
        <v>1885</v>
      </c>
      <c r="D13" s="1000"/>
      <c r="E13" s="1000"/>
      <c r="F13" s="1141"/>
      <c r="G13" s="1141"/>
      <c r="H13" s="1141"/>
    </row>
    <row customHeight="1" ht="117">
      <c r="A14" s="1000" t="s">
        <v>1886</v>
      </c>
      <c r="B14" s="1000"/>
      <c r="C14" s="1000" t="s">
        <v>1887</v>
      </c>
      <c r="D14" s="1000"/>
      <c r="E14" s="1000"/>
      <c r="F14" s="1141"/>
      <c r="G14" s="1141"/>
      <c r="H14" s="1141"/>
    </row>
    <row customHeight="1" ht="117">
      <c r="A15" s="1000" t="s">
        <v>1888</v>
      </c>
      <c r="B15" s="1000"/>
      <c r="C15" s="1000" t="s">
        <v>1889</v>
      </c>
      <c r="D15" s="1000"/>
      <c r="E15" s="1000"/>
      <c r="F15" s="1141"/>
      <c r="G15" s="1141"/>
      <c r="H15" s="1141"/>
    </row>
    <row customHeight="1" ht="63">
      <c r="A16" s="1000" t="s">
        <v>1890</v>
      </c>
      <c r="B16" s="1000"/>
      <c r="C16" s="1000" t="s">
        <v>1891</v>
      </c>
      <c r="D16" s="1000"/>
      <c r="E16" s="1000"/>
      <c r="F16" s="1141"/>
      <c r="G16" s="1141"/>
      <c r="H16" s="1141"/>
    </row>
    <row customHeight="1" ht="54">
      <c r="A17" s="1000" t="s">
        <v>1892</v>
      </c>
      <c r="B17" s="1000"/>
      <c r="C17" s="1139" t="s">
        <v>1893</v>
      </c>
      <c r="D17" s="1000"/>
      <c r="E17" s="1000"/>
      <c r="F17" s="1141"/>
      <c r="G17" s="1141"/>
      <c r="H17" s="1141"/>
    </row>
    <row customHeight="1" ht="27">
      <c r="A18" s="1000" t="s">
        <v>1894</v>
      </c>
      <c r="B18" s="1000"/>
      <c r="C18" s="1139" t="s">
        <v>1895</v>
      </c>
      <c r="D18" s="1000"/>
      <c r="E18" s="1000"/>
      <c r="F18" s="1141"/>
      <c r="G18" s="1141"/>
      <c r="H18" s="1141"/>
    </row>
    <row customHeight="1" ht="54">
      <c r="A19" s="1000" t="s">
        <v>1896</v>
      </c>
      <c r="B19" s="1000"/>
      <c r="C19" s="1139" t="s">
        <v>1897</v>
      </c>
      <c r="D19" s="1000"/>
      <c r="E19" s="1000"/>
      <c r="F19" s="1141"/>
      <c r="G19" s="1141"/>
      <c r="H19" s="1141"/>
    </row>
    <row customHeight="1" ht="36">
      <c r="A20" s="1000" t="s">
        <v>1898</v>
      </c>
      <c r="B20" s="1000"/>
      <c r="C20" s="1139" t="s">
        <v>1899</v>
      </c>
      <c r="D20" s="1000"/>
      <c r="E20" s="1000"/>
      <c r="F20" s="1141"/>
      <c r="G20" s="1141"/>
      <c r="H20" s="1141"/>
    </row>
    <row customHeight="1" ht="36">
      <c r="A21" s="1000" t="s">
        <v>1900</v>
      </c>
      <c r="B21" s="1000"/>
      <c r="C21" s="1139" t="s">
        <v>1901</v>
      </c>
      <c r="D21" s="1000"/>
      <c r="E21" s="1000"/>
      <c r="F21" s="1141"/>
      <c r="G21" s="1141"/>
      <c r="H21" s="1141"/>
    </row>
    <row customHeight="1" ht="27">
      <c r="A22" s="1000" t="s">
        <v>1902</v>
      </c>
      <c r="B22" s="1000"/>
      <c r="C22" s="1139" t="s">
        <v>1903</v>
      </c>
      <c r="D22" s="1000"/>
      <c r="E22" s="1000"/>
      <c r="F22" s="1141"/>
      <c r="G22" s="1141"/>
      <c r="H22" s="1141"/>
    </row>
    <row customHeight="1" ht="36">
      <c r="A23" s="1000" t="s">
        <v>1904</v>
      </c>
      <c r="B23" s="1000"/>
      <c r="C23" s="1139" t="s">
        <v>1905</v>
      </c>
      <c r="D23" s="1000"/>
      <c r="E23" s="1000"/>
      <c r="F23" s="1141"/>
      <c r="G23" s="1141"/>
      <c r="H23" s="1141"/>
    </row>
    <row customHeight="1" ht="28.5">
      <c r="A24" s="1000" t="s">
        <v>1906</v>
      </c>
      <c r="B24" s="1000"/>
      <c r="C24" s="1139" t="s">
        <v>1907</v>
      </c>
      <c r="D24" s="1000"/>
      <c r="E24" s="1000"/>
      <c r="F24" s="1141"/>
      <c r="G24" s="1141"/>
      <c r="H24" s="1141"/>
    </row>
    <row customHeight="1" ht="36">
      <c r="A25" s="1000" t="s">
        <v>1908</v>
      </c>
      <c r="B25" s="1000"/>
      <c r="C25" s="1139" t="s">
        <v>1909</v>
      </c>
      <c r="D25" s="1000"/>
      <c r="E25" s="1000"/>
      <c r="F25" s="1141"/>
      <c r="G25" s="1141"/>
      <c r="H25" s="1141"/>
    </row>
    <row customHeight="1" ht="27">
      <c r="A26" s="1000" t="s">
        <v>1910</v>
      </c>
      <c r="B26" s="1000"/>
      <c r="C26" s="1139" t="s">
        <v>1911</v>
      </c>
      <c r="D26" s="1000"/>
      <c r="E26" s="1000"/>
      <c r="F26" s="1141"/>
      <c r="G26" s="1141"/>
      <c r="H26" s="1141"/>
    </row>
    <row customHeight="1" ht="36">
      <c r="A27" s="1000" t="s">
        <v>1912</v>
      </c>
      <c r="B27" s="1000"/>
      <c r="C27" s="1139" t="s">
        <v>1913</v>
      </c>
      <c r="D27" s="1000"/>
      <c r="E27" s="1000"/>
      <c r="F27" s="1141"/>
      <c r="G27" s="1141"/>
      <c r="H27" s="1141"/>
    </row>
    <row customHeight="1" ht="28.5">
      <c r="A28" s="1000" t="s">
        <v>1914</v>
      </c>
      <c r="B28" s="1000"/>
      <c r="C28" s="1139" t="s">
        <v>1915</v>
      </c>
      <c r="D28" s="1000"/>
      <c r="E28" s="1000"/>
      <c r="F28" s="1141"/>
      <c r="G28" s="1141"/>
      <c r="H28" s="1141"/>
    </row>
    <row customHeight="1" ht="126">
      <c r="A29" s="1000" t="s">
        <v>1916</v>
      </c>
      <c r="B29" s="1000" t="s">
        <v>1486</v>
      </c>
      <c r="C29" s="1139" t="str">
        <f>IF(TEMPLATE_SPHERE="HEAT",D29,IF(TEMPLATE_SPHERE="TKO",H29,E29))</f>
        <v>Форма 11. Информация о способах приобретения, стоимости и об объемах товаров (работ, услуг), необходимых организации горячего водоснабжения для производства товаров (оказания услуг) в сфере горячего водоснабжения, тарифы на которые подлежат регулированию</v>
      </c>
      <c r="D29" s="1000" t="s">
        <v>1917</v>
      </c>
      <c r="E29" s="1003" t="str">
        <f>"Форма 11. Информация о способах приобретения, стоимости и об объемах товаров (работ, услуг), необходимых организации "&amp;TEMPLATE_SPHERE_RUS&amp;" для производства товаров (оказания услуг) в сфере "&amp;TEMPLATE_SPHERE_RUS&amp;", тарифы на которые подлежат регулированию"</f>
        <v>Форма 11. Информация о способах приобретения, стоимости и об объемах товаров (работ, услуг), необходимых организации горячего водоснабжения для производства товаров (оказания услуг) в сфере горячего водоснабжения, тарифы на которые подлежат регулированию</v>
      </c>
      <c r="F29" s="1141"/>
      <c r="G29" s="1141"/>
      <c r="H29" s="1000" t="s">
        <v>1918</v>
      </c>
    </row>
    <row customHeight="1" ht="36">
      <c r="A30" s="1000" t="s">
        <v>1919</v>
      </c>
      <c r="B30" s="1000"/>
      <c r="C30" s="1139" t="str">
        <f>IF(TEMPLATE_SPHERE="HEAT",D30,IF(TEMPLATE_SPHERE="TKO",H30,E30))</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горячего водоснабжения</v>
      </c>
      <c r="D30" s="1000" t="s">
        <v>1920</v>
      </c>
      <c r="E30" s="1003" t="str">
        <f>"Форма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"&amp;TEMPLATE_SPHERE_RUS</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горячего водоснабжения</v>
      </c>
      <c r="F30" s="1141"/>
      <c r="G30" s="1141"/>
      <c r="H30" s="1141"/>
    </row>
    <row customHeight="1" ht="54">
      <c r="A31" s="1000" t="s">
        <v>1921</v>
      </c>
      <c r="B31" s="1000"/>
      <c r="C31" s="1139" t="str">
        <f>IF(TEMPLATE_SPHERE="HEAT",D31,IF(TEMPLATE_SPHERE="TKO",H31,E31))</f>
        <v>Форма 1. Информация об организации, осуществляющей горячее водоснабжение (общая информация)</v>
      </c>
      <c r="D31" s="1000" t="s">
        <v>1922</v>
      </c>
      <c r="E31" s="1003" t="str">
        <f>"Форма 1. Информация об организации, осуществляющей "&amp;TEMPLATE_SPHERE_RUS_2&amp;" (общая информация)"</f>
        <v>Форма 1. Информация об организации, осуществляющей горячее водоснабжение (общая информация)</v>
      </c>
      <c r="F31" s="1141"/>
      <c r="G31" s="1141"/>
      <c r="H31" s="1141"/>
    </row>
    <row customHeight="1" ht="198">
      <c r="A32" s="1000" t="s">
        <v>1923</v>
      </c>
      <c r="B32" s="1000"/>
      <c r="C32" s="1139" t="str">
        <f>IF(TEMPLATE_SPHERE="HEAT",D32,IF(TEMPLATE_SPHERE="TKO",H32,E32))</f>
        <v>Форма 7. Информация об инвестиционных программах организации горячего водоснабжения и отчетах об их исполнении</v>
      </c>
      <c r="D32" s="1000" t="s">
        <v>1924</v>
      </c>
      <c r="E32" s="1003" t="str">
        <f>"Форма 7. Информация об инвестиционных программах организации "&amp;TEMPLATE_SPHERE_RUS&amp;" и отчетах об их исполнении"</f>
        <v>Форма 7. Информация об инвестиционных программах организации горячего водоснабжения и отчетах об их исполнении</v>
      </c>
      <c r="F32" s="1141"/>
      <c r="G32" s="1141"/>
      <c r="H32" s="1000" t="s">
        <v>1925</v>
      </c>
    </row>
    <row customHeight="1" ht="9">
      <c r="A33" s="1000"/>
      <c r="B33" s="1000"/>
      <c r="C33" s="1139"/>
      <c r="D33" s="1000"/>
      <c r="E33" s="1000"/>
      <c r="F33" s="1141"/>
      <c r="G33" s="1141"/>
      <c r="H33" s="1141"/>
    </row>
    <row customHeight="1" ht="9">
      <c r="A34" s="1000"/>
      <c r="B34" s="1000" t="s">
        <v>1422</v>
      </c>
      <c r="C34" s="1139">
        <f>INDEX(TEMPLATE_NAME_FORM_LIST,B34,MATCH(TEMPLATE_SPHERE,TEMPLATE_SPHERE_LIST,0))</f>
        <v>0</v>
      </c>
      <c r="D34" s="1000"/>
      <c r="E34" s="1000"/>
      <c r="F34" s="1141"/>
      <c r="G34" s="1141"/>
      <c r="H34" s="1141"/>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1.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9746E973-E0F4-7B55-F32F-E0E6C81A01D6}" mc:Ignorable="x14ac xr xr2 xr3">
  <sheetPr>
    <tabColor rgb="FFFFCC99"/>
  </sheetPr>
  <dimension ref="A1:AY154"/>
  <sheetViews>
    <sheetView topLeftCell="A1" showGridLines="0" workbookViewId="0">
      <selection activeCell="A1" sqref="A1"/>
    </sheetView>
  </sheetViews>
  <sheetFormatPr defaultColWidth="9.140625" customHeight="1" defaultRowHeight="9"/>
  <cols>
    <col min="1" max="2" style="10434" width="9.140625"/>
    <col min="3" max="7" style="10478" width="8.00390625" customWidth="1"/>
    <col min="8" max="12" style="10478" width="8.57421875" customWidth="1"/>
    <col min="13" max="14" style="10478" width="27.7109375" customWidth="1"/>
    <col min="15" max="19" style="10478" width="5.140625" customWidth="1"/>
    <col min="20" max="24" style="10478" width="27.7109375" customWidth="1"/>
    <col min="25" max="25" style="10479" width="1.8515625" customWidth="1"/>
    <col min="26" max="26" style="10434" width="27.7109375" customWidth="1"/>
    <col min="27" max="27" style="10480" width="27.7109375" customWidth="1"/>
    <col min="28" max="29" style="10434" width="27.7109375" customWidth="1"/>
    <col min="30" max="30" style="10434" width="3.8515625" customWidth="1"/>
    <col min="31" max="34" style="10434" width="9.140625"/>
  </cols>
  <sheetData>
    <row s="10436" customFormat="1" customHeight="1" ht="18">
      <c r="A1" s="1052"/>
      <c r="B1" s="1052"/>
      <c r="C1" s="1052" t="s">
        <v>1926</v>
      </c>
      <c r="D1" s="1052"/>
      <c r="E1" s="1052"/>
      <c r="F1" s="1052"/>
      <c r="G1" s="1052"/>
      <c r="H1" s="1052" t="s">
        <v>1927</v>
      </c>
      <c r="I1" s="1052"/>
      <c r="J1" s="1052"/>
      <c r="K1" s="1052"/>
      <c r="L1" s="1052"/>
      <c r="M1" s="1052" t="s">
        <v>1928</v>
      </c>
      <c r="N1" s="1052" t="s">
        <v>1929</v>
      </c>
      <c r="O1" s="2641" t="s">
        <v>1930</v>
      </c>
      <c r="P1" s="2641"/>
      <c r="Q1" s="2641"/>
      <c r="R1" s="2641"/>
      <c r="S1" s="2641"/>
      <c r="T1" s="2641" t="s">
        <v>1928</v>
      </c>
      <c r="U1" s="2641"/>
      <c r="V1" s="2641"/>
      <c r="W1" s="2641"/>
      <c r="X1" s="2641"/>
      <c r="Y1" s="1154"/>
      <c r="Z1" s="2641" t="s">
        <v>1931</v>
      </c>
      <c r="AA1" s="2641"/>
      <c r="AB1" s="2641"/>
      <c r="AC1" s="2641"/>
      <c r="AD1" s="2641"/>
    </row>
    <row customHeight="1" ht="18">
      <c r="A2" s="1000"/>
      <c r="B2" s="1000"/>
      <c r="C2" s="995" t="s">
        <v>723</v>
      </c>
      <c r="D2" s="995" t="s">
        <v>769</v>
      </c>
      <c r="E2" s="995" t="s">
        <v>824</v>
      </c>
      <c r="F2" s="995" t="s">
        <v>810</v>
      </c>
      <c r="G2" s="995" t="s">
        <v>1534</v>
      </c>
      <c r="H2" s="997"/>
      <c r="I2" s="997"/>
      <c r="J2" s="997"/>
      <c r="K2" s="997"/>
      <c r="L2" s="997"/>
      <c r="M2" s="997"/>
      <c r="N2" s="997"/>
      <c r="O2" s="995" t="s">
        <v>723</v>
      </c>
      <c r="P2" s="995" t="s">
        <v>769</v>
      </c>
      <c r="Q2" s="995" t="s">
        <v>810</v>
      </c>
      <c r="R2" s="995" t="s">
        <v>824</v>
      </c>
      <c r="S2" s="995" t="s">
        <v>1534</v>
      </c>
      <c r="T2" s="995" t="s">
        <v>723</v>
      </c>
      <c r="U2" s="995" t="s">
        <v>769</v>
      </c>
      <c r="V2" s="995" t="s">
        <v>810</v>
      </c>
      <c r="W2" s="995" t="s">
        <v>824</v>
      </c>
      <c r="X2" s="995" t="s">
        <v>1534</v>
      </c>
      <c r="Y2" s="995"/>
      <c r="Z2" s="995" t="s">
        <v>723</v>
      </c>
      <c r="AA2" s="1004" t="s">
        <v>769</v>
      </c>
      <c r="AB2" s="995" t="s">
        <v>810</v>
      </c>
      <c r="AC2" s="995" t="s">
        <v>824</v>
      </c>
      <c r="AD2" s="995" t="s">
        <v>1534</v>
      </c>
    </row>
    <row customHeight="1" ht="162">
      <c r="A3" s="999" t="s">
        <v>22</v>
      </c>
      <c r="B3" s="999"/>
      <c r="C3" s="2645" t="s">
        <v>1932</v>
      </c>
      <c r="D3" s="2646"/>
      <c r="E3" s="2646"/>
      <c r="F3" s="2647"/>
      <c r="G3" s="997"/>
      <c r="H3" s="997"/>
      <c r="I3" s="997"/>
      <c r="J3" s="997"/>
      <c r="K3" s="997"/>
      <c r="L3" s="997"/>
      <c r="M3" s="997"/>
      <c r="N3" s="998" t="str">
        <f>INDEX(TEMPLATE_ORG_DATA_POINT,1,MATCH(TEMPLATE_SPHERE,TEMPLATE_SPHERE_LIST_FOR_NOTE,0))</f>
        <v>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v>
      </c>
      <c r="O3" s="997"/>
      <c r="P3" s="997"/>
      <c r="Q3" s="997"/>
      <c r="R3" s="997"/>
      <c r="S3" s="997"/>
      <c r="T3" s="997"/>
      <c r="U3" s="997"/>
      <c r="V3" s="997"/>
      <c r="W3" s="997"/>
      <c r="X3" s="997"/>
      <c r="Y3" s="1155"/>
      <c r="Z3" s="1000" t="s">
        <v>1933</v>
      </c>
      <c r="AA3" s="997" t="s">
        <v>1934</v>
      </c>
      <c r="AB3" s="1000" t="s">
        <v>1935</v>
      </c>
      <c r="AC3" s="1000" t="s">
        <v>1936</v>
      </c>
      <c r="AD3" s="1000"/>
      <c r="AG3" s="1000"/>
      <c r="AH3" s="1000"/>
    </row>
    <row customHeight="1" ht="9">
      <c r="A4" s="999"/>
      <c r="B4" s="999"/>
      <c r="C4" s="997"/>
      <c r="D4" s="997"/>
      <c r="E4" s="997"/>
      <c r="F4" s="997"/>
      <c r="G4" s="997"/>
      <c r="H4" s="997"/>
      <c r="I4" s="997"/>
      <c r="J4" s="997"/>
      <c r="K4" s="997"/>
      <c r="L4" s="997"/>
      <c r="M4" s="997"/>
      <c r="N4" s="997"/>
      <c r="O4" s="997"/>
      <c r="P4" s="997"/>
      <c r="Q4" s="997"/>
      <c r="R4" s="997"/>
      <c r="S4" s="997"/>
      <c r="T4" s="997"/>
      <c r="U4" s="997"/>
      <c r="V4" s="997"/>
      <c r="W4" s="997"/>
      <c r="X4" s="997"/>
      <c r="Y4" s="1155"/>
      <c r="Z4" s="1000"/>
      <c r="AA4" s="1003"/>
      <c r="AB4" s="1000"/>
      <c r="AC4" s="1000"/>
      <c r="AD4" s="1000"/>
    </row>
    <row customHeight="1" ht="9">
      <c r="A5" s="999"/>
      <c r="B5" s="999"/>
      <c r="C5" s="997"/>
      <c r="D5" s="997"/>
      <c r="E5" s="997"/>
      <c r="F5" s="997"/>
      <c r="G5" s="997"/>
      <c r="H5" s="997"/>
      <c r="I5" s="997"/>
      <c r="J5" s="997"/>
      <c r="K5" s="997"/>
      <c r="L5" s="997"/>
      <c r="M5" s="997"/>
      <c r="N5" s="997"/>
      <c r="O5" s="997"/>
      <c r="P5" s="997"/>
      <c r="Q5" s="997"/>
      <c r="R5" s="997"/>
      <c r="S5" s="997"/>
      <c r="T5" s="997"/>
      <c r="U5" s="997"/>
      <c r="V5" s="997"/>
      <c r="W5" s="997"/>
      <c r="X5" s="997"/>
      <c r="Y5" s="1155"/>
      <c r="Z5" s="1000"/>
      <c r="AA5" s="1003"/>
      <c r="AB5" s="1000"/>
      <c r="AC5" s="1000"/>
      <c r="AD5" s="1000"/>
    </row>
    <row customHeight="1" ht="9">
      <c r="A6" s="999"/>
      <c r="B6" s="999"/>
      <c r="C6" s="997"/>
      <c r="D6" s="997"/>
      <c r="E6" s="997"/>
      <c r="F6" s="997"/>
      <c r="G6" s="997"/>
      <c r="H6" s="997"/>
      <c r="I6" s="997"/>
      <c r="J6" s="997"/>
      <c r="K6" s="997"/>
      <c r="L6" s="997"/>
      <c r="M6" s="997"/>
      <c r="N6" s="997"/>
      <c r="O6" s="997"/>
      <c r="P6" s="997"/>
      <c r="Q6" s="997"/>
      <c r="R6" s="997"/>
      <c r="S6" s="997"/>
      <c r="T6" s="997"/>
      <c r="U6" s="997"/>
      <c r="V6" s="997"/>
      <c r="W6" s="997"/>
      <c r="X6" s="997"/>
      <c r="Y6" s="1155"/>
      <c r="Z6" s="1000"/>
      <c r="AA6" s="1003"/>
      <c r="AB6" s="1000"/>
      <c r="AC6" s="1000"/>
      <c r="AD6" s="1000"/>
    </row>
    <row customHeight="1" ht="9">
      <c r="A7" s="999"/>
      <c r="B7" s="999"/>
      <c r="C7" s="997"/>
      <c r="D7" s="997"/>
      <c r="E7" s="997"/>
      <c r="F7" s="997"/>
      <c r="G7" s="997"/>
      <c r="H7" s="997"/>
      <c r="I7" s="997"/>
      <c r="J7" s="997"/>
      <c r="K7" s="997"/>
      <c r="L7" s="997"/>
      <c r="M7" s="997"/>
      <c r="N7" s="997"/>
      <c r="O7" s="997"/>
      <c r="P7" s="997"/>
      <c r="Q7" s="997"/>
      <c r="R7" s="997"/>
      <c r="S7" s="997"/>
      <c r="T7" s="997"/>
      <c r="U7" s="997"/>
      <c r="V7" s="997"/>
      <c r="W7" s="997"/>
      <c r="X7" s="997"/>
      <c r="Y7" s="1155"/>
      <c r="Z7" s="1000"/>
      <c r="AA7" s="1003"/>
      <c r="AB7" s="1000"/>
      <c r="AC7" s="1000"/>
      <c r="AD7" s="1000"/>
    </row>
    <row customHeight="1" ht="9">
      <c r="A8" s="999"/>
      <c r="B8" s="999"/>
      <c r="C8" s="997"/>
      <c r="D8" s="997"/>
      <c r="E8" s="997"/>
      <c r="F8" s="997"/>
      <c r="G8" s="997"/>
      <c r="H8" s="997"/>
      <c r="I8" s="997"/>
      <c r="J8" s="997"/>
      <c r="K8" s="997"/>
      <c r="L8" s="997"/>
      <c r="M8" s="997"/>
      <c r="N8" s="997"/>
      <c r="O8" s="997"/>
      <c r="P8" s="997"/>
      <c r="Q8" s="997"/>
      <c r="R8" s="997"/>
      <c r="S8" s="997"/>
      <c r="T8" s="997"/>
      <c r="U8" s="997"/>
      <c r="V8" s="997"/>
      <c r="W8" s="997"/>
      <c r="X8" s="997"/>
      <c r="Y8" s="1155"/>
      <c r="Z8" s="1000"/>
      <c r="AA8" s="1003"/>
      <c r="AB8" s="1000"/>
      <c r="AC8" s="1000"/>
      <c r="AD8" s="1000"/>
    </row>
    <row customHeight="1" ht="9">
      <c r="A9" s="999"/>
      <c r="B9" s="999"/>
      <c r="C9" s="997"/>
      <c r="D9" s="997"/>
      <c r="E9" s="997"/>
      <c r="F9" s="997"/>
      <c r="G9" s="997"/>
      <c r="H9" s="997"/>
      <c r="I9" s="997"/>
      <c r="J9" s="997"/>
      <c r="K9" s="997"/>
      <c r="L9" s="997"/>
      <c r="M9" s="997"/>
      <c r="N9" s="997"/>
      <c r="O9" s="997"/>
      <c r="P9" s="997"/>
      <c r="Q9" s="997"/>
      <c r="R9" s="997"/>
      <c r="S9" s="997"/>
      <c r="T9" s="997"/>
      <c r="U9" s="997"/>
      <c r="V9" s="997"/>
      <c r="W9" s="997"/>
      <c r="X9" s="997"/>
      <c r="Y9" s="1155"/>
      <c r="Z9" s="1000"/>
      <c r="AA9" s="1003"/>
      <c r="AB9" s="1000"/>
      <c r="AC9" s="1000"/>
      <c r="AD9" s="1000"/>
    </row>
    <row customHeight="1" ht="9">
      <c r="A10" s="1053"/>
      <c r="B10" s="1053"/>
      <c r="C10" s="1053"/>
      <c r="D10" s="1053"/>
      <c r="E10" s="1053"/>
      <c r="F10" s="1053"/>
      <c r="G10" s="1053"/>
      <c r="H10" s="1053"/>
      <c r="I10" s="1053"/>
      <c r="J10" s="1053"/>
      <c r="K10" s="1053"/>
      <c r="L10" s="1053"/>
      <c r="M10" s="1053"/>
      <c r="N10" s="1053"/>
      <c r="O10" s="1053"/>
      <c r="P10" s="1053"/>
      <c r="Q10" s="1053"/>
      <c r="R10" s="1053"/>
      <c r="S10" s="1053"/>
      <c r="T10" s="1053"/>
      <c r="U10" s="1053"/>
      <c r="V10" s="1053"/>
      <c r="W10" s="1053"/>
      <c r="X10" s="1053"/>
      <c r="Y10" s="1053"/>
      <c r="Z10" s="1053"/>
      <c r="AA10" s="1053"/>
      <c r="AB10" s="1053"/>
      <c r="AC10" s="1053"/>
      <c r="AD10" s="1053"/>
    </row>
    <row customHeight="1" ht="45">
      <c r="A11" s="2642" t="s">
        <v>29</v>
      </c>
      <c r="B11" s="1053">
        <v>1</v>
      </c>
      <c r="C11" s="2648" t="s">
        <v>1473</v>
      </c>
      <c r="D11" s="2648" t="s">
        <v>1469</v>
      </c>
      <c r="E11" s="2648" t="s">
        <v>1567</v>
      </c>
      <c r="F11" s="2648" t="s">
        <v>1937</v>
      </c>
      <c r="G11" s="2648"/>
      <c r="H11" s="1052" t="s">
        <v>1938</v>
      </c>
      <c r="I11" s="1052"/>
      <c r="J11" s="1052"/>
      <c r="K11" s="1052"/>
      <c r="L11" s="1052"/>
      <c r="M11" s="998" t="str">
        <f>IF(TEMPLATE_SPHERE="HEAT",T11,U11)</f>
        <v>Количество поданных заявлений </v>
      </c>
      <c r="N11" s="998" t="str">
        <f>IF(TEMPLATE_SPHERE="HEAT",Z11,AA11)</f>
        <v>Указывается количество поданных заявлений о заключении договоров о подключении (технологическом присоединении) к централизованной системе горячего водоснабжения в течение одного квартала.</v>
      </c>
      <c r="O11" s="997"/>
      <c r="P11" s="997"/>
      <c r="Q11" s="997"/>
      <c r="R11" s="997"/>
      <c r="S11" s="997"/>
      <c r="T11" s="997" t="s">
        <v>1939</v>
      </c>
      <c r="U11" s="997" t="s">
        <v>1940</v>
      </c>
      <c r="V11" s="997"/>
      <c r="W11" s="997"/>
      <c r="X11" s="997"/>
      <c r="Y11" s="1155"/>
      <c r="Z11" s="1000" t="s">
        <v>1941</v>
      </c>
      <c r="AA11" s="1003" t="str">
        <f>"Указывается количество поданных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поданных заявлений о заключении договоров о подключении (технологическом присоединении) к централизованной системе горячего водоснабжения в течение одного квартала.</v>
      </c>
      <c r="AB11" s="1000"/>
      <c r="AC11" s="1000"/>
      <c r="AD11" s="1000"/>
    </row>
    <row customHeight="1" ht="45">
      <c r="A12" s="2642"/>
      <c r="B12" s="1053">
        <v>2</v>
      </c>
      <c r="C12" s="2649"/>
      <c r="D12" s="2649"/>
      <c r="E12" s="2649"/>
      <c r="F12" s="2649"/>
      <c r="G12" s="2649"/>
      <c r="H12" s="1052" t="s">
        <v>1942</v>
      </c>
      <c r="I12" s="1052"/>
      <c r="J12" s="1052"/>
      <c r="K12" s="1052"/>
      <c r="L12" s="1052"/>
      <c r="M12" s="998" t="str">
        <f>IF(TEMPLATE_SPHERE="HEAT",T12,U12)</f>
        <v>Количество исполненных заявлений </v>
      </c>
      <c r="N12" s="998" t="str">
        <f>IF(TEMPLATE_SPHERE="HEAT",Z12,AA12)</f>
        <v>Указывается количество исполненных заявлений о заключении договоров о подключении (технологическом присоединении) к централизованной системе горячего водоснабжения в течение одного квартала.</v>
      </c>
      <c r="O12" s="997"/>
      <c r="P12" s="997"/>
      <c r="Q12" s="997"/>
      <c r="R12" s="997"/>
      <c r="S12" s="997"/>
      <c r="T12" s="997" t="s">
        <v>1943</v>
      </c>
      <c r="U12" s="997" t="s">
        <v>1944</v>
      </c>
      <c r="V12" s="997"/>
      <c r="W12" s="997"/>
      <c r="X12" s="997"/>
      <c r="Y12" s="1155"/>
      <c r="Z12" s="1000" t="s">
        <v>1945</v>
      </c>
      <c r="AA12" s="1003" t="str">
        <f>"Указывается количество исполненных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исполненных заявлений о заключении договоров о подключении (технологическом присоединении) к централизованной системе горячего водоснабжения в течение одного квартала.</v>
      </c>
      <c r="AB12" s="1000"/>
      <c r="AC12" s="1000"/>
      <c r="AD12" s="1000"/>
    </row>
    <row customHeight="1" ht="72">
      <c r="A13" s="2642"/>
      <c r="B13" s="1053">
        <v>3</v>
      </c>
      <c r="C13" s="2649"/>
      <c r="D13" s="2649"/>
      <c r="E13" s="2649"/>
      <c r="F13" s="2649"/>
      <c r="G13" s="2649"/>
      <c r="H13" s="2641" t="s">
        <v>1946</v>
      </c>
      <c r="I13" s="1052"/>
      <c r="J13" s="1052"/>
      <c r="K13" s="1052"/>
      <c r="L13" s="1052"/>
      <c r="M13" s="998" t="str">
        <f>IF(TEMPLATE_SPHERE="HEAT",T13,U13)</f>
        <v>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v>
      </c>
      <c r="N13" s="998" t="str">
        <f>IF(TEMPLATE_SPHERE="HEAT",Z13,AA13)</f>
        <v>Указывается количество заявлений о заключении договоров о подключении (технологическом присоединении) к централизованной системе горячего водоснабжения, по которым организацией горячего водоснабжения отказано в заключении договора о подключении (технологическом присоединении) к централизованной системе горячего водоснабжения с указанием причин, в течение одного квартала.</v>
      </c>
      <c r="O13" s="997"/>
      <c r="P13" s="998"/>
      <c r="Q13" s="998"/>
      <c r="R13" s="998"/>
      <c r="S13" s="997"/>
      <c r="T13" s="997" t="s">
        <v>1947</v>
      </c>
      <c r="U13" s="998" t="s">
        <v>1948</v>
      </c>
      <c r="V13" s="998"/>
      <c r="W13" s="998"/>
      <c r="X13" s="997"/>
      <c r="Y13" s="1155"/>
      <c r="Z13" s="1000" t="s">
        <v>1949</v>
      </c>
      <c r="AA13" s="1003" t="str">
        <f>"Указывается количество заявлений о заключении договоров о подключении (технологическом присоединении) к централизованной системе "&amp;TEMPLATE_SPHERE_RUS&amp;", по которым организацией "&amp;TEMPLATE_SPHERE_RUS&amp;" отказано в заключении договора о подключении (технологическом присоединении) к централизованной системе "&amp;TEMPLATE_SPHERE_RUS&amp;" с указанием причин, в течение одного квартала."</f>
        <v>Указывается количество заявлений о заключении договоров о подключении (технологическом присоединении) к централизованной системе горячего водоснабжения, по которым организацией горячего водоснабжения отказано в заключении договора о подключении (технологическом присоединении) к централизованной системе горячего водоснабжения с указанием причин, в течение одного квартала.</v>
      </c>
      <c r="AB13" s="1000"/>
      <c r="AC13" s="1000"/>
      <c r="AD13" s="1000"/>
    </row>
    <row customHeight="1" ht="45">
      <c r="A14" s="2642"/>
      <c r="B14" s="1053">
        <v>4</v>
      </c>
      <c r="C14" s="2649"/>
      <c r="D14" s="2649"/>
      <c r="E14" s="2649"/>
      <c r="F14" s="2649"/>
      <c r="G14" s="2649"/>
      <c r="H14" s="2641"/>
      <c r="I14" s="1055"/>
      <c r="J14" s="1055"/>
      <c r="K14" s="1055"/>
      <c r="L14" s="1055"/>
      <c r="M14" s="1001" t="str">
        <f>IF(TEMPLATE_SPHERE="HEAT",T14,U14)</f>
        <v>Причины отказа в заключении договора о подключении (технологическом присоединении) к централизованной системе горячего водоснабжения</v>
      </c>
      <c r="N14" s="998" t="str">
        <f>IF(TEMPLATE_SPHERE="HEAT",Z14,AA14)</f>
        <v>Указывается текстовое описание причин принятия решений.
Не заполняется в случае, если решения об отказе в течение отчетного периода не принимались.</v>
      </c>
      <c r="O14" s="997"/>
      <c r="P14" s="998"/>
      <c r="Q14" s="998"/>
      <c r="R14" s="998"/>
      <c r="S14" s="997"/>
      <c r="T14" s="997" t="s">
        <v>1950</v>
      </c>
      <c r="U14" s="998" t="str">
        <f>"Причины отказа в заключении договора о подключении (технологическом присоединении) к централизованной системе "&amp;TEMPLATE_SPHERE_RUS</f>
        <v>Причины отказа в заключении договора о подключении (технологическом присоединении) к централизованной системе горячего водоснабжения</v>
      </c>
      <c r="V14" s="998"/>
      <c r="W14" s="998"/>
      <c r="X14" s="997"/>
      <c r="Y14" s="1155"/>
      <c r="Z14" s="1000" t="s">
        <v>1951</v>
      </c>
      <c r="AA14" s="1003" t="s">
        <v>1951</v>
      </c>
      <c r="AB14" s="1000"/>
      <c r="AC14" s="1000"/>
      <c r="AD14" s="1000"/>
    </row>
    <row customHeight="1" ht="108">
      <c r="A15" s="2642"/>
      <c r="B15" s="1053">
        <v>5</v>
      </c>
      <c r="C15" s="2649"/>
      <c r="D15" s="2649"/>
      <c r="E15" s="2649"/>
      <c r="F15" s="2649"/>
      <c r="G15" s="2649"/>
      <c r="H15" s="2643" t="s">
        <v>1952</v>
      </c>
      <c r="I15" s="1054"/>
      <c r="J15" s="1054"/>
      <c r="K15" s="1054"/>
      <c r="L15" s="1054"/>
      <c r="M15" s="1003" t="str">
        <f>IF(TEMPLATE_SPHERE="HEAT",T15,U15)</f>
        <v>Наличие свободной мощности (резерва мощности) на соответствующих объектах централизованных систем горячего водоснабжения в течение одного квартала, в том числе:</v>
      </c>
      <c r="N15" s="1002" t="str">
        <f>IF(TEMPLATE_SPHERE="HEAT",Z15,AA15)</f>
        <v>Указывается наличие свободной мощности (резерв мощности) на соответствующих объектах централизованной системы горячего водоснабжения (совокупности централизованных систем горячего водоснабжения) в случае, если для них установлены одинаковые тарифы в сфере горячего водоснабжения.
В случае если регулируемыми организациями оказываются услуги горячего водоснабжения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v>
      </c>
      <c r="O15" s="997"/>
      <c r="P15" s="998"/>
      <c r="Q15" s="998"/>
      <c r="R15" s="998"/>
      <c r="S15" s="997"/>
      <c r="T15" s="997" t="s">
        <v>1953</v>
      </c>
      <c r="U15" s="998" t="str">
        <f>"Наличие свободной мощности (резерва мощности) на соответствующих объектах централизованных систем "&amp;TEMPLATE_SPHERE_RUS&amp;" в течение одного квартала, в том числе:"</f>
        <v>Наличие свободной мощности (резерва мощности) на соответствующих объектах централизованных систем горячего водоснабжения в течение одного квартала, в том числе:</v>
      </c>
      <c r="V15" s="998"/>
      <c r="W15" s="998"/>
      <c r="X15" s="997"/>
      <c r="Y15" s="1155"/>
      <c r="Z15" s="1000" t="s">
        <v>1954</v>
      </c>
      <c r="AA15" s="1003" t="str">
        <f>"Указывается наличие свободной мощности (резерв мощности) на соответствующих объектах централизованной системы "&amp;TEMPLATE_SPHERE_RUS&amp;" (совокупности централизованных систем "&amp;TEMPLATE_SPHERE_RUS&amp;") в случае, если для них установлены одинаковые тарифы в сфере "&amp;TEMPLATE_SPHERE_RUS&amp;".
В случае если регулируемыми организациями оказываются услуги "&amp;TEMPLATE_SPHERE_RUS&amp;" по нескольким технологически не связанным между собой централизованным системам "&amp;TEMPLATE_SPHERE_RUS&amp;", и если в отношении указанных систем устанавливаются различные тарифы в сфере "&amp;TEMPLATE_SPHERE_RUS&amp;", то информация раскрывается отдельно по каждой централизованной системе "&amp;TEMPLATE_SPHERE_RUS&amp;"."</f>
        <v>Указывается наличие свободной мощности (резерв мощности) на соответствующих объектах централизованной системы горячего водоснабжения (совокупности централизованных систем горячего водоснабжения) в случае, если для них установлены одинаковые тарифы в сфере горячего водоснабжения.
В случае если регулируемыми организациями оказываются услуги горячего водоснабжения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v>
      </c>
      <c r="AB15" s="1000"/>
      <c r="AC15" s="1000"/>
      <c r="AD15" s="1000"/>
    </row>
    <row customHeight="1" ht="108">
      <c r="A16" s="1053"/>
      <c r="B16" s="1053">
        <v>6</v>
      </c>
      <c r="C16" s="2650"/>
      <c r="D16" s="2650"/>
      <c r="E16" s="2650"/>
      <c r="F16" s="2650"/>
      <c r="G16" s="2650"/>
      <c r="H16" s="2644"/>
      <c r="I16" s="1117"/>
      <c r="J16" s="1117"/>
      <c r="K16" s="1117"/>
      <c r="L16" s="1117"/>
      <c r="M16" s="1046"/>
      <c r="N16" s="1002" t="str">
        <f>IF(TEMPLATE_SPHERE="HEAT",Z16,AA16)</f>
        <v>Указывается наличие свободной мощности (резерв мощности) для централизованной системы горячего водоснабжения, тариф для которой не является отличным от тарифов других централизованных систем горячего водоснабжения регулируемой организации.
При использовании регулируемой организацией нескольких централизованных систем горячего водоснабжения информация о наличии свободной мощности (резерве мощности) на соответствующих объектах централизованных систем горячего водоснабжения публикуется в отношении каждой централизованной системы горячего водоснабжения в отдельных строках.</v>
      </c>
      <c r="O16" s="997"/>
      <c r="P16" s="998"/>
      <c r="Q16" s="998"/>
      <c r="R16" s="998"/>
      <c r="S16" s="997"/>
      <c r="T16" s="997"/>
      <c r="U16" s="998"/>
      <c r="V16" s="998"/>
      <c r="W16" s="998"/>
      <c r="X16" s="997"/>
      <c r="Y16" s="1155"/>
      <c r="Z16" s="1000" t="s">
        <v>1954</v>
      </c>
      <c r="AA16" s="1003" t="str">
        <f>"Указывается наличие свободной мощности (резерв мощности) для централизованной системы "&amp;TEMPLATE_SPHERE_RUS&amp;", тариф для которой не является отличным от тарифов других централизованных систем "&amp;TEMPLATE_SPHERE_RUS&amp;" регулируемой организации.
При использовании регулируемой организацией нескольких централизованных систем "&amp;TEMPLATE_SPHERE_RUS&amp;" информация о наличии свободной мощности (резерве мощности) на соответствующих объектах централизованных систем "&amp;TEMPLATE_SPHERE_RUS&amp;" публикуется в отношении каждой централизованной системы "&amp;TEMPLATE_SPHERE_RUS&amp;" в отдельных строках."</f>
        <v>Указывается наличие свободной мощности (резерв мощности) для централизованной системы горячего водоснабжения, тариф для которой не является отличным от тарифов других централизованных систем горячего водоснабжения регулируемой организации.
При использовании регулируемой организацией нескольких централизованных систем горячего водоснабжения информация о наличии свободной мощности (резерве мощности) на соответствующих объектах централизованных систем горячего водоснабжения публикуется в отношении каждой централизованной системы горячего водоснабжения в отдельных строках.</v>
      </c>
      <c r="AB16" s="1000"/>
      <c r="AC16" s="1000"/>
      <c r="AD16" s="1000"/>
    </row>
    <row customHeight="1" ht="9">
      <c r="A17" s="1053"/>
      <c r="B17" s="1053"/>
      <c r="C17" s="1053">
        <v>22</v>
      </c>
      <c r="D17" s="1053">
        <v>21</v>
      </c>
      <c r="E17" s="1053">
        <v>42</v>
      </c>
      <c r="F17" s="1053">
        <v>63</v>
      </c>
      <c r="G17" s="1053"/>
      <c r="H17" s="1053"/>
      <c r="I17" s="1053"/>
      <c r="J17" s="1053"/>
      <c r="K17" s="1053"/>
      <c r="L17" s="1053"/>
      <c r="M17" s="1053"/>
      <c r="N17" s="1053"/>
      <c r="O17" s="1053"/>
      <c r="P17" s="1053"/>
      <c r="Q17" s="1053"/>
      <c r="R17" s="1053"/>
      <c r="S17" s="1053"/>
      <c r="T17" s="1053"/>
      <c r="U17" s="1053"/>
      <c r="V17" s="1053"/>
      <c r="W17" s="1053"/>
      <c r="X17" s="1053"/>
      <c r="Y17" s="1053"/>
      <c r="Z17" s="1053"/>
      <c r="AA17" s="1053"/>
      <c r="AB17" s="1053"/>
      <c r="AC17" s="1053"/>
      <c r="AD17" s="1053"/>
    </row>
    <row customHeight="1" ht="27">
      <c r="A18" s="999" t="s">
        <v>1570</v>
      </c>
      <c r="B18" s="1053">
        <v>1</v>
      </c>
      <c r="C18" s="997" t="s">
        <v>1938</v>
      </c>
      <c r="D18" s="1122" t="s">
        <v>1938</v>
      </c>
      <c r="E18" s="997" t="s">
        <v>1938</v>
      </c>
      <c r="F18" s="997" t="s">
        <v>1938</v>
      </c>
      <c r="G18" s="997"/>
      <c r="H18" s="1157"/>
      <c r="I18" s="1160">
        <f>INDEX(TEMPLATE_NUMBER_POINT_FHD,B18,MATCH(TEMPLATE_SPHERE,TEMPLATE_SPHERE_LIST_FOR_NOTE,0))</f>
        <v>1</v>
      </c>
      <c r="J18" s="1160" t="str">
        <f>INDEX(TEMPLATE_DATA_POINT_FHD,B18,MATCH(TEMPLATE_SPHERE,TEMPLATE_SPHERE_LIST_FOR_NOTE,0))</f>
        <v>Выручка от регулируемых видов деятельности в сфере горячего водоснабжения</v>
      </c>
      <c r="K18" s="1160" t="str">
        <f>INDEX(TEMPLATE_NOTE_POINT_FHD,B18,MATCH(TEMPLATE_SPHERE,TEMPLATE_SPHERE_LIST_FOR_NOTE,0))</f>
        <v>Указывается выручка с распределением по видам деятельности.</v>
      </c>
      <c r="L18" s="998">
        <f>IF(I18=0,"",I18)</f>
        <v>1</v>
      </c>
      <c r="M18" s="998" t="str">
        <f>IF(J18=0,"",J18)</f>
        <v>Выручка от регулируемых видов деятельности в сфере горячего водоснабжения</v>
      </c>
      <c r="N18" s="998" t="str">
        <f>IF(K18=0,"",K18)</f>
        <v>Указывается выручка с распределением по видам деятельности.</v>
      </c>
      <c r="O18" s="1112">
        <v>1</v>
      </c>
      <c r="P18" s="1112">
        <v>1</v>
      </c>
      <c r="Q18" s="1112">
        <v>1</v>
      </c>
      <c r="R18" s="1112">
        <v>1</v>
      </c>
      <c r="S18" s="1112"/>
      <c r="T18" s="1119" t="s">
        <v>1955</v>
      </c>
      <c r="U18" s="1000" t="s">
        <v>1956</v>
      </c>
      <c r="V18" s="1000" t="s">
        <v>1957</v>
      </c>
      <c r="W18" s="1000" t="s">
        <v>1958</v>
      </c>
      <c r="X18" s="997"/>
      <c r="Y18" s="1155"/>
      <c r="Z18" s="1000" t="s">
        <v>1959</v>
      </c>
      <c r="AA18" s="1003" t="s">
        <v>1960</v>
      </c>
      <c r="AB18" s="1003" t="s">
        <v>1960</v>
      </c>
      <c r="AC18" s="1003" t="s">
        <v>1960</v>
      </c>
      <c r="AD18" s="1000"/>
    </row>
    <row customHeight="1" ht="36">
      <c r="A19" s="999"/>
      <c r="B19" s="1053">
        <v>2</v>
      </c>
      <c r="C19" s="997" t="s">
        <v>1942</v>
      </c>
      <c r="D19" s="1122" t="s">
        <v>1942</v>
      </c>
      <c r="E19" s="997" t="s">
        <v>1942</v>
      </c>
      <c r="F19" s="997" t="s">
        <v>1942</v>
      </c>
      <c r="G19" s="997"/>
      <c r="H19" s="1157"/>
      <c r="I19" s="1160">
        <f>INDEX(TEMPLATE_NUMBER_POINT_FHD,B19,MATCH(TEMPLATE_SPHERE,TEMPLATE_SPHERE_LIST_FOR_NOTE,0))</f>
        <v>2</v>
      </c>
      <c r="J19" s="1160" t="str">
        <f>INDEX(TEMPLATE_DATA_POINT_FHD,B19,MATCH(TEMPLATE_SPHERE,TEMPLATE_SPHERE_LIST_FOR_NOTE,0))</f>
        <v>Себестоимость производимых товаров (оказываемых услуг) по регулируемым видам деятельности в сфере горячего водоснабжения, включая:</v>
      </c>
      <c r="K19" s="1160" t="str">
        <f>INDEX(TEMPLATE_NOTE_POINT_FHD,B19,MATCH(TEMPLATE_SPHERE,TEMPLATE_SPHERE_LIST_FOR_NOTE,0))</f>
        <v>Указывается суммарная себестоимость производимых товаров.</v>
      </c>
      <c r="L19" s="998">
        <f>IF(I19=0,"",I19)</f>
        <v>2</v>
      </c>
      <c r="M19" s="998" t="str">
        <f>IF(J19=0,"",J19)</f>
        <v>Себестоимость производимых товаров (оказываемых услуг) по регулируемым видам деятельности в сфере горячего водоснабжения, включая:</v>
      </c>
      <c r="N19" s="998" t="str">
        <f>IF(K19=0,"",K19)</f>
        <v>Указывается суммарная себестоимость производимых товаров.</v>
      </c>
      <c r="O19" s="1112">
        <v>2</v>
      </c>
      <c r="P19" s="1112">
        <v>2</v>
      </c>
      <c r="Q19" s="1112">
        <v>2</v>
      </c>
      <c r="R19" s="1112">
        <v>2</v>
      </c>
      <c r="S19" s="1112"/>
      <c r="T19" s="1119" t="s">
        <v>1961</v>
      </c>
      <c r="U19" s="1000" t="s">
        <v>1962</v>
      </c>
      <c r="V19" s="1000" t="s">
        <v>1963</v>
      </c>
      <c r="W19" s="1000" t="s">
        <v>1964</v>
      </c>
      <c r="X19" s="997"/>
      <c r="Y19" s="1155"/>
      <c r="Z19" s="1000" t="s">
        <v>1965</v>
      </c>
      <c r="AA19" s="1003" t="s">
        <v>1965</v>
      </c>
      <c r="AB19" s="1003" t="s">
        <v>1965</v>
      </c>
      <c r="AC19" s="1003" t="s">
        <v>1965</v>
      </c>
      <c r="AD19" s="1000"/>
    </row>
    <row customHeight="1" ht="27">
      <c r="A20" s="999"/>
      <c r="B20" s="1053">
        <v>3</v>
      </c>
      <c r="C20" s="997">
        <v>1</v>
      </c>
      <c r="D20" s="1122"/>
      <c r="E20" s="997"/>
      <c r="F20" s="997"/>
      <c r="G20" s="997"/>
      <c r="H20" s="1157"/>
      <c r="I20" s="1160" t="str">
        <f>INDEX(TEMPLATE_NUMBER_POINT_FHD,B20,MATCH(TEMPLATE_SPHERE,TEMPLATE_SPHERE_LIST_FOR_NOTE,0))</f>
        <v>2.1</v>
      </c>
      <c r="J20" s="1160" t="str">
        <f>INDEX(TEMPLATE_DATA_POINT_FHD,B20,MATCH(TEMPLATE_SPHERE,TEMPLATE_SPHERE_LIST_FOR_NOTE,0))</f>
        <v>Расходы на приобретаемую тепловую энергию (мощность), используемую для горячего водоснабжения</v>
      </c>
      <c r="K20" s="1160">
        <f>INDEX(TEMPLATE_NOTE_POINT_FHD,B20,MATCH(TEMPLATE_SPHERE,TEMPLATE_SPHERE_LIST_FOR_NOTE,0))</f>
        <v>0</v>
      </c>
      <c r="L20" s="998" t="str">
        <f>IF(I20=0,"",I20)</f>
        <v>2.1</v>
      </c>
      <c r="M20" s="998" t="str">
        <f>IF(J20=0,"",J20)</f>
        <v>Расходы на приобретаемую тепловую энергию (мощность), используемую для горячего водоснабжения</v>
      </c>
      <c r="N20" s="998" t="str">
        <f>IF(K20=0,"",K20)</f>
        <v/>
      </c>
      <c r="O20" s="1112" t="s">
        <v>623</v>
      </c>
      <c r="P20" s="1112" t="s">
        <v>623</v>
      </c>
      <c r="Q20" s="1112" t="s">
        <v>623</v>
      </c>
      <c r="R20" s="1112" t="s">
        <v>623</v>
      </c>
      <c r="S20" s="1112"/>
      <c r="T20" s="1119" t="s">
        <v>1966</v>
      </c>
      <c r="U20" s="1000" t="s">
        <v>1967</v>
      </c>
      <c r="V20" s="1000" t="s">
        <v>1968</v>
      </c>
      <c r="W20" s="1000" t="s">
        <v>1969</v>
      </c>
      <c r="X20" s="997"/>
      <c r="Y20" s="1155"/>
      <c r="Z20" s="1000"/>
      <c r="AA20" s="1003"/>
      <c r="AB20" s="1000"/>
      <c r="AC20" s="1000"/>
      <c r="AD20" s="1000"/>
    </row>
    <row customHeight="1" ht="36">
      <c r="A21" s="999"/>
      <c r="B21" s="1053">
        <v>4</v>
      </c>
      <c r="C21" s="997">
        <v>2</v>
      </c>
      <c r="D21" s="1122"/>
      <c r="E21" s="997"/>
      <c r="F21" s="997"/>
      <c r="G21" s="997"/>
      <c r="H21" s="1157"/>
      <c r="I21" s="1160">
        <f>INDEX(TEMPLATE_NUMBER_POINT_FHD,B21,MATCH(TEMPLATE_SPHERE,TEMPLATE_SPHERE_LIST_FOR_NOTE,0))</f>
        <v>0</v>
      </c>
      <c r="J21" s="1160">
        <f>INDEX(TEMPLATE_DATA_POINT_FHD,B21,MATCH(TEMPLATE_SPHERE,TEMPLATE_SPHERE_LIST_FOR_NOTE,0))</f>
        <v>0</v>
      </c>
      <c r="K21" s="1160">
        <f>INDEX(TEMPLATE_NOTE_POINT_FHD,B21,MATCH(TEMPLATE_SPHERE,TEMPLATE_SPHERE_LIST_FOR_NOTE,0))</f>
        <v>0</v>
      </c>
      <c r="L21" s="998" t="str">
        <f>IF(I21=0,"",I21)</f>
        <v/>
      </c>
      <c r="M21" s="998" t="str">
        <f>IF(J21=0,"",J21)</f>
        <v/>
      </c>
      <c r="N21" s="998" t="str">
        <f>IF(K21=0,"",K21)</f>
        <v/>
      </c>
      <c r="O21" s="1112" t="s">
        <v>307</v>
      </c>
      <c r="P21" s="1112"/>
      <c r="Q21" s="1112"/>
      <c r="R21" s="1112"/>
      <c r="S21" s="1112"/>
      <c r="T21" s="1119" t="s">
        <v>1970</v>
      </c>
      <c r="U21" s="1000"/>
      <c r="V21" s="1000"/>
      <c r="W21" s="1000"/>
      <c r="X21" s="997"/>
      <c r="Y21" s="1155"/>
      <c r="Z21" s="1000" t="s">
        <v>1971</v>
      </c>
      <c r="AA21" s="1003"/>
      <c r="AB21" s="1000"/>
      <c r="AC21" s="1000"/>
      <c r="AD21" s="1000"/>
    </row>
    <row customHeight="1" ht="36">
      <c r="A22" s="999"/>
      <c r="B22" s="1053">
        <v>5</v>
      </c>
      <c r="C22" s="997">
        <v>3</v>
      </c>
      <c r="D22" s="1122"/>
      <c r="E22" s="997"/>
      <c r="F22" s="997"/>
      <c r="G22" s="1045"/>
      <c r="H22" s="1113"/>
      <c r="I22" s="1160" t="str">
        <f>INDEX(TEMPLATE_NUMBER_POINT_FHD,B22,MATCH(TEMPLATE_SPHERE,TEMPLATE_SPHERE_LIST_FOR_NOTE,0))</f>
        <v>2.2</v>
      </c>
      <c r="J22" s="1160" t="str">
        <f>INDEX(TEMPLATE_DATA_POINT_FHD,B22,MATCH(TEMPLATE_SPHERE,TEMPLATE_SPHERE_LIST_FOR_NOTE,0))</f>
        <v>Расходы на тепловую энергию, производимую с применением собственных источников и используемую для горячего водоснабжения</v>
      </c>
      <c r="K22" s="1160">
        <f>INDEX(TEMPLATE_NOTE_POINT_FHD,B22,MATCH(TEMPLATE_SPHERE,TEMPLATE_SPHERE_LIST_FOR_NOTE,0))</f>
        <v>0</v>
      </c>
      <c r="L22" s="998" t="str">
        <f>IF(I22=0,"",I22)</f>
        <v>2.2</v>
      </c>
      <c r="M22" s="998" t="str">
        <f>IF(J22=0,"",J22)</f>
        <v>Расходы на тепловую энергию, производимую с применением собственных источников и используемую для горячего водоснабжения</v>
      </c>
      <c r="N22" s="998" t="str">
        <f>IF(K22=0,"",K22)</f>
        <v/>
      </c>
      <c r="O22" s="1112"/>
      <c r="P22" s="1112"/>
      <c r="Q22" s="1112" t="s">
        <v>307</v>
      </c>
      <c r="R22" s="1112"/>
      <c r="S22" s="1112"/>
      <c r="T22" s="1119"/>
      <c r="U22" s="1000"/>
      <c r="V22" s="1000" t="s">
        <v>1972</v>
      </c>
      <c r="W22" s="1000"/>
      <c r="X22" s="997"/>
      <c r="Y22" s="1155"/>
      <c r="Z22" s="1000"/>
      <c r="AA22" s="1003"/>
      <c r="AB22" s="1000"/>
      <c r="AC22" s="1000"/>
      <c r="AD22" s="1000"/>
    </row>
    <row customHeight="1" ht="27">
      <c r="A23" s="999"/>
      <c r="B23" s="1053">
        <v>6</v>
      </c>
      <c r="C23" s="997">
        <v>4</v>
      </c>
      <c r="D23" s="1122"/>
      <c r="E23" s="997"/>
      <c r="F23" s="997"/>
      <c r="G23" s="1045"/>
      <c r="H23" s="1113"/>
      <c r="I23" s="1160" t="str">
        <f>INDEX(TEMPLATE_NUMBER_POINT_FHD,B23,MATCH(TEMPLATE_SPHERE,TEMPLATE_SPHERE_LIST_FOR_NOTE,0))</f>
        <v>2.3</v>
      </c>
      <c r="J23" s="1160" t="str">
        <f>INDEX(TEMPLATE_DATA_POINT_FHD,B23,MATCH(TEMPLATE_SPHERE,TEMPLATE_SPHERE_LIST_FOR_NOTE,0))</f>
        <v>Расходы на приобретаемую холодную воду, используемую для горячего водоснабжения</v>
      </c>
      <c r="K23" s="1160">
        <f>INDEX(TEMPLATE_NOTE_POINT_FHD,B23,MATCH(TEMPLATE_SPHERE,TEMPLATE_SPHERE_LIST_FOR_NOTE,0))</f>
        <v>0</v>
      </c>
      <c r="L23" s="998" t="str">
        <f>IF(I23=0,"",I23)</f>
        <v>2.3</v>
      </c>
      <c r="M23" s="998" t="str">
        <f>IF(J23=0,"",J23)</f>
        <v>Расходы на приобретаемую холодную воду, используемую для горячего водоснабжения</v>
      </c>
      <c r="N23" s="998" t="str">
        <f>IF(K23=0,"",K23)</f>
        <v/>
      </c>
      <c r="O23" s="1112"/>
      <c r="P23" s="1112"/>
      <c r="Q23" s="1112" t="s">
        <v>310</v>
      </c>
      <c r="R23" s="1112"/>
      <c r="S23" s="1112"/>
      <c r="T23" s="1119"/>
      <c r="U23" s="1000"/>
      <c r="V23" s="1000" t="s">
        <v>1973</v>
      </c>
      <c r="W23" s="1000"/>
      <c r="X23" s="997"/>
      <c r="Y23" s="1155"/>
      <c r="Z23" s="1000"/>
      <c r="AA23" s="1003"/>
      <c r="AB23" s="1000"/>
      <c r="AC23" s="1000"/>
      <c r="AD23" s="1000"/>
    </row>
    <row customHeight="1" ht="36">
      <c r="A24" s="999"/>
      <c r="B24" s="1053">
        <v>7</v>
      </c>
      <c r="C24" s="997">
        <v>5</v>
      </c>
      <c r="D24" s="1122"/>
      <c r="E24" s="997"/>
      <c r="F24" s="997"/>
      <c r="G24" s="1045"/>
      <c r="H24" s="1113"/>
      <c r="I24" s="1160" t="str">
        <f>INDEX(TEMPLATE_NUMBER_POINT_FHD,B24,MATCH(TEMPLATE_SPHERE,TEMPLATE_SPHERE_LIST_FOR_NOTE,0))</f>
        <v>2.4</v>
      </c>
      <c r="J24" s="1160" t="str">
        <f>INDEX(TEMPLATE_DATA_POINT_FHD,B24,MATCH(TEMPLATE_SPHERE,TEMPLATE_SPHERE_LIST_FOR_NOTE,0))</f>
        <v>Расходы на холодную воду, получаемую с применением собственных источников водозабора (скважин) и используемую для горячего водоснабжения</v>
      </c>
      <c r="K24" s="1160">
        <f>INDEX(TEMPLATE_NOTE_POINT_FHD,B24,MATCH(TEMPLATE_SPHERE,TEMPLATE_SPHERE_LIST_FOR_NOTE,0))</f>
        <v>0</v>
      </c>
      <c r="L24" s="998" t="str">
        <f>IF(I24=0,"",I24)</f>
        <v>2.4</v>
      </c>
      <c r="M24" s="998" t="str">
        <f>IF(J24=0,"",J24)</f>
        <v>Расходы на холодную воду, получаемую с применением собственных источников водозабора (скважин) и используемую для горячего водоснабжения</v>
      </c>
      <c r="N24" s="998" t="str">
        <f>IF(K24=0,"",K24)</f>
        <v/>
      </c>
      <c r="O24" s="1112"/>
      <c r="P24" s="1112"/>
      <c r="Q24" s="1112" t="s">
        <v>643</v>
      </c>
      <c r="R24" s="1112"/>
      <c r="S24" s="1112"/>
      <c r="T24" s="1119"/>
      <c r="U24" s="1000"/>
      <c r="V24" s="1000" t="s">
        <v>1974</v>
      </c>
      <c r="W24" s="1000"/>
      <c r="X24" s="997"/>
      <c r="Y24" s="1155"/>
      <c r="Z24" s="1000"/>
      <c r="AA24" s="1003"/>
      <c r="AB24" s="1000"/>
      <c r="AC24" s="1000"/>
      <c r="AD24" s="1000"/>
    </row>
    <row customHeight="1" ht="36">
      <c r="A25" s="999"/>
      <c r="B25" s="1053">
        <v>8</v>
      </c>
      <c r="C25" s="997">
        <v>6</v>
      </c>
      <c r="D25" s="1122"/>
      <c r="E25" s="997"/>
      <c r="F25" s="997"/>
      <c r="G25" s="1045"/>
      <c r="H25" s="1113"/>
      <c r="I25" s="1160" t="str">
        <f>INDEX(TEMPLATE_NUMBER_POINT_FHD,B25,MATCH(TEMPLATE_SPHERE,TEMPLATE_SPHERE_LIST_FOR_NOTE,0))</f>
        <v>2.5</v>
      </c>
      <c r="J25" s="1160" t="str">
        <f>INDEX(TEMPLATE_DATA_POINT_FHD,B25,MATCH(TEMPLATE_SPHERE,TEMPLATE_SPHERE_LIST_FOR_NOTE,0))</f>
        <v>Расходы на приобретаемую электрическую энергию (мощность), используемую в технологическом процессе</v>
      </c>
      <c r="K25" s="1160">
        <f>INDEX(TEMPLATE_NOTE_POINT_FHD,B25,MATCH(TEMPLATE_SPHERE,TEMPLATE_SPHERE_LIST_FOR_NOTE,0))</f>
        <v>0</v>
      </c>
      <c r="L25" s="998" t="str">
        <f>IF(I25=0,"",I25)</f>
        <v>2.5</v>
      </c>
      <c r="M25" s="998" t="str">
        <f>IF(J25=0,"",J25)</f>
        <v>Расходы на приобретаемую электрическую энергию (мощность), используемую в технологическом процессе</v>
      </c>
      <c r="N25" s="998" t="str">
        <f>IF(K25=0,"",K25)</f>
        <v/>
      </c>
      <c r="O25" s="1112" t="s">
        <v>310</v>
      </c>
      <c r="P25" s="1112" t="s">
        <v>307</v>
      </c>
      <c r="Q25" s="1112" t="s">
        <v>650</v>
      </c>
      <c r="R25" s="1112" t="s">
        <v>307</v>
      </c>
      <c r="S25" s="1112"/>
      <c r="T25" s="1119" t="s">
        <v>1975</v>
      </c>
      <c r="U25" s="1000" t="s">
        <v>1975</v>
      </c>
      <c r="V25" s="1000" t="s">
        <v>1975</v>
      </c>
      <c r="W25" s="1000" t="s">
        <v>1975</v>
      </c>
      <c r="X25" s="997"/>
      <c r="Y25" s="1155"/>
      <c r="Z25" s="1000"/>
      <c r="AA25" s="1003"/>
      <c r="AB25" s="1000"/>
      <c r="AC25" s="1000"/>
      <c r="AD25" s="1000"/>
    </row>
    <row customHeight="1" ht="18">
      <c r="A26" s="999"/>
      <c r="B26" s="1053">
        <v>9</v>
      </c>
      <c r="C26" s="997" t="s">
        <v>822</v>
      </c>
      <c r="D26" s="1122"/>
      <c r="E26" s="997"/>
      <c r="F26" s="997"/>
      <c r="G26" s="1045"/>
      <c r="H26" s="1113"/>
      <c r="I26" s="1160" t="str">
        <f>INDEX(TEMPLATE_NUMBER_POINT_FHD,B26,MATCH(TEMPLATE_SPHERE,TEMPLATE_SPHERE_LIST_FOR_NOTE,0))</f>
        <v>2.5.1</v>
      </c>
      <c r="J26" s="1160" t="str">
        <f>INDEX(TEMPLATE_DATA_POINT_FHD,B26,MATCH(TEMPLATE_SPHERE,TEMPLATE_SPHERE_LIST_FOR_NOTE,0))</f>
        <v>Средневзвешенная стоимость 1 кВт.ч (с учетом мощности)</v>
      </c>
      <c r="K26" s="1160">
        <f>INDEX(TEMPLATE_NOTE_POINT_FHD,B26,MATCH(TEMPLATE_SPHERE,TEMPLATE_SPHERE_LIST_FOR_NOTE,0))</f>
        <v>0</v>
      </c>
      <c r="L26" s="998" t="str">
        <f>IF(I26=0,"",I26)</f>
        <v>2.5.1</v>
      </c>
      <c r="M26" s="998" t="str">
        <f>IF(J26=0,"",J26)</f>
        <v>Средневзвешенная стоимость 1 кВт.ч (с учетом мощности)</v>
      </c>
      <c r="N26" s="998" t="str">
        <f>IF(K26=0,"",K26)</f>
        <v/>
      </c>
      <c r="O26" s="1112" t="s">
        <v>639</v>
      </c>
      <c r="P26" s="1112" t="s">
        <v>633</v>
      </c>
      <c r="Q26" s="1112" t="s">
        <v>1976</v>
      </c>
      <c r="R26" s="1112" t="s">
        <v>633</v>
      </c>
      <c r="S26" s="1112"/>
      <c r="T26" s="1119" t="s">
        <v>1977</v>
      </c>
      <c r="U26" s="1119" t="s">
        <v>1977</v>
      </c>
      <c r="V26" s="1119" t="s">
        <v>1977</v>
      </c>
      <c r="W26" s="1119" t="s">
        <v>1977</v>
      </c>
      <c r="X26" s="997"/>
      <c r="Y26" s="1155"/>
      <c r="Z26" s="1000"/>
      <c r="AA26" s="1003"/>
      <c r="AB26" s="1000"/>
      <c r="AC26" s="1000"/>
      <c r="AD26" s="1000"/>
    </row>
    <row customHeight="1" ht="18">
      <c r="A27" s="999"/>
      <c r="B27" s="1053">
        <v>10</v>
      </c>
      <c r="C27" s="997" t="s">
        <v>1978</v>
      </c>
      <c r="D27" s="1122"/>
      <c r="E27" s="997"/>
      <c r="F27" s="997"/>
      <c r="G27" s="1045"/>
      <c r="H27" s="1113"/>
      <c r="I27" s="1160" t="str">
        <f>INDEX(TEMPLATE_NUMBER_POINT_FHD,B27,MATCH(TEMPLATE_SPHERE,TEMPLATE_SPHERE_LIST_FOR_NOTE,0))</f>
        <v>2.5.2</v>
      </c>
      <c r="J27" s="1160" t="str">
        <f>INDEX(TEMPLATE_DATA_POINT_FHD,B27,MATCH(TEMPLATE_SPHERE,TEMPLATE_SPHERE_LIST_FOR_NOTE,0))</f>
        <v>Объём приобретения электрической энергии</v>
      </c>
      <c r="K27" s="1160">
        <f>INDEX(TEMPLATE_NOTE_POINT_FHD,B27,MATCH(TEMPLATE_SPHERE,TEMPLATE_SPHERE_LIST_FOR_NOTE,0))</f>
        <v>0</v>
      </c>
      <c r="L27" s="998" t="str">
        <f>IF(I27=0,"",I27)</f>
        <v>2.5.2</v>
      </c>
      <c r="M27" s="998" t="str">
        <f>IF(J27=0,"",J27)</f>
        <v>Объём приобретения электрической энергии</v>
      </c>
      <c r="N27" s="998" t="str">
        <f>IF(K27=0,"",K27)</f>
        <v/>
      </c>
      <c r="O27" s="1112" t="s">
        <v>641</v>
      </c>
      <c r="P27" s="1112" t="s">
        <v>635</v>
      </c>
      <c r="Q27" s="1112" t="s">
        <v>1979</v>
      </c>
      <c r="R27" s="1112" t="s">
        <v>635</v>
      </c>
      <c r="S27" s="1112"/>
      <c r="T27" s="1119" t="s">
        <v>1980</v>
      </c>
      <c r="U27" s="1119" t="s">
        <v>1980</v>
      </c>
      <c r="V27" s="1119" t="s">
        <v>1980</v>
      </c>
      <c r="W27" s="1119" t="s">
        <v>1980</v>
      </c>
      <c r="X27" s="997"/>
      <c r="Y27" s="1155"/>
      <c r="Z27" s="1000"/>
      <c r="AA27" s="1003"/>
      <c r="AB27" s="1000"/>
      <c r="AC27" s="1000"/>
      <c r="AD27" s="1000"/>
    </row>
    <row customHeight="1" ht="27">
      <c r="A28" s="999"/>
      <c r="B28" s="1053">
        <v>11</v>
      </c>
      <c r="C28" s="997">
        <v>7</v>
      </c>
      <c r="D28" s="1122"/>
      <c r="E28" s="997"/>
      <c r="F28" s="997"/>
      <c r="G28" s="1045"/>
      <c r="H28" s="1113"/>
      <c r="I28" s="1160">
        <f>INDEX(TEMPLATE_NUMBER_POINT_FHD,B28,MATCH(TEMPLATE_SPHERE,TEMPLATE_SPHERE_LIST_FOR_NOTE,0))</f>
        <v>0</v>
      </c>
      <c r="J28" s="1160">
        <f>INDEX(TEMPLATE_DATA_POINT_FHD,B28,MATCH(TEMPLATE_SPHERE,TEMPLATE_SPHERE_LIST_FOR_NOTE,0))</f>
        <v>0</v>
      </c>
      <c r="K28" s="1160">
        <f>INDEX(TEMPLATE_NOTE_POINT_FHD,B28,MATCH(TEMPLATE_SPHERE,TEMPLATE_SPHERE_LIST_FOR_NOTE,0))</f>
        <v>0</v>
      </c>
      <c r="L28" s="998" t="str">
        <f>IF(I28=0,"",I28)</f>
        <v/>
      </c>
      <c r="M28" s="998" t="str">
        <f>IF(J28=0,"",J28)</f>
        <v/>
      </c>
      <c r="N28" s="998" t="str">
        <f>IF(K28=0,"",K28)</f>
        <v/>
      </c>
      <c r="O28" s="1112" t="s">
        <v>643</v>
      </c>
      <c r="P28" s="1112"/>
      <c r="Q28" s="1112"/>
      <c r="R28" s="1112"/>
      <c r="S28" s="1112"/>
      <c r="T28" s="1119" t="s">
        <v>1981</v>
      </c>
      <c r="U28" s="1000"/>
      <c r="V28" s="1000"/>
      <c r="W28" s="1000"/>
      <c r="X28" s="997"/>
      <c r="Y28" s="1155"/>
      <c r="Z28" s="1000"/>
      <c r="AA28" s="1003"/>
      <c r="AB28" s="1000"/>
      <c r="AC28" s="1000"/>
      <c r="AD28" s="1000"/>
    </row>
    <row customHeight="1" ht="27">
      <c r="A29" s="999"/>
      <c r="B29" s="1053">
        <v>12</v>
      </c>
      <c r="C29" s="997">
        <v>8</v>
      </c>
      <c r="D29" s="1122"/>
      <c r="E29" s="997"/>
      <c r="F29" s="997"/>
      <c r="G29" s="1045"/>
      <c r="H29" s="1113"/>
      <c r="I29" s="1160">
        <f>INDEX(TEMPLATE_NUMBER_POINT_FHD,B29,MATCH(TEMPLATE_SPHERE,TEMPLATE_SPHERE_LIST_FOR_NOTE,0))</f>
        <v>0</v>
      </c>
      <c r="J29" s="1160">
        <f>INDEX(TEMPLATE_DATA_POINT_FHD,B29,MATCH(TEMPLATE_SPHERE,TEMPLATE_SPHERE_LIST_FOR_NOTE,0))</f>
        <v>0</v>
      </c>
      <c r="K29" s="1160">
        <f>INDEX(TEMPLATE_NOTE_POINT_FHD,B29,MATCH(TEMPLATE_SPHERE,TEMPLATE_SPHERE_LIST_FOR_NOTE,0))</f>
        <v>0</v>
      </c>
      <c r="L29" s="998" t="str">
        <f>IF(I29=0,"",I29)</f>
        <v/>
      </c>
      <c r="M29" s="998" t="str">
        <f>IF(J29=0,"",J29)</f>
        <v/>
      </c>
      <c r="N29" s="998" t="str">
        <f>IF(K29=0,"",K29)</f>
        <v/>
      </c>
      <c r="O29" s="1112" t="s">
        <v>650</v>
      </c>
      <c r="P29" s="1112" t="s">
        <v>310</v>
      </c>
      <c r="Q29" s="1112"/>
      <c r="R29" s="1112" t="s">
        <v>310</v>
      </c>
      <c r="S29" s="1112"/>
      <c r="T29" s="1119" t="s">
        <v>1982</v>
      </c>
      <c r="U29" s="1000" t="s">
        <v>1982</v>
      </c>
      <c r="V29" s="1000"/>
      <c r="W29" s="1000" t="s">
        <v>1982</v>
      </c>
      <c r="X29" s="997"/>
      <c r="Y29" s="1155"/>
      <c r="Z29" s="1000"/>
      <c r="AA29" s="1003"/>
      <c r="AB29" s="1000"/>
      <c r="AC29" s="1000"/>
      <c r="AD29" s="1000"/>
    </row>
    <row customHeight="1" ht="54">
      <c r="A30" s="999"/>
      <c r="B30" s="1053">
        <v>13</v>
      </c>
      <c r="C30" s="997">
        <v>9</v>
      </c>
      <c r="D30" s="1122"/>
      <c r="E30" s="997"/>
      <c r="F30" s="997"/>
      <c r="G30" s="1045"/>
      <c r="H30" s="1113"/>
      <c r="I30" s="1160" t="str">
        <f>INDEX(TEMPLATE_NUMBER_POINT_FHD,B30,MATCH(TEMPLATE_SPHERE,TEMPLATE_SPHERE_LIST_FOR_NOTE,0))</f>
        <v>2.6</v>
      </c>
      <c r="J30" s="1160" t="str">
        <f>INDEX(TEMPLATE_DATA_POINT_FHD,B30,MATCH(TEMPLATE_SPHERE,TEMPLATE_SPHERE_LIST_FOR_NOTE,0))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K30" s="1160" t="str">
        <f>INDEX(TEMPLATE_NOTE_POINT_FHD,B30,MATCH(TEMPLATE_SPHERE,TEMPLATE_SPHERE_LIST_FOR_NOTE,0))</f>
        <v>Указывается общая сумма расходов на оплату труда и отчислений на социальные нужды основного производственного персонала.</v>
      </c>
      <c r="L30" s="998" t="str">
        <f>IF(I30=0,"",I30)</f>
        <v>2.6</v>
      </c>
      <c r="M30" s="998" t="str">
        <f>IF(J30=0,"",J30)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N30" s="998" t="str">
        <f>IF(K30=0,"",K30)</f>
        <v>Указывается общая сумма расходов на оплату труда и отчислений на социальные нужды основного производственного персонала.</v>
      </c>
      <c r="O30" s="1112" t="s">
        <v>652</v>
      </c>
      <c r="P30" s="1112" t="s">
        <v>643</v>
      </c>
      <c r="Q30" s="1112" t="s">
        <v>652</v>
      </c>
      <c r="R30" s="1112" t="s">
        <v>643</v>
      </c>
      <c r="S30" s="1112"/>
      <c r="T30" s="1119" t="s">
        <v>1983</v>
      </c>
      <c r="U30" s="1000" t="s">
        <v>1983</v>
      </c>
      <c r="V30" s="1000" t="s">
        <v>1983</v>
      </c>
      <c r="W30" s="1000" t="s">
        <v>1983</v>
      </c>
      <c r="X30" s="997"/>
      <c r="Y30" s="1155"/>
      <c r="Z30" s="1000"/>
      <c r="AA30" s="1003" t="s">
        <v>1984</v>
      </c>
      <c r="AB30" s="1003" t="s">
        <v>1984</v>
      </c>
      <c r="AC30" s="1003" t="s">
        <v>1984</v>
      </c>
      <c r="AD30" s="1000"/>
    </row>
    <row customHeight="1" ht="18">
      <c r="A31" s="999"/>
      <c r="B31" s="1053">
        <v>14</v>
      </c>
      <c r="C31" s="997" t="s">
        <v>1985</v>
      </c>
      <c r="D31" s="1122"/>
      <c r="E31" s="997"/>
      <c r="F31" s="997"/>
      <c r="G31" s="1045"/>
      <c r="H31" s="1113"/>
      <c r="I31" s="1160" t="str">
        <f>INDEX(TEMPLATE_NUMBER_POINT_FHD,B31,MATCH(TEMPLATE_SPHERE,TEMPLATE_SPHERE_LIST_FOR_NOTE,0))</f>
        <v>2.6.1</v>
      </c>
      <c r="J31" s="1160" t="str">
        <f>INDEX(TEMPLATE_DATA_POINT_FHD,B31,MATCH(TEMPLATE_SPHERE,TEMPLATE_SPHERE_LIST_FOR_NOTE,0))</f>
        <v>Расходы на оплату труда основного производственного персонала</v>
      </c>
      <c r="K31" s="1160">
        <f>INDEX(TEMPLATE_NOTE_POINT_FHD,B31,MATCH(TEMPLATE_SPHERE,TEMPLATE_SPHERE_LIST_FOR_NOTE,0))</f>
        <v>0</v>
      </c>
      <c r="L31" s="998" t="str">
        <f>IF(I31=0,"",I31)</f>
        <v>2.6.1</v>
      </c>
      <c r="M31" s="998" t="str">
        <f>IF(J31=0,"",J31)</f>
        <v>Расходы на оплату труда основного производственного персонала</v>
      </c>
      <c r="N31" s="998" t="str">
        <f>IF(K31=0,"",K31)</f>
        <v/>
      </c>
      <c r="O31" s="1112" t="s">
        <v>1986</v>
      </c>
      <c r="P31" s="1112" t="s">
        <v>646</v>
      </c>
      <c r="Q31" s="1112" t="s">
        <v>1986</v>
      </c>
      <c r="R31" s="1112" t="s">
        <v>646</v>
      </c>
      <c r="S31" s="1112"/>
      <c r="T31" s="1120" t="s">
        <v>1987</v>
      </c>
      <c r="U31" s="1000" t="s">
        <v>1987</v>
      </c>
      <c r="V31" s="1000" t="s">
        <v>1987</v>
      </c>
      <c r="W31" s="1000" t="s">
        <v>1987</v>
      </c>
      <c r="X31" s="997"/>
      <c r="Y31" s="1155"/>
      <c r="Z31" s="1000"/>
      <c r="AA31" s="1003"/>
      <c r="AB31" s="1003"/>
      <c r="AC31" s="1003"/>
      <c r="AD31" s="1000"/>
    </row>
    <row customHeight="1" ht="36">
      <c r="A32" s="999"/>
      <c r="B32" s="1053">
        <v>15</v>
      </c>
      <c r="C32" s="997" t="s">
        <v>1988</v>
      </c>
      <c r="D32" s="1122"/>
      <c r="E32" s="997"/>
      <c r="F32" s="997"/>
      <c r="G32" s="1045"/>
      <c r="H32" s="1113"/>
      <c r="I32" s="1160" t="str">
        <f>INDEX(TEMPLATE_NUMBER_POINT_FHD,B32,MATCH(TEMPLATE_SPHERE,TEMPLATE_SPHERE_LIST_FOR_NOTE,0))</f>
        <v>2.6.2</v>
      </c>
      <c r="J32" s="1160" t="str">
        <f>INDEX(TEMPLATE_DATA_POINT_FHD,B32,MATCH(TEMPLATE_SPHERE,TEMPLATE_SPHERE_LIST_FOR_NOTE,0))</f>
        <v>Страховые взносы на обязательное социальное страхование, выплачиваемые из фонда оплаты труда основного производственного персонала</v>
      </c>
      <c r="K32" s="1160">
        <f>INDEX(TEMPLATE_NOTE_POINT_FHD,B32,MATCH(TEMPLATE_SPHERE,TEMPLATE_SPHERE_LIST_FOR_NOTE,0))</f>
        <v>0</v>
      </c>
      <c r="L32" s="998" t="str">
        <f>IF(I32=0,"",I32)</f>
        <v>2.6.2</v>
      </c>
      <c r="M32" s="998" t="str">
        <f>IF(J32=0,"",J32)</f>
        <v>Страховые взносы на обязательное социальное страхование, выплачиваемые из фонда оплаты труда основного производственного персонала</v>
      </c>
      <c r="N32" s="998" t="str">
        <f>IF(K32=0,"",K32)</f>
        <v/>
      </c>
      <c r="O32" s="1112" t="s">
        <v>1989</v>
      </c>
      <c r="P32" s="1112" t="s">
        <v>648</v>
      </c>
      <c r="Q32" s="1112" t="s">
        <v>1989</v>
      </c>
      <c r="R32" s="1112" t="s">
        <v>648</v>
      </c>
      <c r="S32" s="1112"/>
      <c r="T32" s="1121" t="s">
        <v>1990</v>
      </c>
      <c r="U32" s="1000" t="s">
        <v>1990</v>
      </c>
      <c r="V32" s="1000" t="s">
        <v>1990</v>
      </c>
      <c r="W32" s="1000" t="s">
        <v>1990</v>
      </c>
      <c r="X32" s="997"/>
      <c r="Y32" s="1155"/>
      <c r="Z32" s="1000"/>
      <c r="AA32" s="1003"/>
      <c r="AB32" s="1003"/>
      <c r="AC32" s="1003"/>
      <c r="AD32" s="1000"/>
    </row>
    <row customHeight="1" ht="45">
      <c r="A33" s="999"/>
      <c r="B33" s="1053">
        <v>16</v>
      </c>
      <c r="C33" s="997">
        <v>10</v>
      </c>
      <c r="D33" s="1122"/>
      <c r="E33" s="997"/>
      <c r="F33" s="997"/>
      <c r="G33" s="1045"/>
      <c r="H33" s="1113"/>
      <c r="I33" s="1160" t="str">
        <f>INDEX(TEMPLATE_NUMBER_POINT_FHD,B33,MATCH(TEMPLATE_SPHERE,TEMPLATE_SPHERE_LIST_FOR_NOTE,0))</f>
        <v>2.7</v>
      </c>
      <c r="J33" s="1160" t="str">
        <f>INDEX(TEMPLATE_DATA_POINT_FHD,B33,MATCH(TEMPLATE_SPHERE,TEMPLATE_SPHERE_LIST_FOR_NOTE,0))</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K33" s="1160" t="str">
        <f>INDEX(TEMPLATE_NOTE_POINT_FHD,B33,MATCH(TEMPLATE_SPHERE,TEMPLATE_SPHERE_LIST_FOR_NOTE,0))</f>
        <v>Указывается общая сумма расходов на оплату труда и отчислений на социальные нужды административно-управленческого персонала.</v>
      </c>
      <c r="L33" s="998" t="str">
        <f>IF(I33=0,"",I33)</f>
        <v>2.7</v>
      </c>
      <c r="M33" s="998" t="str">
        <f>IF(J33=0,"",J33)</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N33" s="998" t="str">
        <f>IF(K33=0,"",K33)</f>
        <v>Указывается общая сумма расходов на оплату труда и отчислений на социальные нужды административно-управленческого персонала.</v>
      </c>
      <c r="O33" s="1112" t="s">
        <v>654</v>
      </c>
      <c r="P33" s="1112" t="s">
        <v>650</v>
      </c>
      <c r="Q33" s="1112" t="s">
        <v>654</v>
      </c>
      <c r="R33" s="1112" t="s">
        <v>650</v>
      </c>
      <c r="S33" s="1112"/>
      <c r="T33" s="1120" t="s">
        <v>1991</v>
      </c>
      <c r="U33" s="1000" t="s">
        <v>1991</v>
      </c>
      <c r="V33" s="1000" t="s">
        <v>1991</v>
      </c>
      <c r="W33" s="1000" t="s">
        <v>1992</v>
      </c>
      <c r="X33" s="997"/>
      <c r="Y33" s="1155"/>
      <c r="Z33" s="1000"/>
      <c r="AA33" s="1003" t="s">
        <v>1993</v>
      </c>
      <c r="AB33" s="1003" t="s">
        <v>1993</v>
      </c>
      <c r="AC33" s="1003" t="s">
        <v>1993</v>
      </c>
      <c r="AD33" s="1000"/>
    </row>
    <row customHeight="1" ht="27">
      <c r="A34" s="999"/>
      <c r="B34" s="1053">
        <v>17</v>
      </c>
      <c r="C34" s="997" t="s">
        <v>1994</v>
      </c>
      <c r="D34" s="1122"/>
      <c r="E34" s="997"/>
      <c r="F34" s="997"/>
      <c r="G34" s="1045"/>
      <c r="H34" s="1113"/>
      <c r="I34" s="1160" t="str">
        <f>INDEX(TEMPLATE_NUMBER_POINT_FHD,B34,MATCH(TEMPLATE_SPHERE,TEMPLATE_SPHERE_LIST_FOR_NOTE,0))</f>
        <v>2.7.1</v>
      </c>
      <c r="J34" s="1160" t="str">
        <f>INDEX(TEMPLATE_DATA_POINT_FHD,B34,MATCH(TEMPLATE_SPHERE,TEMPLATE_SPHERE_LIST_FOR_NOTE,0))</f>
        <v>Расходы на оплату труда административно-управленческого персонала</v>
      </c>
      <c r="K34" s="1160">
        <f>INDEX(TEMPLATE_NOTE_POINT_FHD,B34,MATCH(TEMPLATE_SPHERE,TEMPLATE_SPHERE_LIST_FOR_NOTE,0))</f>
        <v>0</v>
      </c>
      <c r="L34" s="998" t="str">
        <f>IF(I34=0,"",I34)</f>
        <v>2.7.1</v>
      </c>
      <c r="M34" s="998" t="str">
        <f>IF(J34=0,"",J34)</f>
        <v>Расходы на оплату труда административно-управленческого персонала</v>
      </c>
      <c r="N34" s="998" t="str">
        <f>IF(K34=0,"",K34)</f>
        <v/>
      </c>
      <c r="O34" s="1112" t="s">
        <v>1995</v>
      </c>
      <c r="P34" s="1112" t="s">
        <v>1976</v>
      </c>
      <c r="Q34" s="1112" t="s">
        <v>1995</v>
      </c>
      <c r="R34" s="1112" t="s">
        <v>1976</v>
      </c>
      <c r="S34" s="1112"/>
      <c r="T34" s="1121" t="s">
        <v>1996</v>
      </c>
      <c r="U34" s="1000" t="s">
        <v>1996</v>
      </c>
      <c r="V34" s="1000" t="s">
        <v>1996</v>
      </c>
      <c r="W34" s="1000" t="s">
        <v>1997</v>
      </c>
      <c r="X34" s="997"/>
      <c r="Y34" s="1155"/>
      <c r="Z34" s="1000"/>
      <c r="AA34" s="1003"/>
      <c r="AB34" s="1000"/>
      <c r="AC34" s="1000"/>
      <c r="AD34" s="1000"/>
    </row>
    <row customHeight="1" ht="45">
      <c r="A35" s="999"/>
      <c r="B35" s="1053">
        <v>18</v>
      </c>
      <c r="C35" s="997" t="s">
        <v>1998</v>
      </c>
      <c r="D35" s="1122"/>
      <c r="E35" s="997"/>
      <c r="F35" s="997"/>
      <c r="G35" s="1045"/>
      <c r="H35" s="1113"/>
      <c r="I35" s="1160" t="str">
        <f>INDEX(TEMPLATE_NUMBER_POINT_FHD,B35,MATCH(TEMPLATE_SPHERE,TEMPLATE_SPHERE_LIST_FOR_NOTE,0))</f>
        <v>2.7.2</v>
      </c>
      <c r="J35" s="1160" t="str">
        <f>INDEX(TEMPLATE_DATA_POINT_FHD,B35,MATCH(TEMPLATE_SPHERE,TEMPLATE_SPHERE_LIST_FOR_NOTE,0))</f>
        <v>Страховые взносы на обязательное социальное страхование, выплачиваемые из фонда оплаты труда административно-управленческого персонала</v>
      </c>
      <c r="K35" s="1160">
        <f>INDEX(TEMPLATE_NOTE_POINT_FHD,B35,MATCH(TEMPLATE_SPHERE,TEMPLATE_SPHERE_LIST_FOR_NOTE,0))</f>
        <v>0</v>
      </c>
      <c r="L35" s="998" t="str">
        <f>IF(I35=0,"",I35)</f>
        <v>2.7.2</v>
      </c>
      <c r="M35" s="998" t="str">
        <f>IF(J35=0,"",J35)</f>
        <v>Страховые взносы на обязательное социальное страхование, выплачиваемые из фонда оплаты труда административно-управленческого персонала</v>
      </c>
      <c r="N35" s="998" t="str">
        <f>IF(K35=0,"",K35)</f>
        <v/>
      </c>
      <c r="O35" s="1112" t="s">
        <v>1999</v>
      </c>
      <c r="P35" s="1112" t="s">
        <v>1979</v>
      </c>
      <c r="Q35" s="1112" t="s">
        <v>1999</v>
      </c>
      <c r="R35" s="1112" t="s">
        <v>1979</v>
      </c>
      <c r="S35" s="1112"/>
      <c r="T35" s="1119" t="s">
        <v>2000</v>
      </c>
      <c r="U35" s="1000" t="s">
        <v>2000</v>
      </c>
      <c r="V35" s="1000" t="s">
        <v>2000</v>
      </c>
      <c r="W35" s="1000" t="s">
        <v>2000</v>
      </c>
      <c r="X35" s="997"/>
      <c r="Y35" s="1155"/>
      <c r="Z35" s="1000"/>
      <c r="AA35" s="1003"/>
      <c r="AB35" s="1000"/>
      <c r="AC35" s="1000"/>
      <c r="AD35" s="1000"/>
    </row>
    <row customHeight="1" ht="18">
      <c r="A36" s="999"/>
      <c r="B36" s="1053">
        <v>19</v>
      </c>
      <c r="C36" s="997">
        <v>11</v>
      </c>
      <c r="D36" s="1122"/>
      <c r="E36" s="997"/>
      <c r="F36" s="997"/>
      <c r="G36" s="1045"/>
      <c r="H36" s="1113"/>
      <c r="I36" s="1160" t="str">
        <f>INDEX(TEMPLATE_NUMBER_POINT_FHD,B36,MATCH(TEMPLATE_SPHERE,TEMPLATE_SPHERE_LIST_FOR_NOTE,0))</f>
        <v>2.8</v>
      </c>
      <c r="J36" s="1160" t="str">
        <f>INDEX(TEMPLATE_DATA_POINT_FHD,B36,MATCH(TEMPLATE_SPHERE,TEMPLATE_SPHERE_LIST_FOR_NOTE,0))</f>
        <v>Расходы на амортизацию основных средств и нематериальных активов</v>
      </c>
      <c r="K36" s="1160">
        <f>INDEX(TEMPLATE_NOTE_POINT_FHD,B36,MATCH(TEMPLATE_SPHERE,TEMPLATE_SPHERE_LIST_FOR_NOTE,0))</f>
        <v>0</v>
      </c>
      <c r="L36" s="998" t="str">
        <f>IF(I36=0,"",I36)</f>
        <v>2.8</v>
      </c>
      <c r="M36" s="998" t="str">
        <f>IF(J36=0,"",J36)</f>
        <v>Расходы на амортизацию основных средств и нематериальных активов</v>
      </c>
      <c r="N36" s="998" t="str">
        <f>IF(K36=0,"",K36)</f>
        <v/>
      </c>
      <c r="O36" s="1112" t="s">
        <v>656</v>
      </c>
      <c r="P36" s="1112" t="s">
        <v>652</v>
      </c>
      <c r="Q36" s="1112" t="s">
        <v>656</v>
      </c>
      <c r="R36" s="1112" t="s">
        <v>652</v>
      </c>
      <c r="S36" s="1112"/>
      <c r="T36" s="1119" t="s">
        <v>2001</v>
      </c>
      <c r="U36" s="1000" t="s">
        <v>2001</v>
      </c>
      <c r="V36" s="1000" t="s">
        <v>2001</v>
      </c>
      <c r="W36" s="1000" t="s">
        <v>2001</v>
      </c>
      <c r="X36" s="997"/>
      <c r="Y36" s="1155"/>
      <c r="Z36" s="1000"/>
      <c r="AA36" s="1003"/>
      <c r="AB36" s="1000"/>
      <c r="AC36" s="1000"/>
      <c r="AD36" s="1000"/>
    </row>
    <row customHeight="1" ht="18">
      <c r="A37" s="999"/>
      <c r="B37" s="1053">
        <v>20</v>
      </c>
      <c r="C37" s="997" t="s">
        <v>2002</v>
      </c>
      <c r="D37" s="1122"/>
      <c r="E37" s="997"/>
      <c r="F37" s="997"/>
      <c r="G37" s="1045"/>
      <c r="H37" s="1113"/>
      <c r="I37" s="1160" t="str">
        <f>INDEX(TEMPLATE_NUMBER_POINT_FHD,B37,MATCH(TEMPLATE_SPHERE,TEMPLATE_SPHERE_LIST_FOR_NOTE,0))</f>
        <v>2.8.1</v>
      </c>
      <c r="J37" s="1160" t="str">
        <f>INDEX(TEMPLATE_DATA_POINT_FHD,B37,MATCH(TEMPLATE_SPHERE,TEMPLATE_SPHERE_LIST_FOR_NOTE,0))</f>
        <v>Расходы на амортизацию основных средств</v>
      </c>
      <c r="K37" s="1160">
        <f>INDEX(TEMPLATE_NOTE_POINT_FHD,B37,MATCH(TEMPLATE_SPHERE,TEMPLATE_SPHERE_LIST_FOR_NOTE,0))</f>
        <v>0</v>
      </c>
      <c r="L37" s="998" t="str">
        <f>IF(I37=0,"",I37)</f>
        <v>2.8.1</v>
      </c>
      <c r="M37" s="998" t="str">
        <f>IF(J37=0,"",J37)</f>
        <v>Расходы на амортизацию основных средств</v>
      </c>
      <c r="N37" s="998" t="str">
        <f>IF(K37=0,"",K37)</f>
        <v/>
      </c>
      <c r="O37" s="1112" t="s">
        <v>2003</v>
      </c>
      <c r="P37" s="1112" t="s">
        <v>1986</v>
      </c>
      <c r="Q37" s="1112" t="s">
        <v>2003</v>
      </c>
      <c r="R37" s="1112" t="s">
        <v>1986</v>
      </c>
      <c r="S37" s="1112"/>
      <c r="T37" s="1119" t="s">
        <v>2004</v>
      </c>
      <c r="U37" s="1000" t="s">
        <v>2004</v>
      </c>
      <c r="V37" s="1000" t="s">
        <v>2004</v>
      </c>
      <c r="W37" s="1000" t="s">
        <v>2004</v>
      </c>
      <c r="X37" s="997"/>
      <c r="Y37" s="1155"/>
      <c r="Z37" s="1000"/>
      <c r="AA37" s="1003"/>
      <c r="AB37" s="1000"/>
      <c r="AC37" s="1000"/>
      <c r="AD37" s="1000"/>
    </row>
    <row customHeight="1" ht="18">
      <c r="A38" s="999"/>
      <c r="B38" s="1053">
        <v>21</v>
      </c>
      <c r="C38" s="997" t="s">
        <v>2005</v>
      </c>
      <c r="D38" s="1122"/>
      <c r="E38" s="997"/>
      <c r="F38" s="997"/>
      <c r="G38" s="1045"/>
      <c r="H38" s="1113"/>
      <c r="I38" s="1160" t="str">
        <f>INDEX(TEMPLATE_NUMBER_POINT_FHD,B38,MATCH(TEMPLATE_SPHERE,TEMPLATE_SPHERE_LIST_FOR_NOTE,0))</f>
        <v>2.8.2</v>
      </c>
      <c r="J38" s="1160" t="str">
        <f>INDEX(TEMPLATE_DATA_POINT_FHD,B38,MATCH(TEMPLATE_SPHERE,TEMPLATE_SPHERE_LIST_FOR_NOTE,0))</f>
        <v>Расходы на амортизацию нематериальных активов</v>
      </c>
      <c r="K38" s="1160">
        <f>INDEX(TEMPLATE_NOTE_POINT_FHD,B38,MATCH(TEMPLATE_SPHERE,TEMPLATE_SPHERE_LIST_FOR_NOTE,0))</f>
        <v>0</v>
      </c>
      <c r="L38" s="998" t="str">
        <f>IF(I38=0,"",I38)</f>
        <v>2.8.2</v>
      </c>
      <c r="M38" s="998" t="str">
        <f>IF(J38=0,"",J38)</f>
        <v>Расходы на амортизацию нематериальных активов</v>
      </c>
      <c r="N38" s="998" t="str">
        <f>IF(K38=0,"",K38)</f>
        <v/>
      </c>
      <c r="O38" s="1112" t="s">
        <v>2006</v>
      </c>
      <c r="P38" s="1112" t="s">
        <v>1989</v>
      </c>
      <c r="Q38" s="1112" t="s">
        <v>2006</v>
      </c>
      <c r="R38" s="1112" t="s">
        <v>1989</v>
      </c>
      <c r="S38" s="1112"/>
      <c r="T38" s="1119" t="s">
        <v>2007</v>
      </c>
      <c r="U38" s="1000" t="s">
        <v>2007</v>
      </c>
      <c r="V38" s="1000" t="s">
        <v>2007</v>
      </c>
      <c r="W38" s="1000" t="s">
        <v>2007</v>
      </c>
      <c r="X38" s="997"/>
      <c r="Y38" s="1155"/>
      <c r="Z38" s="1000"/>
      <c r="AA38" s="1003"/>
      <c r="AB38" s="1000"/>
      <c r="AC38" s="1000"/>
      <c r="AD38" s="1000"/>
    </row>
    <row customHeight="1" ht="36">
      <c r="A39" s="999"/>
      <c r="B39" s="1053">
        <v>22</v>
      </c>
      <c r="C39" s="997">
        <v>12</v>
      </c>
      <c r="D39" s="1122"/>
      <c r="E39" s="997"/>
      <c r="F39" s="997"/>
      <c r="G39" s="1045"/>
      <c r="H39" s="1113"/>
      <c r="I39" s="1160" t="str">
        <f>INDEX(TEMPLATE_NUMBER_POINT_FHD,B39,MATCH(TEMPLATE_SPHERE,TEMPLATE_SPHERE_LIST_FOR_NOTE,0))</f>
        <v>2.9</v>
      </c>
      <c r="J39" s="1160" t="str">
        <f>INDEX(TEMPLATE_DATA_POINT_FHD,B39,MATCH(TEMPLATE_SPHERE,TEMPLATE_SPHERE_LIST_FOR_NOTE,0))</f>
        <v>Расходы на аренду имущества, используемого для осуществления регулируемых видов деятельности в сфере горячего водоснабжения</v>
      </c>
      <c r="K39" s="1160">
        <f>INDEX(TEMPLATE_NOTE_POINT_FHD,B39,MATCH(TEMPLATE_SPHERE,TEMPLATE_SPHERE_LIST_FOR_NOTE,0))</f>
        <v>0</v>
      </c>
      <c r="L39" s="998" t="str">
        <f>IF(I39=0,"",I39)</f>
        <v>2.9</v>
      </c>
      <c r="M39" s="998" t="str">
        <f>IF(J39=0,"",J39)</f>
        <v>Расходы на аренду имущества, используемого для осуществления регулируемых видов деятельности в сфере горячего водоснабжения</v>
      </c>
      <c r="N39" s="998" t="str">
        <f>IF(K39=0,"",K39)</f>
        <v/>
      </c>
      <c r="O39" s="1112" t="s">
        <v>660</v>
      </c>
      <c r="P39" s="1112" t="s">
        <v>654</v>
      </c>
      <c r="Q39" s="1112" t="s">
        <v>660</v>
      </c>
      <c r="R39" s="1112" t="s">
        <v>654</v>
      </c>
      <c r="S39" s="1112"/>
      <c r="T39" s="1119" t="s">
        <v>2008</v>
      </c>
      <c r="U39" s="1000" t="s">
        <v>2009</v>
      </c>
      <c r="V39" s="1000" t="s">
        <v>2010</v>
      </c>
      <c r="W39" s="1000" t="s">
        <v>2011</v>
      </c>
      <c r="X39" s="997"/>
      <c r="Y39" s="1155"/>
      <c r="Z39" s="1000"/>
      <c r="AA39" s="1003"/>
      <c r="AB39" s="1000"/>
      <c r="AC39" s="1000"/>
      <c r="AD39" s="1000"/>
    </row>
    <row customHeight="1" ht="18">
      <c r="A40" s="999"/>
      <c r="B40" s="1053">
        <v>23</v>
      </c>
      <c r="C40" s="997">
        <v>13</v>
      </c>
      <c r="D40" s="1122"/>
      <c r="E40" s="997"/>
      <c r="F40" s="997"/>
      <c r="G40" s="997"/>
      <c r="H40" s="1048"/>
      <c r="I40" s="1160" t="str">
        <f>INDEX(TEMPLATE_NUMBER_POINT_FHD,B40,MATCH(TEMPLATE_SPHERE,TEMPLATE_SPHERE_LIST_FOR_NOTE,0))</f>
        <v>2.10</v>
      </c>
      <c r="J40" s="1160" t="str">
        <f>INDEX(TEMPLATE_DATA_POINT_FHD,B40,MATCH(TEMPLATE_SPHERE,TEMPLATE_SPHERE_LIST_FOR_NOTE,0))</f>
        <v>Общепроизводственные расходы, в том числе:</v>
      </c>
      <c r="K40" s="1160" t="str">
        <f>INDEX(TEMPLATE_NOTE_POINT_FHD,B40,MATCH(TEMPLATE_SPHERE,TEMPLATE_SPHERE_LIST_FOR_NOTE,0))</f>
        <v>Указывается общая сумма общепроизводственных расходов.</v>
      </c>
      <c r="L40" s="998" t="str">
        <f>IF(I40=0,"",I40)</f>
        <v>2.10</v>
      </c>
      <c r="M40" s="998" t="str">
        <f>IF(J40=0,"",J40)</f>
        <v>Общепроизводственные расходы, в том числе:</v>
      </c>
      <c r="N40" s="998" t="str">
        <f>IF(K40=0,"",K40)</f>
        <v>Указывается общая сумма общепроизводственных расходов.</v>
      </c>
      <c r="O40" s="1112" t="s">
        <v>2012</v>
      </c>
      <c r="P40" s="1112" t="s">
        <v>656</v>
      </c>
      <c r="Q40" s="1112" t="s">
        <v>2012</v>
      </c>
      <c r="R40" s="1112" t="s">
        <v>656</v>
      </c>
      <c r="S40" s="1112"/>
      <c r="T40" s="997" t="s">
        <v>2013</v>
      </c>
      <c r="U40" s="997" t="s">
        <v>2013</v>
      </c>
      <c r="V40" s="997" t="s">
        <v>2013</v>
      </c>
      <c r="W40" s="997" t="s">
        <v>2013</v>
      </c>
      <c r="X40" s="997"/>
      <c r="Y40" s="1155"/>
      <c r="Z40" s="1000" t="s">
        <v>2014</v>
      </c>
      <c r="AA40" s="1003" t="s">
        <v>2014</v>
      </c>
      <c r="AB40" s="1003" t="s">
        <v>2014</v>
      </c>
      <c r="AC40" s="1003" t="s">
        <v>2014</v>
      </c>
      <c r="AD40" s="1000"/>
    </row>
    <row customHeight="1" ht="27">
      <c r="A41" s="999"/>
      <c r="B41" s="1053">
        <v>24</v>
      </c>
      <c r="C41" s="997" t="s">
        <v>2015</v>
      </c>
      <c r="D41" s="1122"/>
      <c r="E41" s="997"/>
      <c r="F41" s="997"/>
      <c r="G41" s="997"/>
      <c r="H41" s="1045"/>
      <c r="I41" s="1160" t="str">
        <f>INDEX(TEMPLATE_NUMBER_POINT_FHD,B41,MATCH(TEMPLATE_SPHERE,TEMPLATE_SPHERE_LIST_FOR_NOTE,0))</f>
        <v>2.10.1</v>
      </c>
      <c r="J41" s="1160" t="str">
        <f>INDEX(TEMPLATE_DATA_POINT_FHD,B41,MATCH(TEMPLATE_SPHERE,TEMPLATE_SPHERE_LIST_FOR_NOTE,0))</f>
        <v>Расходы на текущий ремонт</v>
      </c>
      <c r="K41" s="1160" t="str">
        <f>INDEX(TEMPLATE_NOTE_POINT_FHD,B41,MATCH(TEMPLATE_SPHERE,TEMPLATE_SPHERE_LIST_FOR_NOTE,0))</f>
        <v>Указываются расходы на текущий ремонт, отнесенные к общепроизводственным расходам.</v>
      </c>
      <c r="L41" s="998" t="str">
        <f>IF(I41=0,"",I41)</f>
        <v>2.10.1</v>
      </c>
      <c r="M41" s="998" t="str">
        <f>IF(J41=0,"",J41)</f>
        <v>Расходы на текущий ремонт</v>
      </c>
      <c r="N41" s="998" t="str">
        <f>IF(K41=0,"",K41)</f>
        <v>Указываются расходы на текущий ремонт, отнесенные к общепроизводственным расходам.</v>
      </c>
      <c r="O41" s="1112" t="s">
        <v>2016</v>
      </c>
      <c r="P41" s="1112" t="s">
        <v>2003</v>
      </c>
      <c r="Q41" s="1112" t="s">
        <v>2016</v>
      </c>
      <c r="R41" s="1112" t="s">
        <v>2003</v>
      </c>
      <c r="S41" s="1112"/>
      <c r="T41" s="997" t="s">
        <v>2017</v>
      </c>
      <c r="U41" s="997" t="s">
        <v>2017</v>
      </c>
      <c r="V41" s="997" t="s">
        <v>2017</v>
      </c>
      <c r="W41" s="997" t="s">
        <v>2017</v>
      </c>
      <c r="X41" s="997"/>
      <c r="Y41" s="1155"/>
      <c r="Z41" s="1000" t="s">
        <v>2018</v>
      </c>
      <c r="AA41" s="1000" t="s">
        <v>2018</v>
      </c>
      <c r="AB41" s="1000" t="s">
        <v>2018</v>
      </c>
      <c r="AC41" s="1000" t="s">
        <v>2018</v>
      </c>
      <c r="AD41" s="1000"/>
    </row>
    <row customHeight="1" ht="27">
      <c r="A42" s="999"/>
      <c r="B42" s="1053">
        <v>25</v>
      </c>
      <c r="C42" s="997" t="s">
        <v>2019</v>
      </c>
      <c r="D42" s="1122"/>
      <c r="E42" s="997"/>
      <c r="F42" s="997"/>
      <c r="G42" s="997"/>
      <c r="H42" s="1045"/>
      <c r="I42" s="1160" t="str">
        <f>INDEX(TEMPLATE_NUMBER_POINT_FHD,B42,MATCH(TEMPLATE_SPHERE,TEMPLATE_SPHERE_LIST_FOR_NOTE,0))</f>
        <v>2.10.2</v>
      </c>
      <c r="J42" s="1160" t="str">
        <f>INDEX(TEMPLATE_DATA_POINT_FHD,B42,MATCH(TEMPLATE_SPHERE,TEMPLATE_SPHERE_LIST_FOR_NOTE,0))</f>
        <v>Расходы на капитальный ремонт</v>
      </c>
      <c r="K42" s="1160" t="str">
        <f>INDEX(TEMPLATE_NOTE_POINT_FHD,B42,MATCH(TEMPLATE_SPHERE,TEMPLATE_SPHERE_LIST_FOR_NOTE,0))</f>
        <v>Указываются расходы на капитальный ремонт, отнесенные к общепроизводственным расходам.</v>
      </c>
      <c r="L42" s="998" t="str">
        <f>IF(I42=0,"",I42)</f>
        <v>2.10.2</v>
      </c>
      <c r="M42" s="998" t="str">
        <f>IF(J42=0,"",J42)</f>
        <v>Расходы на капитальный ремонт</v>
      </c>
      <c r="N42" s="998" t="str">
        <f>IF(K42=0,"",K42)</f>
        <v>Указываются расходы на капитальный ремонт, отнесенные к общепроизводственным расходам.</v>
      </c>
      <c r="O42" s="1112" t="s">
        <v>2020</v>
      </c>
      <c r="P42" s="1112" t="s">
        <v>2006</v>
      </c>
      <c r="Q42" s="1112" t="s">
        <v>2020</v>
      </c>
      <c r="R42" s="1112" t="s">
        <v>2006</v>
      </c>
      <c r="S42" s="1112"/>
      <c r="T42" s="997" t="s">
        <v>2021</v>
      </c>
      <c r="U42" s="997" t="s">
        <v>2021</v>
      </c>
      <c r="V42" s="997" t="s">
        <v>2021</v>
      </c>
      <c r="W42" s="997" t="s">
        <v>2021</v>
      </c>
      <c r="X42" s="997"/>
      <c r="Y42" s="1155"/>
      <c r="Z42" s="1000" t="s">
        <v>2022</v>
      </c>
      <c r="AA42" s="1000" t="s">
        <v>2022</v>
      </c>
      <c r="AB42" s="1000" t="s">
        <v>2022</v>
      </c>
      <c r="AC42" s="1000" t="s">
        <v>2022</v>
      </c>
      <c r="AD42" s="1000"/>
    </row>
    <row customHeight="1" ht="18">
      <c r="A43" s="999"/>
      <c r="B43" s="1053">
        <v>26</v>
      </c>
      <c r="C43" s="997">
        <v>14</v>
      </c>
      <c r="D43" s="1122"/>
      <c r="E43" s="997"/>
      <c r="F43" s="997"/>
      <c r="G43" s="997"/>
      <c r="H43" s="1045"/>
      <c r="I43" s="1160" t="str">
        <f>INDEX(TEMPLATE_NUMBER_POINT_FHD,B43,MATCH(TEMPLATE_SPHERE,TEMPLATE_SPHERE_LIST_FOR_NOTE,0))</f>
        <v>2.11</v>
      </c>
      <c r="J43" s="1160" t="str">
        <f>INDEX(TEMPLATE_DATA_POINT_FHD,B43,MATCH(TEMPLATE_SPHERE,TEMPLATE_SPHERE_LIST_FOR_NOTE,0))</f>
        <v>Общехозяйственные расходы, в том числе:</v>
      </c>
      <c r="K43" s="1160" t="str">
        <f>INDEX(TEMPLATE_NOTE_POINT_FHD,B43,MATCH(TEMPLATE_SPHERE,TEMPLATE_SPHERE_LIST_FOR_NOTE,0))</f>
        <v>Указывается общая сумма общехозяйственных расходов.</v>
      </c>
      <c r="L43" s="998" t="str">
        <f>IF(I43=0,"",I43)</f>
        <v>2.11</v>
      </c>
      <c r="M43" s="998" t="str">
        <f>IF(J43=0,"",J43)</f>
        <v>Общехозяйственные расходы, в том числе:</v>
      </c>
      <c r="N43" s="998" t="str">
        <f>IF(K43=0,"",K43)</f>
        <v>Указывается общая сумма общехозяйственных расходов.</v>
      </c>
      <c r="O43" s="1112" t="s">
        <v>2023</v>
      </c>
      <c r="P43" s="1112" t="s">
        <v>660</v>
      </c>
      <c r="Q43" s="1112" t="s">
        <v>2023</v>
      </c>
      <c r="R43" s="1112" t="s">
        <v>660</v>
      </c>
      <c r="S43" s="1112"/>
      <c r="T43" s="997" t="s">
        <v>2024</v>
      </c>
      <c r="U43" s="997" t="s">
        <v>2024</v>
      </c>
      <c r="V43" s="997" t="s">
        <v>2024</v>
      </c>
      <c r="W43" s="997" t="s">
        <v>2024</v>
      </c>
      <c r="X43" s="997"/>
      <c r="Y43" s="1155"/>
      <c r="Z43" s="1000" t="s">
        <v>2025</v>
      </c>
      <c r="AA43" s="1000" t="s">
        <v>2025</v>
      </c>
      <c r="AB43" s="1000" t="s">
        <v>2025</v>
      </c>
      <c r="AC43" s="1000" t="s">
        <v>2025</v>
      </c>
      <c r="AD43" s="1000"/>
    </row>
    <row customHeight="1" ht="27">
      <c r="A44" s="999"/>
      <c r="B44" s="1053">
        <v>27</v>
      </c>
      <c r="C44" s="997" t="s">
        <v>2026</v>
      </c>
      <c r="D44" s="1122"/>
      <c r="E44" s="997"/>
      <c r="F44" s="997"/>
      <c r="G44" s="997"/>
      <c r="H44" s="1045"/>
      <c r="I44" s="1160" t="str">
        <f>INDEX(TEMPLATE_NUMBER_POINT_FHD,B44,MATCH(TEMPLATE_SPHERE,TEMPLATE_SPHERE_LIST_FOR_NOTE,0))</f>
        <v>2.11.1</v>
      </c>
      <c r="J44" s="1160" t="str">
        <f>INDEX(TEMPLATE_DATA_POINT_FHD,B44,MATCH(TEMPLATE_SPHERE,TEMPLATE_SPHERE_LIST_FOR_NOTE,0))</f>
        <v>Расходы на текущий ремонт</v>
      </c>
      <c r="K44" s="1160" t="str">
        <f>INDEX(TEMPLATE_NOTE_POINT_FHD,B44,MATCH(TEMPLATE_SPHERE,TEMPLATE_SPHERE_LIST_FOR_NOTE,0))</f>
        <v>Указываются расходы на текущий ремонт, отнесенные к общехозяйственным расходам.</v>
      </c>
      <c r="L44" s="998" t="str">
        <f>IF(I44=0,"",I44)</f>
        <v>2.11.1</v>
      </c>
      <c r="M44" s="998" t="str">
        <f>IF(J44=0,"",J44)</f>
        <v>Расходы на текущий ремонт</v>
      </c>
      <c r="N44" s="998" t="str">
        <f>IF(K44=0,"",K44)</f>
        <v>Указываются расходы на текущий ремонт, отнесенные к общехозяйственным расходам.</v>
      </c>
      <c r="O44" s="1112" t="s">
        <v>2027</v>
      </c>
      <c r="P44" s="1112" t="s">
        <v>2028</v>
      </c>
      <c r="Q44" s="1112" t="s">
        <v>2027</v>
      </c>
      <c r="R44" s="1112" t="s">
        <v>2028</v>
      </c>
      <c r="S44" s="1112"/>
      <c r="T44" s="997" t="s">
        <v>2017</v>
      </c>
      <c r="U44" s="997" t="s">
        <v>2017</v>
      </c>
      <c r="V44" s="997" t="s">
        <v>2017</v>
      </c>
      <c r="W44" s="997" t="s">
        <v>2017</v>
      </c>
      <c r="X44" s="997"/>
      <c r="Y44" s="1155"/>
      <c r="Z44" s="1000" t="s">
        <v>2029</v>
      </c>
      <c r="AA44" s="1000" t="s">
        <v>2029</v>
      </c>
      <c r="AB44" s="1000" t="s">
        <v>2029</v>
      </c>
      <c r="AC44" s="1000" t="s">
        <v>2029</v>
      </c>
      <c r="AD44" s="1000"/>
    </row>
    <row customHeight="1" ht="27">
      <c r="A45" s="999"/>
      <c r="B45" s="1053">
        <v>28</v>
      </c>
      <c r="C45" s="997" t="s">
        <v>2030</v>
      </c>
      <c r="D45" s="1122"/>
      <c r="E45" s="997"/>
      <c r="F45" s="997"/>
      <c r="G45" s="997"/>
      <c r="H45" s="1045"/>
      <c r="I45" s="1160" t="str">
        <f>INDEX(TEMPLATE_NUMBER_POINT_FHD,B45,MATCH(TEMPLATE_SPHERE,TEMPLATE_SPHERE_LIST_FOR_NOTE,0))</f>
        <v>2.11.2</v>
      </c>
      <c r="J45" s="1160" t="str">
        <f>INDEX(TEMPLATE_DATA_POINT_FHD,B45,MATCH(TEMPLATE_SPHERE,TEMPLATE_SPHERE_LIST_FOR_NOTE,0))</f>
        <v>Расходы на капитальный ремонт</v>
      </c>
      <c r="K45" s="1160" t="str">
        <f>INDEX(TEMPLATE_NOTE_POINT_FHD,B45,MATCH(TEMPLATE_SPHERE,TEMPLATE_SPHERE_LIST_FOR_NOTE,0))</f>
        <v>Указываются расходы на капитальный ремонт, отнесенные к общехозяйственным расходам.</v>
      </c>
      <c r="L45" s="998" t="str">
        <f>IF(I45=0,"",I45)</f>
        <v>2.11.2</v>
      </c>
      <c r="M45" s="998" t="str">
        <f>IF(J45=0,"",J45)</f>
        <v>Расходы на капитальный ремонт</v>
      </c>
      <c r="N45" s="998" t="str">
        <f>IF(K45=0,"",K45)</f>
        <v>Указываются расходы на капитальный ремонт, отнесенные к общехозяйственным расходам.</v>
      </c>
      <c r="O45" s="1112" t="s">
        <v>2031</v>
      </c>
      <c r="P45" s="1112" t="s">
        <v>2032</v>
      </c>
      <c r="Q45" s="1112" t="s">
        <v>2031</v>
      </c>
      <c r="R45" s="1112" t="s">
        <v>2032</v>
      </c>
      <c r="S45" s="1112"/>
      <c r="T45" s="997" t="s">
        <v>2021</v>
      </c>
      <c r="U45" s="997" t="s">
        <v>2021</v>
      </c>
      <c r="V45" s="997" t="s">
        <v>2021</v>
      </c>
      <c r="W45" s="997" t="s">
        <v>2021</v>
      </c>
      <c r="X45" s="997"/>
      <c r="Y45" s="1155"/>
      <c r="Z45" s="1000" t="s">
        <v>2033</v>
      </c>
      <c r="AA45" s="1000" t="s">
        <v>2033</v>
      </c>
      <c r="AB45" s="1000" t="s">
        <v>2033</v>
      </c>
      <c r="AC45" s="1000" t="s">
        <v>2033</v>
      </c>
      <c r="AD45" s="1000"/>
    </row>
    <row customHeight="1" ht="54">
      <c r="A46" s="999"/>
      <c r="B46" s="1053">
        <v>29</v>
      </c>
      <c r="C46" s="997">
        <v>15</v>
      </c>
      <c r="D46" s="1122"/>
      <c r="E46" s="997"/>
      <c r="F46" s="997"/>
      <c r="G46" s="997"/>
      <c r="H46" s="1045"/>
      <c r="I46" s="1160" t="str">
        <f>INDEX(TEMPLATE_NUMBER_POINT_FHD,B46,MATCH(TEMPLATE_SPHERE,TEMPLATE_SPHERE_LIST_FOR_NOTE,0))</f>
        <v>2.12</v>
      </c>
      <c r="J46" s="1160" t="str">
        <f>INDEX(TEMPLATE_DATA_POINT_FHD,B46,MATCH(TEMPLATE_SPHERE,TEMPLATE_SPHERE_LIST_FOR_NOTE,0))</f>
        <v>Расходы на капитальный и текущий ремонт основных средств</v>
      </c>
      <c r="K46" s="1160" t="str">
        <f>INDEX(TEMPLATE_NOTE_POINT_FHD,B46,MATCH(TEMPLATE_SPHERE,TEMPLATE_SPHERE_LIST_FOR_NOTE,0))</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6" s="998" t="str">
        <f>IF(I46=0,"",I46)</f>
        <v>2.12</v>
      </c>
      <c r="M46" s="998" t="str">
        <f>IF(J46=0,"",J46)</f>
        <v>Расходы на капитальный и текущий ремонт основных средств</v>
      </c>
      <c r="N46" s="998" t="str">
        <f>IF(K46=0,"",K46)</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6" s="1112" t="s">
        <v>2034</v>
      </c>
      <c r="P46" s="1112" t="s">
        <v>2012</v>
      </c>
      <c r="Q46" s="1112" t="s">
        <v>2034</v>
      </c>
      <c r="R46" s="1112" t="s">
        <v>2012</v>
      </c>
      <c r="S46" s="1112"/>
      <c r="T46" s="997" t="s">
        <v>2035</v>
      </c>
      <c r="U46" s="997" t="s">
        <v>2035</v>
      </c>
      <c r="V46" s="997" t="s">
        <v>2035</v>
      </c>
      <c r="W46" s="997" t="s">
        <v>2035</v>
      </c>
      <c r="X46" s="997"/>
      <c r="Y46" s="1155"/>
      <c r="Z46" s="1000" t="s">
        <v>2036</v>
      </c>
      <c r="AA46" s="1000" t="s">
        <v>2037</v>
      </c>
      <c r="AB46" s="1000" t="s">
        <v>2037</v>
      </c>
      <c r="AC46" s="1000" t="s">
        <v>2037</v>
      </c>
      <c r="AD46" s="1000"/>
    </row>
    <row customHeight="1" ht="54">
      <c r="A47" s="999"/>
      <c r="B47" s="1053">
        <v>30</v>
      </c>
      <c r="C47" s="997" t="s">
        <v>2038</v>
      </c>
      <c r="D47" s="1122"/>
      <c r="E47" s="997"/>
      <c r="F47" s="997"/>
      <c r="G47" s="997"/>
      <c r="H47" s="1045"/>
      <c r="I47" s="1160" t="str">
        <f>INDEX(TEMPLATE_NUMBER_POINT_FHD,B47,MATCH(TEMPLATE_SPHERE,TEMPLATE_SPHERE_LIST_FOR_NOTE,0))</f>
        <v>2.12.1</v>
      </c>
      <c r="J47" s="1160" t="str">
        <f>INDEX(TEMPLATE_DATA_POINT_FHD,B47,MATCH(TEMPLATE_SPHERE,TEMPLATE_SPHERE_LIST_FOR_NOTE,0))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7" s="1160">
        <f>INDEX(TEMPLATE_NOTE_POINT_FHD,B47,MATCH(TEMPLATE_SPHERE,TEMPLATE_SPHERE_LIST_FOR_NOTE,0))</f>
        <v>0</v>
      </c>
      <c r="L47" s="998" t="str">
        <f>IF(I47=0,"",I47)</f>
        <v>2.12.1</v>
      </c>
      <c r="M47" s="998" t="str">
        <f>IF(J47=0,"",J47)</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7" s="998" t="str">
        <f>IF(K47=0,"",K47)</f>
        <v/>
      </c>
      <c r="O47" s="1112" t="s">
        <v>2039</v>
      </c>
      <c r="P47" s="1112" t="s">
        <v>2016</v>
      </c>
      <c r="Q47" s="1112" t="s">
        <v>2039</v>
      </c>
      <c r="R47" s="1112" t="s">
        <v>2016</v>
      </c>
      <c r="S47" s="1112"/>
      <c r="T47" s="997" t="s">
        <v>2040</v>
      </c>
      <c r="U47" s="997" t="s">
        <v>2040</v>
      </c>
      <c r="V47" s="997" t="s">
        <v>2040</v>
      </c>
      <c r="W47" s="997" t="s">
        <v>2040</v>
      </c>
      <c r="X47" s="997"/>
      <c r="Y47" s="1155"/>
      <c r="Z47" s="1000"/>
      <c r="AA47" s="1003"/>
      <c r="AB47" s="1003"/>
      <c r="AC47" s="1003"/>
      <c r="AD47" s="1000"/>
    </row>
    <row customHeight="1" ht="54">
      <c r="A48" s="999"/>
      <c r="B48" s="1053">
        <v>31</v>
      </c>
      <c r="C48" s="997">
        <v>16</v>
      </c>
      <c r="D48" s="1122"/>
      <c r="E48" s="997"/>
      <c r="F48" s="997"/>
      <c r="G48" s="997"/>
      <c r="H48" s="1045"/>
      <c r="I48" s="1160" t="str">
        <f>INDEX(TEMPLATE_NUMBER_POINT_FHD,B48,MATCH(TEMPLATE_SPHERE,TEMPLATE_SPHERE_LIST_FOR_NOTE,0))</f>
        <v>2.13</v>
      </c>
      <c r="J48" s="1160" t="str">
        <f>INDEX(TEMPLATE_DATA_POINT_FHD,B48,MATCH(TEMPLATE_SPHERE,TEMPLATE_SPHERE_LIST_FOR_NOTE,0))</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v>
      </c>
      <c r="K48" s="1160" t="str">
        <f>INDEX(TEMPLATE_NOTE_POINT_FHD,B48,MATCH(TEMPLATE_SPHERE,TEMPLATE_SPHERE_LIST_FOR_NOTE,0))</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8" s="998" t="str">
        <f>IF(I48=0,"",I48)</f>
        <v>2.13</v>
      </c>
      <c r="M48" s="998" t="str">
        <f>IF(J48=0,"",J48)</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v>
      </c>
      <c r="N48" s="998" t="str">
        <f>IF(K48=0,"",K48)</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8" s="1112"/>
      <c r="P48" s="1112" t="s">
        <v>2023</v>
      </c>
      <c r="Q48" s="1112" t="s">
        <v>2041</v>
      </c>
      <c r="R48" s="1112" t="s">
        <v>2023</v>
      </c>
      <c r="S48" s="1112"/>
      <c r="T48" s="997"/>
      <c r="U48" s="997" t="s">
        <v>2042</v>
      </c>
      <c r="V48" s="997" t="s">
        <v>2043</v>
      </c>
      <c r="W48" s="997" t="s">
        <v>2043</v>
      </c>
      <c r="X48" s="997"/>
      <c r="Y48" s="1155"/>
      <c r="Z48" s="1000"/>
      <c r="AA48" s="1003" t="s">
        <v>2037</v>
      </c>
      <c r="AB48" s="1003" t="s">
        <v>2037</v>
      </c>
      <c r="AC48" s="1003" t="s">
        <v>2037</v>
      </c>
      <c r="AD48" s="1000"/>
    </row>
    <row customHeight="1" ht="54">
      <c r="A49" s="999"/>
      <c r="B49" s="1053">
        <v>32</v>
      </c>
      <c r="C49" s="997" t="s">
        <v>2044</v>
      </c>
      <c r="D49" s="1122"/>
      <c r="E49" s="997"/>
      <c r="F49" s="997"/>
      <c r="G49" s="997"/>
      <c r="H49" s="1045"/>
      <c r="I49" s="1160" t="str">
        <f>INDEX(TEMPLATE_NUMBER_POINT_FHD,B49,MATCH(TEMPLATE_SPHERE,TEMPLATE_SPHERE_LIST_FOR_NOTE,0))</f>
        <v>2.13.1</v>
      </c>
      <c r="J49" s="1160" t="str">
        <f>INDEX(TEMPLATE_DATA_POINT_FHD,B49,MATCH(TEMPLATE_SPHERE,TEMPLATE_SPHERE_LIST_FOR_NOTE,0))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9" s="1160">
        <f>INDEX(TEMPLATE_NOTE_POINT_FHD,B49,MATCH(TEMPLATE_SPHERE,TEMPLATE_SPHERE_LIST_FOR_NOTE,0))</f>
        <v>0</v>
      </c>
      <c r="L49" s="998" t="str">
        <f>IF(I49=0,"",I49)</f>
        <v>2.13.1</v>
      </c>
      <c r="M49" s="998" t="str">
        <f>IF(J49=0,"",J49)</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9" s="998" t="str">
        <f>IF(K49=0,"",K49)</f>
        <v/>
      </c>
      <c r="O49" s="1112"/>
      <c r="P49" s="1112" t="s">
        <v>2027</v>
      </c>
      <c r="Q49" s="1112" t="s">
        <v>2045</v>
      </c>
      <c r="R49" s="1112" t="s">
        <v>2027</v>
      </c>
      <c r="S49" s="1112"/>
      <c r="T49" s="997"/>
      <c r="U49" s="997" t="s">
        <v>2040</v>
      </c>
      <c r="V49" s="997" t="s">
        <v>2040</v>
      </c>
      <c r="W49" s="997" t="s">
        <v>2040</v>
      </c>
      <c r="X49" s="997"/>
      <c r="Y49" s="1155"/>
      <c r="Z49" s="1000"/>
      <c r="AA49" s="1003"/>
      <c r="AB49" s="1003"/>
      <c r="AC49" s="1003"/>
      <c r="AD49" s="1000"/>
    </row>
    <row customHeight="1" ht="126">
      <c r="A50" s="999"/>
      <c r="B50" s="1053">
        <v>33</v>
      </c>
      <c r="C50" s="997">
        <v>17</v>
      </c>
      <c r="D50" s="1122"/>
      <c r="E50" s="997"/>
      <c r="F50" s="997"/>
      <c r="G50" s="997"/>
      <c r="H50" s="1045"/>
      <c r="I50" s="1160" t="str">
        <f>INDEX(TEMPLATE_NUMBER_POINT_FHD,B50,MATCH(TEMPLATE_SPHERE,TEMPLATE_SPHERE_LIST_FOR_NOTE,0))</f>
        <v>2.14</v>
      </c>
      <c r="J50" s="1160" t="str">
        <f>INDEX(TEMPLATE_DATA_POINT_FHD,B50,MATCH(TEMPLATE_SPHERE,TEMPLATE_SPHERE_LIST_FOR_NOTE,0))</f>
        <v>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v>
      </c>
      <c r="K50" s="1160" t="str">
        <f>INDEX(TEMPLATE_NOTE_POINT_FHD,B50,MATCH(TEMPLATE_SPHERE,TEMPLATE_SPHERE_LIST_FOR_NOTE,0))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L50" s="998" t="str">
        <f>IF(I50=0,"",I50)</f>
        <v>2.14</v>
      </c>
      <c r="M50" s="998" t="str">
        <f>IF(J50=0,"",J50)</f>
        <v>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v>
      </c>
      <c r="N50" s="998" t="str">
        <f>IF(K50=0,"",K50)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O50" s="1112" t="s">
        <v>2041</v>
      </c>
      <c r="P50" s="1112" t="s">
        <v>2034</v>
      </c>
      <c r="Q50" s="1112" t="s">
        <v>2046</v>
      </c>
      <c r="R50" s="1112" t="s">
        <v>2034</v>
      </c>
      <c r="S50" s="1112"/>
      <c r="T50" s="997" t="s">
        <v>2047</v>
      </c>
      <c r="U50" s="997" t="s">
        <v>2048</v>
      </c>
      <c r="V50" s="997" t="s">
        <v>2049</v>
      </c>
      <c r="W50" s="997" t="s">
        <v>2050</v>
      </c>
      <c r="X50" s="997"/>
      <c r="Y50" s="1155"/>
      <c r="Z50" s="1000" t="s">
        <v>2051</v>
      </c>
      <c r="AA50" s="1003" t="s">
        <v>2052</v>
      </c>
      <c r="AB50" s="1003" t="s">
        <v>2052</v>
      </c>
      <c r="AC50" s="1003" t="s">
        <v>2052</v>
      </c>
      <c r="AD50" s="1000"/>
    </row>
    <row customHeight="1" ht="27">
      <c r="A51" s="999"/>
      <c r="B51" s="1053">
        <v>34</v>
      </c>
      <c r="C51" s="997" t="s">
        <v>2053</v>
      </c>
      <c r="D51" s="1122"/>
      <c r="E51" s="997"/>
      <c r="F51" s="997"/>
      <c r="G51" s="997"/>
      <c r="H51" s="1045"/>
      <c r="I51" s="1160">
        <f>INDEX(TEMPLATE_NUMBER_POINT_FHD,B51,MATCH(TEMPLATE_SPHERE,TEMPLATE_SPHERE_LIST_FOR_NOTE,0))</f>
        <v>0</v>
      </c>
      <c r="J51" s="1160">
        <f>INDEX(TEMPLATE_DATA_POINT_FHD,B51,MATCH(TEMPLATE_SPHERE,TEMPLATE_SPHERE_LIST_FOR_NOTE,0))</f>
        <v>0</v>
      </c>
      <c r="K51" s="1160">
        <f>INDEX(TEMPLATE_NOTE_POINT_FHD,B51,MATCH(TEMPLATE_SPHERE,TEMPLATE_SPHERE_LIST_FOR_NOTE,0))</f>
        <v>0</v>
      </c>
      <c r="L51" s="998" t="str">
        <f>IF(I51=0,"",I51)</f>
        <v/>
      </c>
      <c r="M51" s="998" t="str">
        <f>IF(J51=0,"",J51)</f>
        <v/>
      </c>
      <c r="N51" s="998" t="str">
        <f>IF(K51=0,"",K51)</f>
        <v/>
      </c>
      <c r="O51" s="1112" t="s">
        <v>87</v>
      </c>
      <c r="P51" s="1112"/>
      <c r="Q51" s="1112"/>
      <c r="R51" s="1112"/>
      <c r="S51" s="1112"/>
      <c r="T51" s="997" t="s">
        <v>2054</v>
      </c>
      <c r="U51" s="997"/>
      <c r="V51" s="997"/>
      <c r="W51" s="997"/>
      <c r="X51" s="997"/>
      <c r="Y51" s="1155"/>
      <c r="Z51" s="1000"/>
      <c r="AA51" s="1003"/>
      <c r="AB51" s="1003"/>
      <c r="AC51" s="1003"/>
      <c r="AD51" s="1000"/>
    </row>
    <row customHeight="1" ht="36">
      <c r="A52" s="999"/>
      <c r="B52" s="1053">
        <v>35</v>
      </c>
      <c r="C52" s="997" t="s">
        <v>1946</v>
      </c>
      <c r="D52" s="1122" t="s">
        <v>1946</v>
      </c>
      <c r="E52" s="997" t="s">
        <v>1946</v>
      </c>
      <c r="F52" s="997" t="s">
        <v>1946</v>
      </c>
      <c r="G52" s="997"/>
      <c r="H52" s="1045"/>
      <c r="I52" s="1160" t="str">
        <f>INDEX(TEMPLATE_NUMBER_POINT_FHD,B52,MATCH(TEMPLATE_SPHERE,TEMPLATE_SPHERE_LIST_FOR_NOTE,0))</f>
        <v>3</v>
      </c>
      <c r="J52" s="1160" t="str">
        <f>INDEX(TEMPLATE_DATA_POINT_FHD,B52,MATCH(TEMPLATE_SPHERE,TEMPLATE_SPHERE_LIST_FOR_NOTE,0))</f>
        <v>Чистая прибыль, полученная от регулируемого вида деятельности в сфере горячего водоснабжения, в том числе:</v>
      </c>
      <c r="K52" s="1160" t="str">
        <f>INDEX(TEMPLATE_NOTE_POINT_FHD,B52,MATCH(TEMPLATE_SPHERE,TEMPLATE_SPHERE_LIST_FOR_NOTE,0))</f>
        <v>Указывается общая сумма чистой прибыли, полученной от регулируемого вида деятельности.</v>
      </c>
      <c r="L52" s="998" t="str">
        <f>IF(I52=0,"",I52)</f>
        <v>3</v>
      </c>
      <c r="M52" s="998" t="str">
        <f>IF(J52=0,"",J52)</f>
        <v>Чистая прибыль, полученная от регулируемого вида деятельности в сфере горячего водоснабжения, в том числе:</v>
      </c>
      <c r="N52" s="998" t="str">
        <f>IF(K52=0,"",K52)</f>
        <v>Указывается общая сумма чистой прибыли, полученной от регулируемого вида деятельности.</v>
      </c>
      <c r="O52" s="1112" t="s">
        <v>88</v>
      </c>
      <c r="P52" s="1112" t="s">
        <v>87</v>
      </c>
      <c r="Q52" s="1112" t="s">
        <v>87</v>
      </c>
      <c r="R52" s="1112" t="s">
        <v>87</v>
      </c>
      <c r="S52" s="1112"/>
      <c r="T52" s="997" t="s">
        <v>2055</v>
      </c>
      <c r="U52" s="997" t="s">
        <v>2056</v>
      </c>
      <c r="V52" s="997" t="s">
        <v>2057</v>
      </c>
      <c r="W52" s="997" t="s">
        <v>2058</v>
      </c>
      <c r="X52" s="997"/>
      <c r="Y52" s="1155"/>
      <c r="Z52" s="1000" t="s">
        <v>664</v>
      </c>
      <c r="AA52" s="1003" t="s">
        <v>664</v>
      </c>
      <c r="AB52" s="1003" t="s">
        <v>664</v>
      </c>
      <c r="AC52" s="1003" t="s">
        <v>664</v>
      </c>
      <c r="AD52" s="1000"/>
    </row>
    <row customHeight="1" ht="36">
      <c r="A53" s="999"/>
      <c r="B53" s="1053">
        <v>36</v>
      </c>
      <c r="C53" s="997">
        <v>1</v>
      </c>
      <c r="D53" s="1122"/>
      <c r="E53" s="997"/>
      <c r="F53" s="997"/>
      <c r="G53" s="997"/>
      <c r="H53" s="1045"/>
      <c r="I53" s="1160" t="str">
        <f>INDEX(TEMPLATE_NUMBER_POINT_FHD,B53,MATCH(TEMPLATE_SPHERE,TEMPLATE_SPHERE_LIST_FOR_NOTE,0))</f>
        <v>3.1</v>
      </c>
      <c r="J53" s="1160" t="str">
        <f>INDEX(TEMPLATE_DATA_POINT_FHD,B53,MATCH(TEMPLATE_SPHERE,TEMPLATE_SPHERE_LIST_FOR_NOTE,0))</f>
        <v>Размер расходования чистой прибыли на финансирование мероприятий, предусмотренных инвестиционной программой регулируемой организации</v>
      </c>
      <c r="K53" s="1160">
        <f>INDEX(TEMPLATE_NOTE_POINT_FHD,B53,MATCH(TEMPLATE_SPHERE,TEMPLATE_SPHERE_LIST_FOR_NOTE,0))</f>
        <v>0</v>
      </c>
      <c r="L53" s="998" t="str">
        <f>IF(I53=0,"",I53)</f>
        <v>3.1</v>
      </c>
      <c r="M53" s="998" t="str">
        <f>IF(J53=0,"",J53)</f>
        <v>Размер расходования чистой прибыли на финансирование мероприятий, предусмотренных инвестиционной программой регулируемой организации</v>
      </c>
      <c r="N53" s="998" t="str">
        <f>IF(K53=0,"",K53)</f>
        <v/>
      </c>
      <c r="O53" s="1112" t="s">
        <v>668</v>
      </c>
      <c r="P53" s="1112" t="s">
        <v>324</v>
      </c>
      <c r="Q53" s="1112" t="s">
        <v>324</v>
      </c>
      <c r="R53" s="1112" t="s">
        <v>324</v>
      </c>
      <c r="S53" s="1112"/>
      <c r="T53" s="997" t="s">
        <v>2059</v>
      </c>
      <c r="U53" s="997" t="s">
        <v>2059</v>
      </c>
      <c r="V53" s="997" t="s">
        <v>2059</v>
      </c>
      <c r="W53" s="997" t="s">
        <v>2059</v>
      </c>
      <c r="X53" s="997"/>
      <c r="Y53" s="1155"/>
      <c r="Z53" s="1000"/>
      <c r="AA53" s="1003"/>
      <c r="AB53" s="1000"/>
      <c r="AC53" s="1000"/>
      <c r="AD53" s="1000"/>
    </row>
    <row customHeight="1" ht="18">
      <c r="A54" s="999"/>
      <c r="B54" s="1053">
        <v>37</v>
      </c>
      <c r="C54" s="997" t="s">
        <v>1952</v>
      </c>
      <c r="D54" s="1122" t="s">
        <v>1952</v>
      </c>
      <c r="E54" s="997" t="s">
        <v>1952</v>
      </c>
      <c r="F54" s="997" t="s">
        <v>1952</v>
      </c>
      <c r="G54" s="997"/>
      <c r="H54" s="1045"/>
      <c r="I54" s="1160" t="str">
        <f>INDEX(TEMPLATE_NUMBER_POINT_FHD,B54,MATCH(TEMPLATE_SPHERE,TEMPLATE_SPHERE_LIST_FOR_NOTE,0))</f>
        <v>4</v>
      </c>
      <c r="J54" s="1160" t="str">
        <f>INDEX(TEMPLATE_DATA_POINT_FHD,B54,MATCH(TEMPLATE_SPHERE,TEMPLATE_SPHERE_LIST_FOR_NOTE,0))</f>
        <v>Изменение стоимости основных фондов, в том числе:</v>
      </c>
      <c r="K54" s="1160" t="str">
        <f>INDEX(TEMPLATE_NOTE_POINT_FHD,B54,MATCH(TEMPLATE_SPHERE,TEMPLATE_SPHERE_LIST_FOR_NOTE,0))</f>
        <v>Указывается общее изменение стоимости основных фондов.</v>
      </c>
      <c r="L54" s="998" t="str">
        <f>IF(I54=0,"",I54)</f>
        <v>4</v>
      </c>
      <c r="M54" s="998" t="str">
        <f>IF(J54=0,"",J54)</f>
        <v>Изменение стоимости основных фондов, в том числе:</v>
      </c>
      <c r="N54" s="998" t="str">
        <f>IF(K54=0,"",K54)</f>
        <v>Указывается общее изменение стоимости основных фондов.</v>
      </c>
      <c r="O54" s="1112" t="s">
        <v>108</v>
      </c>
      <c r="P54" s="1112" t="s">
        <v>88</v>
      </c>
      <c r="Q54" s="1112" t="s">
        <v>88</v>
      </c>
      <c r="R54" s="1112" t="s">
        <v>88</v>
      </c>
      <c r="S54" s="1112"/>
      <c r="T54" s="997" t="s">
        <v>666</v>
      </c>
      <c r="U54" s="997" t="s">
        <v>666</v>
      </c>
      <c r="V54" s="997" t="s">
        <v>666</v>
      </c>
      <c r="W54" s="997" t="s">
        <v>666</v>
      </c>
      <c r="X54" s="997"/>
      <c r="Y54" s="1155"/>
      <c r="Z54" s="1000" t="s">
        <v>667</v>
      </c>
      <c r="AA54" s="1000" t="s">
        <v>667</v>
      </c>
      <c r="AB54" s="1000" t="s">
        <v>667</v>
      </c>
      <c r="AC54" s="1000" t="s">
        <v>667</v>
      </c>
      <c r="AD54" s="1000"/>
    </row>
    <row customHeight="1" ht="36">
      <c r="A55" s="999"/>
      <c r="B55" s="1053">
        <v>38</v>
      </c>
      <c r="C55" s="997">
        <v>1</v>
      </c>
      <c r="D55" s="1122"/>
      <c r="E55" s="997"/>
      <c r="F55" s="997"/>
      <c r="G55" s="997"/>
      <c r="H55" s="1045"/>
      <c r="I55" s="1160" t="str">
        <f>INDEX(TEMPLATE_NUMBER_POINT_FHD,B55,MATCH(TEMPLATE_SPHERE,TEMPLATE_SPHERE_LIST_FOR_NOTE,0))</f>
        <v>4.1</v>
      </c>
      <c r="J55" s="1160" t="str">
        <f>INDEX(TEMPLATE_DATA_POINT_FHD,B55,MATCH(TEMPLATE_SPHERE,TEMPLATE_SPHERE_LIST_FOR_NOTE,0))</f>
        <v>Изменение стоимости основных фондов за счет их ввода в эксплуатацию (вывода из эксплуатации)</v>
      </c>
      <c r="K55" s="1160" t="str">
        <f>INDEX(TEMPLATE_NOTE_POINT_FHD,B55,MATCH(TEMPLATE_SPHERE,TEMPLATE_SPHERE_LIST_FOR_NOTE,0))</f>
        <v>Указываются общее изменение стоимости основных фондов за счет их ввода в эксплуатацию и вывода из эксплуатации.</v>
      </c>
      <c r="L55" s="998" t="str">
        <f>IF(I55=0,"",I55)</f>
        <v>4.1</v>
      </c>
      <c r="M55" s="998" t="str">
        <f>IF(J55=0,"",J55)</f>
        <v>Изменение стоимости основных фондов за счет их ввода в эксплуатацию (вывода из эксплуатации)</v>
      </c>
      <c r="N55" s="998" t="str">
        <f>IF(K55=0,"",K55)</f>
        <v>Указываются общее изменение стоимости основных фондов за счет их ввода в эксплуатацию и вывода из эксплуатации.</v>
      </c>
      <c r="O55" s="1112" t="s">
        <v>313</v>
      </c>
      <c r="P55" s="1112" t="s">
        <v>668</v>
      </c>
      <c r="Q55" s="1112" t="s">
        <v>668</v>
      </c>
      <c r="R55" s="1112" t="s">
        <v>668</v>
      </c>
      <c r="S55" s="1112"/>
      <c r="T55" s="997" t="s">
        <v>2060</v>
      </c>
      <c r="U55" s="997" t="s">
        <v>2061</v>
      </c>
      <c r="V55" s="997" t="s">
        <v>2061</v>
      </c>
      <c r="W55" s="997" t="s">
        <v>2061</v>
      </c>
      <c r="X55" s="997"/>
      <c r="Y55" s="1155"/>
      <c r="Z55" s="1000" t="s">
        <v>2062</v>
      </c>
      <c r="AA55" s="1000" t="s">
        <v>2062</v>
      </c>
      <c r="AB55" s="1000" t="s">
        <v>2062</v>
      </c>
      <c r="AC55" s="1000" t="s">
        <v>2062</v>
      </c>
      <c r="AD55" s="1000"/>
    </row>
    <row customHeight="1" ht="27">
      <c r="A56" s="999"/>
      <c r="B56" s="1053">
        <v>39</v>
      </c>
      <c r="C56" s="997" t="s">
        <v>940</v>
      </c>
      <c r="D56" s="1122"/>
      <c r="E56" s="997"/>
      <c r="F56" s="997"/>
      <c r="G56" s="997"/>
      <c r="H56" s="1045"/>
      <c r="I56" s="1160" t="str">
        <f>INDEX(TEMPLATE_NUMBER_POINT_FHD,B56,MATCH(TEMPLATE_SPHERE,TEMPLATE_SPHERE_LIST_FOR_NOTE,0))</f>
        <v>4.1.1</v>
      </c>
      <c r="J56" s="1160" t="str">
        <f>INDEX(TEMPLATE_DATA_POINT_FHD,B56,MATCH(TEMPLATE_SPHERE,TEMPLATE_SPHERE_LIST_FOR_NOTE,0))</f>
        <v>Изменение стоимости основных фондов за счет их ввода в эксплуатацию</v>
      </c>
      <c r="K56" s="1160" t="str">
        <f>INDEX(TEMPLATE_NOTE_POINT_FHD,B56,MATCH(TEMPLATE_SPHERE,TEMPLATE_SPHERE_LIST_FOR_NOTE,0))</f>
        <v>Указываются изменение стоимости основных фондов за счет их ввода в эксплуатацию.</v>
      </c>
      <c r="L56" s="998" t="str">
        <f>IF(I56=0,"",I56)</f>
        <v>4.1.1</v>
      </c>
      <c r="M56" s="998" t="str">
        <f>IF(J56=0,"",J56)</f>
        <v>Изменение стоимости основных фондов за счет их ввода в эксплуатацию</v>
      </c>
      <c r="N56" s="998" t="str">
        <f>IF(K56=0,"",K56)</f>
        <v>Указываются изменение стоимости основных фондов за счет их ввода в эксплуатацию.</v>
      </c>
      <c r="O56" s="1112" t="s">
        <v>1057</v>
      </c>
      <c r="P56" s="1112" t="s">
        <v>671</v>
      </c>
      <c r="Q56" s="1112" t="s">
        <v>671</v>
      </c>
      <c r="R56" s="1112" t="s">
        <v>671</v>
      </c>
      <c r="S56" s="1112"/>
      <c r="T56" s="997" t="s">
        <v>2063</v>
      </c>
      <c r="U56" s="997" t="s">
        <v>2064</v>
      </c>
      <c r="V56" s="997" t="s">
        <v>2064</v>
      </c>
      <c r="W56" s="997" t="s">
        <v>2064</v>
      </c>
      <c r="X56" s="997"/>
      <c r="Y56" s="1155"/>
      <c r="Z56" s="1000" t="s">
        <v>673</v>
      </c>
      <c r="AA56" s="1000" t="s">
        <v>673</v>
      </c>
      <c r="AB56" s="1000" t="s">
        <v>673</v>
      </c>
      <c r="AC56" s="1000" t="s">
        <v>673</v>
      </c>
      <c r="AD56" s="1000"/>
    </row>
    <row customHeight="1" ht="27">
      <c r="A57" s="999"/>
      <c r="B57" s="1053">
        <v>40</v>
      </c>
      <c r="C57" s="997" t="s">
        <v>942</v>
      </c>
      <c r="D57" s="1122"/>
      <c r="E57" s="997"/>
      <c r="F57" s="997"/>
      <c r="G57" s="997"/>
      <c r="H57" s="1045"/>
      <c r="I57" s="1160" t="str">
        <f>INDEX(TEMPLATE_NUMBER_POINT_FHD,B57,MATCH(TEMPLATE_SPHERE,TEMPLATE_SPHERE_LIST_FOR_NOTE,0))</f>
        <v>4.1.2</v>
      </c>
      <c r="J57" s="1160" t="str">
        <f>INDEX(TEMPLATE_DATA_POINT_FHD,B57,MATCH(TEMPLATE_SPHERE,TEMPLATE_SPHERE_LIST_FOR_NOTE,0))</f>
        <v>Изменение стоимости основных фондов за счет их вывода в эксплуатацию</v>
      </c>
      <c r="K57" s="1160" t="str">
        <f>INDEX(TEMPLATE_NOTE_POINT_FHD,B57,MATCH(TEMPLATE_SPHERE,TEMPLATE_SPHERE_LIST_FOR_NOTE,0))</f>
        <v>Указываются изменение стоимости основных фондов за счет их вывода из эксплуатации.</v>
      </c>
      <c r="L57" s="998" t="str">
        <f>IF(I57=0,"",I57)</f>
        <v>4.1.2</v>
      </c>
      <c r="M57" s="998" t="str">
        <f>IF(J57=0,"",J57)</f>
        <v>Изменение стоимости основных фондов за счет их вывода в эксплуатацию</v>
      </c>
      <c r="N57" s="998" t="str">
        <f>IF(K57=0,"",K57)</f>
        <v>Указываются изменение стоимости основных фондов за счет их вывода из эксплуатации.</v>
      </c>
      <c r="O57" s="1112" t="s">
        <v>2065</v>
      </c>
      <c r="P57" s="1112" t="s">
        <v>674</v>
      </c>
      <c r="Q57" s="1112" t="s">
        <v>674</v>
      </c>
      <c r="R57" s="1112" t="s">
        <v>674</v>
      </c>
      <c r="S57" s="1112"/>
      <c r="T57" s="997" t="s">
        <v>2066</v>
      </c>
      <c r="U57" s="997" t="s">
        <v>2067</v>
      </c>
      <c r="V57" s="997" t="s">
        <v>2067</v>
      </c>
      <c r="W57" s="997" t="s">
        <v>2067</v>
      </c>
      <c r="X57" s="997"/>
      <c r="Y57" s="1155"/>
      <c r="Z57" s="1000" t="s">
        <v>676</v>
      </c>
      <c r="AA57" s="1000" t="s">
        <v>676</v>
      </c>
      <c r="AB57" s="1000" t="s">
        <v>676</v>
      </c>
      <c r="AC57" s="1000" t="s">
        <v>676</v>
      </c>
      <c r="AD57" s="1000"/>
    </row>
    <row customHeight="1" ht="18">
      <c r="A58" s="999"/>
      <c r="B58" s="1053">
        <v>41</v>
      </c>
      <c r="C58" s="997">
        <v>2</v>
      </c>
      <c r="D58" s="1122"/>
      <c r="E58" s="997"/>
      <c r="F58" s="997"/>
      <c r="G58" s="997"/>
      <c r="H58" s="1045"/>
      <c r="I58" s="1160" t="str">
        <f>INDEX(TEMPLATE_NUMBER_POINT_FHD,B58,MATCH(TEMPLATE_SPHERE,TEMPLATE_SPHERE_LIST_FOR_NOTE,0))</f>
        <v>4.2</v>
      </c>
      <c r="J58" s="1160" t="str">
        <f>INDEX(TEMPLATE_DATA_POINT_FHD,B58,MATCH(TEMPLATE_SPHERE,TEMPLATE_SPHERE_LIST_FOR_NOTE,0))</f>
        <v>Изменение стоимости основных фондов за счет их переоценки</v>
      </c>
      <c r="K58" s="1160">
        <f>INDEX(TEMPLATE_NOTE_POINT_FHD,B58,MATCH(TEMPLATE_SPHERE,TEMPLATE_SPHERE_LIST_FOR_NOTE,0))</f>
        <v>0</v>
      </c>
      <c r="L58" s="998" t="str">
        <f>IF(I58=0,"",I58)</f>
        <v>4.2</v>
      </c>
      <c r="M58" s="998" t="str">
        <f>IF(J58=0,"",J58)</f>
        <v>Изменение стоимости основных фондов за счет их переоценки</v>
      </c>
      <c r="N58" s="998" t="str">
        <f>IF(K58=0,"",K58)</f>
        <v/>
      </c>
      <c r="O58" s="1112" t="s">
        <v>797</v>
      </c>
      <c r="P58" s="1112" t="s">
        <v>711</v>
      </c>
      <c r="Q58" s="1112" t="s">
        <v>711</v>
      </c>
      <c r="R58" s="1112" t="s">
        <v>711</v>
      </c>
      <c r="S58" s="1112"/>
      <c r="T58" s="997" t="s">
        <v>2068</v>
      </c>
      <c r="U58" s="997" t="s">
        <v>2068</v>
      </c>
      <c r="V58" s="997" t="s">
        <v>2068</v>
      </c>
      <c r="W58" s="997" t="s">
        <v>2068</v>
      </c>
      <c r="X58" s="997"/>
      <c r="Y58" s="1155"/>
      <c r="Z58" s="1000"/>
      <c r="AA58" s="1003"/>
      <c r="AB58" s="1000"/>
      <c r="AC58" s="1000"/>
      <c r="AD58" s="1000"/>
    </row>
    <row customHeight="1" ht="36">
      <c r="A59" s="999"/>
      <c r="B59" s="1053">
        <v>42</v>
      </c>
      <c r="C59" s="997">
        <v>3</v>
      </c>
      <c r="D59" s="1122" t="s">
        <v>2053</v>
      </c>
      <c r="E59" s="997" t="s">
        <v>2053</v>
      </c>
      <c r="F59" s="997" t="s">
        <v>2053</v>
      </c>
      <c r="G59" s="997"/>
      <c r="H59" s="1045"/>
      <c r="I59" s="1160" t="str">
        <f>INDEX(TEMPLATE_NUMBER_POINT_FHD,B59,MATCH(TEMPLATE_SPHERE,TEMPLATE_SPHERE_LIST_FOR_NOTE,0))</f>
        <v>5</v>
      </c>
      <c r="J59" s="1160" t="str">
        <f>INDEX(TEMPLATE_DATA_POINT_FHD,B59,MATCH(TEMPLATE_SPHERE,TEMPLATE_SPHERE_LIST_FOR_NOTE,0))</f>
        <v>Валовая прибыль (убытки) от продажи товаров и услуг по регулируемым видам деятельности в сфере горячего водоснабжения</v>
      </c>
      <c r="K59" s="1160">
        <f>INDEX(TEMPLATE_NOTE_POINT_FHD,B59,MATCH(TEMPLATE_SPHERE,TEMPLATE_SPHERE_LIST_FOR_NOTE,0))</f>
        <v>0</v>
      </c>
      <c r="L59" s="998" t="str">
        <f>IF(I59=0,"",I59)</f>
        <v>5</v>
      </c>
      <c r="M59" s="998" t="str">
        <f>IF(J59=0,"",J59)</f>
        <v>Валовая прибыль (убытки) от продажи товаров и услуг по регулируемым видам деятельности в сфере горячего водоснабжения</v>
      </c>
      <c r="N59" s="998" t="str">
        <f>IF(K59=0,"",K59)</f>
        <v/>
      </c>
      <c r="O59" s="1112"/>
      <c r="P59" s="1112" t="s">
        <v>108</v>
      </c>
      <c r="Q59" s="1112" t="s">
        <v>108</v>
      </c>
      <c r="R59" s="1112" t="s">
        <v>108</v>
      </c>
      <c r="S59" s="1112"/>
      <c r="T59" s="997"/>
      <c r="U59" s="997" t="s">
        <v>2069</v>
      </c>
      <c r="V59" s="997" t="s">
        <v>2070</v>
      </c>
      <c r="W59" s="997" t="s">
        <v>2071</v>
      </c>
      <c r="X59" s="997"/>
      <c r="Y59" s="1155"/>
      <c r="Z59" s="1000"/>
      <c r="AA59" s="1003"/>
      <c r="AB59" s="1000"/>
      <c r="AC59" s="1000"/>
      <c r="AD59" s="1000"/>
    </row>
    <row customHeight="1" ht="81">
      <c r="A60" s="999"/>
      <c r="B60" s="1053">
        <v>43</v>
      </c>
      <c r="C60" s="997" t="s">
        <v>2072</v>
      </c>
      <c r="D60" s="1122" t="s">
        <v>2072</v>
      </c>
      <c r="E60" s="997" t="s">
        <v>2072</v>
      </c>
      <c r="F60" s="997" t="s">
        <v>2072</v>
      </c>
      <c r="G60" s="997"/>
      <c r="H60" s="1045"/>
      <c r="I60" s="1160" t="str">
        <f>INDEX(TEMPLATE_NUMBER_POINT_FHD,B60,MATCH(TEMPLATE_SPHERE,TEMPLATE_SPHERE_LIST_FOR_NOTE,0))</f>
        <v>6</v>
      </c>
      <c r="J60" s="1160" t="str">
        <f>INDEX(TEMPLATE_DATA_POINT_FHD,B60,MATCH(TEMPLATE_SPHERE,TEMPLATE_SPHERE_LIST_FOR_NOTE,0))</f>
        <v>Годовая бухгалтерская (финансовая) отчетность, включая бухгалтерский баланс и приложения к нему</v>
      </c>
      <c r="K60" s="1160" t="str">
        <f>INDEX(TEMPLATE_NOTE_POINT_FHD,B60,MATCH(TEMPLATE_SPHERE,TEMPLATE_SPHERE_LIST_FOR_NOTE,0))</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v>
      </c>
      <c r="L60" s="998" t="str">
        <f>IF(I60=0,"",I60)</f>
        <v>6</v>
      </c>
      <c r="M60" s="998" t="str">
        <f>IF(J60=0,"",J60)</f>
        <v>Годовая бухгалтерская (финансовая) отчетность, включая бухгалтерский баланс и приложения к нему</v>
      </c>
      <c r="N60" s="998" t="str">
        <f>IF(K60=0,"",K60)</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v>
      </c>
      <c r="O60" s="1112" t="s">
        <v>89</v>
      </c>
      <c r="P60" s="1112" t="s">
        <v>89</v>
      </c>
      <c r="Q60" s="1112" t="s">
        <v>89</v>
      </c>
      <c r="R60" s="1112" t="s">
        <v>89</v>
      </c>
      <c r="S60" s="1112"/>
      <c r="T60" s="997" t="s">
        <v>680</v>
      </c>
      <c r="U60" s="997" t="s">
        <v>680</v>
      </c>
      <c r="V60" s="997" t="s">
        <v>680</v>
      </c>
      <c r="W60" s="997" t="s">
        <v>680</v>
      </c>
      <c r="X60" s="997"/>
      <c r="Y60" s="1155"/>
      <c r="Z60" s="1000" t="s">
        <v>2073</v>
      </c>
      <c r="AA60" s="1003" t="s">
        <v>2074</v>
      </c>
      <c r="AB60" s="1000" t="s">
        <v>2075</v>
      </c>
      <c r="AC60" s="1000" t="s">
        <v>2074</v>
      </c>
      <c r="AD60" s="1000"/>
    </row>
    <row customHeight="1" ht="9">
      <c r="A61" s="999"/>
      <c r="B61" s="1053">
        <v>44</v>
      </c>
      <c r="C61" s="997"/>
      <c r="D61" s="1122" t="s">
        <v>2076</v>
      </c>
      <c r="E61" s="997"/>
      <c r="F61" s="997"/>
      <c r="G61" s="997"/>
      <c r="H61" s="1045"/>
      <c r="I61" s="1160">
        <f>INDEX(TEMPLATE_NUMBER_POINT_FHD,B61,MATCH(TEMPLATE_SPHERE,TEMPLATE_SPHERE_LIST_FOR_NOTE,0))</f>
        <v>0</v>
      </c>
      <c r="J61" s="1160">
        <f>INDEX(TEMPLATE_DATA_POINT_FHD,B61,MATCH(TEMPLATE_SPHERE,TEMPLATE_SPHERE_LIST_FOR_NOTE,0))</f>
        <v>0</v>
      </c>
      <c r="K61" s="1160">
        <f>INDEX(TEMPLATE_NOTE_POINT_FHD,B61,MATCH(TEMPLATE_SPHERE,TEMPLATE_SPHERE_LIST_FOR_NOTE,0))</f>
        <v>0</v>
      </c>
      <c r="L61" s="998" t="str">
        <f>IF(I61=0,"",I61)</f>
        <v/>
      </c>
      <c r="M61" s="998" t="str">
        <f>IF(J61=0,"",J61)</f>
        <v/>
      </c>
      <c r="N61" s="998" t="str">
        <f>IF(K61=0,"",K61)</f>
        <v/>
      </c>
      <c r="O61" s="1112"/>
      <c r="P61" s="1112" t="s">
        <v>90</v>
      </c>
      <c r="Q61" s="1112"/>
      <c r="R61" s="1112"/>
      <c r="S61" s="1112"/>
      <c r="T61" s="997"/>
      <c r="U61" s="997" t="s">
        <v>2077</v>
      </c>
      <c r="V61" s="997"/>
      <c r="W61" s="997"/>
      <c r="X61" s="997"/>
      <c r="Y61" s="1155"/>
      <c r="Z61" s="1000"/>
      <c r="AA61" s="1003"/>
      <c r="AB61" s="1000"/>
      <c r="AC61" s="1000"/>
      <c r="AD61" s="1000"/>
    </row>
    <row customHeight="1" ht="9">
      <c r="A62" s="999"/>
      <c r="B62" s="1053">
        <v>45</v>
      </c>
      <c r="C62" s="997"/>
      <c r="D62" s="1122" t="s">
        <v>2078</v>
      </c>
      <c r="E62" s="997"/>
      <c r="F62" s="997"/>
      <c r="G62" s="997"/>
      <c r="H62" s="1045"/>
      <c r="I62" s="1160">
        <f>INDEX(TEMPLATE_NUMBER_POINT_FHD,B62,MATCH(TEMPLATE_SPHERE,TEMPLATE_SPHERE_LIST_FOR_NOTE,0))</f>
        <v>0</v>
      </c>
      <c r="J62" s="1160">
        <f>INDEX(TEMPLATE_DATA_POINT_FHD,B62,MATCH(TEMPLATE_SPHERE,TEMPLATE_SPHERE_LIST_FOR_NOTE,0))</f>
        <v>0</v>
      </c>
      <c r="K62" s="1160">
        <f>INDEX(TEMPLATE_NOTE_POINT_FHD,B62,MATCH(TEMPLATE_SPHERE,TEMPLATE_SPHERE_LIST_FOR_NOTE,0))</f>
        <v>0</v>
      </c>
      <c r="L62" s="998" t="str">
        <f>IF(I62=0,"",I62)</f>
        <v/>
      </c>
      <c r="M62" s="998" t="str">
        <f>IF(J62=0,"",J62)</f>
        <v/>
      </c>
      <c r="N62" s="998" t="str">
        <f>IF(K62=0,"",K62)</f>
        <v/>
      </c>
      <c r="O62" s="1112"/>
      <c r="P62" s="1112" t="s">
        <v>109</v>
      </c>
      <c r="Q62" s="1112"/>
      <c r="R62" s="1112"/>
      <c r="S62" s="1112"/>
      <c r="T62" s="997"/>
      <c r="U62" s="997" t="s">
        <v>2079</v>
      </c>
      <c r="V62" s="997"/>
      <c r="W62" s="997"/>
      <c r="X62" s="997"/>
      <c r="Y62" s="1155"/>
      <c r="Z62" s="1000"/>
      <c r="AA62" s="1003"/>
      <c r="AB62" s="1000"/>
      <c r="AC62" s="1000"/>
      <c r="AD62" s="1000"/>
    </row>
    <row customHeight="1" ht="18">
      <c r="A63" s="999"/>
      <c r="B63" s="1053">
        <v>46</v>
      </c>
      <c r="C63" s="997"/>
      <c r="D63" s="1122" t="s">
        <v>2080</v>
      </c>
      <c r="E63" s="997"/>
      <c r="F63" s="997"/>
      <c r="G63" s="997"/>
      <c r="H63" s="1045"/>
      <c r="I63" s="1160">
        <f>INDEX(TEMPLATE_NUMBER_POINT_FHD,B63,MATCH(TEMPLATE_SPHERE,TEMPLATE_SPHERE_LIST_FOR_NOTE,0))</f>
        <v>0</v>
      </c>
      <c r="J63" s="1160">
        <f>INDEX(TEMPLATE_DATA_POINT_FHD,B63,MATCH(TEMPLATE_SPHERE,TEMPLATE_SPHERE_LIST_FOR_NOTE,0))</f>
        <v>0</v>
      </c>
      <c r="K63" s="1160">
        <f>INDEX(TEMPLATE_NOTE_POINT_FHD,B63,MATCH(TEMPLATE_SPHERE,TEMPLATE_SPHERE_LIST_FOR_NOTE,0))</f>
        <v>0</v>
      </c>
      <c r="L63" s="998" t="str">
        <f>IF(I63=0,"",I63)</f>
        <v/>
      </c>
      <c r="M63" s="998" t="str">
        <f>IF(J63=0,"",J63)</f>
        <v/>
      </c>
      <c r="N63" s="998" t="str">
        <f>IF(K63=0,"",K63)</f>
        <v/>
      </c>
      <c r="O63" s="1112"/>
      <c r="P63" s="1112" t="s">
        <v>145</v>
      </c>
      <c r="Q63" s="1112"/>
      <c r="R63" s="1112"/>
      <c r="S63" s="1112"/>
      <c r="T63" s="997"/>
      <c r="U63" s="997" t="s">
        <v>2081</v>
      </c>
      <c r="V63" s="997"/>
      <c r="W63" s="997"/>
      <c r="X63" s="997"/>
      <c r="Y63" s="1155"/>
      <c r="Z63" s="1000"/>
      <c r="AA63" s="1003"/>
      <c r="AB63" s="1000"/>
      <c r="AC63" s="1000"/>
      <c r="AD63" s="1000"/>
    </row>
    <row customHeight="1" ht="18">
      <c r="A64" s="999"/>
      <c r="B64" s="1053">
        <v>47</v>
      </c>
      <c r="C64" s="997"/>
      <c r="D64" s="1122" t="s">
        <v>2082</v>
      </c>
      <c r="E64" s="997"/>
      <c r="F64" s="997"/>
      <c r="G64" s="997"/>
      <c r="H64" s="1045"/>
      <c r="I64" s="1160">
        <f>INDEX(TEMPLATE_NUMBER_POINT_FHD,B64,MATCH(TEMPLATE_SPHERE,TEMPLATE_SPHERE_LIST_FOR_NOTE,0))</f>
        <v>0</v>
      </c>
      <c r="J64" s="1160">
        <f>INDEX(TEMPLATE_DATA_POINT_FHD,B64,MATCH(TEMPLATE_SPHERE,TEMPLATE_SPHERE_LIST_FOR_NOTE,0))</f>
        <v>0</v>
      </c>
      <c r="K64" s="1160">
        <f>INDEX(TEMPLATE_NOTE_POINT_FHD,B64,MATCH(TEMPLATE_SPHERE,TEMPLATE_SPHERE_LIST_FOR_NOTE,0))</f>
        <v>0</v>
      </c>
      <c r="L64" s="998" t="str">
        <f>IF(I64=0,"",I64)</f>
        <v/>
      </c>
      <c r="M64" s="998" t="str">
        <f>IF(J64=0,"",J64)</f>
        <v/>
      </c>
      <c r="N64" s="998" t="str">
        <f>IF(K64=0,"",K64)</f>
        <v/>
      </c>
      <c r="O64" s="1112"/>
      <c r="P64" s="1112" t="s">
        <v>146</v>
      </c>
      <c r="Q64" s="1112"/>
      <c r="R64" s="1112"/>
      <c r="S64" s="1112"/>
      <c r="T64" s="997"/>
      <c r="U64" s="997" t="s">
        <v>2083</v>
      </c>
      <c r="V64" s="997"/>
      <c r="W64" s="997"/>
      <c r="X64" s="997"/>
      <c r="Y64" s="1155"/>
      <c r="Z64" s="1000"/>
      <c r="AA64" s="1003" t="s">
        <v>2084</v>
      </c>
      <c r="AB64" s="1000"/>
      <c r="AC64" s="1000"/>
      <c r="AD64" s="1000"/>
    </row>
    <row customHeight="1" ht="18">
      <c r="A65" s="999"/>
      <c r="B65" s="1053">
        <v>48</v>
      </c>
      <c r="C65" s="997"/>
      <c r="D65" s="1122"/>
      <c r="E65" s="997"/>
      <c r="F65" s="997"/>
      <c r="G65" s="997"/>
      <c r="H65" s="1045"/>
      <c r="I65" s="1160">
        <f>INDEX(TEMPLATE_NUMBER_POINT_FHD,B65,MATCH(TEMPLATE_SPHERE,TEMPLATE_SPHERE_LIST_FOR_NOTE,0))</f>
        <v>0</v>
      </c>
      <c r="J65" s="1160">
        <f>INDEX(TEMPLATE_DATA_POINT_FHD,B65,MATCH(TEMPLATE_SPHERE,TEMPLATE_SPHERE_LIST_FOR_NOTE,0))</f>
        <v>0</v>
      </c>
      <c r="K65" s="1160">
        <f>INDEX(TEMPLATE_NOTE_POINT_FHD,B65,MATCH(TEMPLATE_SPHERE,TEMPLATE_SPHERE_LIST_FOR_NOTE,0))</f>
        <v>0</v>
      </c>
      <c r="L65" s="998" t="str">
        <f>IF(I65=0,"",I65)</f>
        <v/>
      </c>
      <c r="M65" s="998" t="str">
        <f>IF(J65=0,"",J65)</f>
        <v/>
      </c>
      <c r="N65" s="998" t="str">
        <f>IF(K65=0,"",K65)</f>
        <v/>
      </c>
      <c r="O65" s="1112"/>
      <c r="P65" s="1112" t="s">
        <v>1994</v>
      </c>
      <c r="Q65" s="1112"/>
      <c r="R65" s="1112"/>
      <c r="S65" s="1112"/>
      <c r="T65" s="997"/>
      <c r="U65" s="997" t="s">
        <v>2085</v>
      </c>
      <c r="V65" s="997"/>
      <c r="W65" s="997"/>
      <c r="X65" s="997"/>
      <c r="Y65" s="1155"/>
      <c r="Z65" s="1000"/>
      <c r="AA65" s="1003"/>
      <c r="AB65" s="1000"/>
      <c r="AC65" s="1000"/>
      <c r="AD65" s="1000"/>
    </row>
    <row customHeight="1" ht="18">
      <c r="A66" s="999"/>
      <c r="B66" s="1053">
        <v>49</v>
      </c>
      <c r="C66" s="997"/>
      <c r="D66" s="1122"/>
      <c r="E66" s="997"/>
      <c r="F66" s="997"/>
      <c r="G66" s="997"/>
      <c r="H66" s="1045"/>
      <c r="I66" s="1160">
        <f>INDEX(TEMPLATE_NUMBER_POINT_FHD,B66,MATCH(TEMPLATE_SPHERE,TEMPLATE_SPHERE_LIST_FOR_NOTE,0))</f>
        <v>0</v>
      </c>
      <c r="J66" s="1160">
        <f>INDEX(TEMPLATE_DATA_POINT_FHD,B66,MATCH(TEMPLATE_SPHERE,TEMPLATE_SPHERE_LIST_FOR_NOTE,0))</f>
        <v>0</v>
      </c>
      <c r="K66" s="1160">
        <f>INDEX(TEMPLATE_NOTE_POINT_FHD,B66,MATCH(TEMPLATE_SPHERE,TEMPLATE_SPHERE_LIST_FOR_NOTE,0))</f>
        <v>0</v>
      </c>
      <c r="L66" s="998" t="str">
        <f>IF(I66=0,"",I66)</f>
        <v/>
      </c>
      <c r="M66" s="998" t="str">
        <f>IF(J66=0,"",J66)</f>
        <v/>
      </c>
      <c r="N66" s="998" t="str">
        <f>IF(K66=0,"",K66)</f>
        <v/>
      </c>
      <c r="O66" s="1112"/>
      <c r="P66" s="1112" t="s">
        <v>1998</v>
      </c>
      <c r="Q66" s="1112"/>
      <c r="R66" s="1112"/>
      <c r="S66" s="1112"/>
      <c r="T66" s="997"/>
      <c r="U66" s="997" t="s">
        <v>2086</v>
      </c>
      <c r="V66" s="997"/>
      <c r="W66" s="997"/>
      <c r="X66" s="997"/>
      <c r="Y66" s="1155"/>
      <c r="Z66" s="1000"/>
      <c r="AA66" s="1003"/>
      <c r="AB66" s="1000"/>
      <c r="AC66" s="1000"/>
      <c r="AD66" s="1000"/>
    </row>
    <row customHeight="1" ht="27">
      <c r="A67" s="999"/>
      <c r="B67" s="1053">
        <v>50</v>
      </c>
      <c r="C67" s="997"/>
      <c r="D67" s="1122"/>
      <c r="E67" s="997"/>
      <c r="F67" s="997"/>
      <c r="G67" s="997"/>
      <c r="H67" s="1045"/>
      <c r="I67" s="1160">
        <f>INDEX(TEMPLATE_NUMBER_POINT_FHD,B67,MATCH(TEMPLATE_SPHERE,TEMPLATE_SPHERE_LIST_FOR_NOTE,0))</f>
        <v>0</v>
      </c>
      <c r="J67" s="1160">
        <f>INDEX(TEMPLATE_DATA_POINT_FHD,B67,MATCH(TEMPLATE_SPHERE,TEMPLATE_SPHERE_LIST_FOR_NOTE,0))</f>
        <v>0</v>
      </c>
      <c r="K67" s="1160">
        <f>INDEX(TEMPLATE_NOTE_POINT_FHD,B67,MATCH(TEMPLATE_SPHERE,TEMPLATE_SPHERE_LIST_FOR_NOTE,0))</f>
        <v>0</v>
      </c>
      <c r="L67" s="998" t="str">
        <f>IF(I67=0,"",I67)</f>
        <v/>
      </c>
      <c r="M67" s="998" t="str">
        <f>IF(J67=0,"",J67)</f>
        <v/>
      </c>
      <c r="N67" s="998" t="str">
        <f>IF(K67=0,"",K67)</f>
        <v/>
      </c>
      <c r="O67" s="1112"/>
      <c r="P67" s="1112" t="s">
        <v>2087</v>
      </c>
      <c r="Q67" s="1112"/>
      <c r="R67" s="1112"/>
      <c r="S67" s="1112"/>
      <c r="T67" s="997"/>
      <c r="U67" s="997" t="s">
        <v>2088</v>
      </c>
      <c r="V67" s="997"/>
      <c r="W67" s="997"/>
      <c r="X67" s="997"/>
      <c r="Y67" s="1155"/>
      <c r="Z67" s="1000"/>
      <c r="AA67" s="1003"/>
      <c r="AB67" s="1000"/>
      <c r="AC67" s="1000"/>
      <c r="AD67" s="1000"/>
    </row>
    <row customHeight="1" ht="27">
      <c r="A68" s="999"/>
      <c r="B68" s="1053">
        <v>51</v>
      </c>
      <c r="C68" s="997"/>
      <c r="D68" s="1122"/>
      <c r="E68" s="997"/>
      <c r="F68" s="997"/>
      <c r="G68" s="997"/>
      <c r="H68" s="1045"/>
      <c r="I68" s="1160">
        <f>INDEX(TEMPLATE_NUMBER_POINT_FHD,B68,MATCH(TEMPLATE_SPHERE,TEMPLATE_SPHERE_LIST_FOR_NOTE,0))</f>
        <v>0</v>
      </c>
      <c r="J68" s="1160">
        <f>INDEX(TEMPLATE_DATA_POINT_FHD,B68,MATCH(TEMPLATE_SPHERE,TEMPLATE_SPHERE_LIST_FOR_NOTE,0))</f>
        <v>0</v>
      </c>
      <c r="K68" s="1160">
        <f>INDEX(TEMPLATE_NOTE_POINT_FHD,B68,MATCH(TEMPLATE_SPHERE,TEMPLATE_SPHERE_LIST_FOR_NOTE,0))</f>
        <v>0</v>
      </c>
      <c r="L68" s="998" t="str">
        <f>IF(I68=0,"",I68)</f>
        <v/>
      </c>
      <c r="M68" s="998" t="str">
        <f>IF(J68=0,"",J68)</f>
        <v/>
      </c>
      <c r="N68" s="998" t="str">
        <f>IF(K68=0,"",K68)</f>
        <v/>
      </c>
      <c r="O68" s="1112"/>
      <c r="P68" s="1112" t="s">
        <v>2089</v>
      </c>
      <c r="Q68" s="1112"/>
      <c r="R68" s="1112"/>
      <c r="S68" s="1112"/>
      <c r="T68" s="997"/>
      <c r="U68" s="997" t="s">
        <v>2090</v>
      </c>
      <c r="V68" s="997"/>
      <c r="W68" s="997"/>
      <c r="X68" s="997"/>
      <c r="Y68" s="1155"/>
      <c r="Z68" s="1000"/>
      <c r="AA68" s="1003"/>
      <c r="AB68" s="1000"/>
      <c r="AC68" s="1000"/>
      <c r="AD68" s="1000"/>
    </row>
    <row customHeight="1" ht="9">
      <c r="A69" s="999"/>
      <c r="B69" s="1053">
        <v>52</v>
      </c>
      <c r="C69" s="997"/>
      <c r="D69" s="1122" t="s">
        <v>2091</v>
      </c>
      <c r="E69" s="997"/>
      <c r="F69" s="997"/>
      <c r="G69" s="997"/>
      <c r="H69" s="1045"/>
      <c r="I69" s="1160">
        <f>INDEX(TEMPLATE_NUMBER_POINT_FHD,B69,MATCH(TEMPLATE_SPHERE,TEMPLATE_SPHERE_LIST_FOR_NOTE,0))</f>
        <v>0</v>
      </c>
      <c r="J69" s="1160">
        <f>INDEX(TEMPLATE_DATA_POINT_FHD,B69,MATCH(TEMPLATE_SPHERE,TEMPLATE_SPHERE_LIST_FOR_NOTE,0))</f>
        <v>0</v>
      </c>
      <c r="K69" s="1160">
        <f>INDEX(TEMPLATE_NOTE_POINT_FHD,B69,MATCH(TEMPLATE_SPHERE,TEMPLATE_SPHERE_LIST_FOR_NOTE,0))</f>
        <v>0</v>
      </c>
      <c r="L69" s="998" t="str">
        <f>IF(I69=0,"",I69)</f>
        <v/>
      </c>
      <c r="M69" s="998" t="str">
        <f>IF(J69=0,"",J69)</f>
        <v/>
      </c>
      <c r="N69" s="998" t="str">
        <f>IF(K69=0,"",K69)</f>
        <v/>
      </c>
      <c r="O69" s="1112"/>
      <c r="P69" s="1112" t="s">
        <v>147</v>
      </c>
      <c r="Q69" s="1112"/>
      <c r="R69" s="1112"/>
      <c r="S69" s="1112"/>
      <c r="T69" s="997"/>
      <c r="U69" s="997" t="s">
        <v>2092</v>
      </c>
      <c r="V69" s="997"/>
      <c r="W69" s="997"/>
      <c r="X69" s="997"/>
      <c r="Y69" s="1155"/>
      <c r="Z69" s="1000"/>
      <c r="AA69" s="1003"/>
      <c r="AB69" s="1000"/>
      <c r="AC69" s="1000"/>
      <c r="AD69" s="1000"/>
    </row>
    <row customHeight="1" ht="27">
      <c r="A70" s="999"/>
      <c r="B70" s="1053">
        <v>53</v>
      </c>
      <c r="C70" s="997"/>
      <c r="D70" s="1122"/>
      <c r="E70" s="997" t="s">
        <v>2076</v>
      </c>
      <c r="F70" s="997"/>
      <c r="G70" s="997"/>
      <c r="H70" s="1045"/>
      <c r="I70" s="1160" t="str">
        <f>INDEX(TEMPLATE_NUMBER_POINT_FHD,B70,MATCH(TEMPLATE_SPHERE,TEMPLATE_SPHERE_LIST_FOR_NOTE,0))</f>
        <v>7</v>
      </c>
      <c r="J70" s="1160" t="str">
        <f>INDEX(TEMPLATE_DATA_POINT_FHD,B70,MATCH(TEMPLATE_SPHERE,TEMPLATE_SPHERE_LIST_FOR_NOTE,0))</f>
        <v>Объём приобретаемой холодной воды, используемой для горячего водоснабжения</v>
      </c>
      <c r="K70" s="1160">
        <f>INDEX(TEMPLATE_NOTE_POINT_FHD,B70,MATCH(TEMPLATE_SPHERE,TEMPLATE_SPHERE_LIST_FOR_NOTE,0))</f>
        <v>0</v>
      </c>
      <c r="L70" s="998" t="str">
        <f>IF(I70=0,"",I70)</f>
        <v>7</v>
      </c>
      <c r="M70" s="998" t="str">
        <f>IF(J70=0,"",J70)</f>
        <v>Объём приобретаемой холодной воды, используемой для горячего водоснабжения</v>
      </c>
      <c r="N70" s="998" t="str">
        <f>IF(K70=0,"",K70)</f>
        <v/>
      </c>
      <c r="O70" s="1112"/>
      <c r="P70" s="1112"/>
      <c r="Q70" s="1112" t="s">
        <v>90</v>
      </c>
      <c r="R70" s="1112"/>
      <c r="S70" s="1112"/>
      <c r="T70" s="997"/>
      <c r="U70" s="997"/>
      <c r="V70" s="997" t="s">
        <v>2093</v>
      </c>
      <c r="W70" s="997"/>
      <c r="X70" s="997"/>
      <c r="Y70" s="1155"/>
      <c r="Z70" s="1000"/>
      <c r="AA70" s="1003"/>
      <c r="AB70" s="1000"/>
      <c r="AC70" s="1000"/>
      <c r="AD70" s="1000"/>
    </row>
    <row customHeight="1" ht="36">
      <c r="A71" s="999"/>
      <c r="B71" s="1053">
        <v>54</v>
      </c>
      <c r="C71" s="997"/>
      <c r="D71" s="1122"/>
      <c r="E71" s="997" t="s">
        <v>2078</v>
      </c>
      <c r="F71" s="997"/>
      <c r="G71" s="997"/>
      <c r="H71" s="1045"/>
      <c r="I71" s="1160" t="str">
        <f>INDEX(TEMPLATE_NUMBER_POINT_FHD,B71,MATCH(TEMPLATE_SPHERE,TEMPLATE_SPHERE_LIST_FOR_NOTE,0))</f>
        <v>8</v>
      </c>
      <c r="J71" s="1160" t="str">
        <f>INDEX(TEMPLATE_DATA_POINT_FHD,B71,MATCH(TEMPLATE_SPHERE,TEMPLATE_SPHERE_LIST_FOR_NOTE,0))</f>
        <v>Объём холодной воды, получаемой с применением собственных источников водозабора (скважин) и используемой для горячего водоснабжения</v>
      </c>
      <c r="K71" s="1160">
        <f>INDEX(TEMPLATE_NOTE_POINT_FHD,B71,MATCH(TEMPLATE_SPHERE,TEMPLATE_SPHERE_LIST_FOR_NOTE,0))</f>
        <v>0</v>
      </c>
      <c r="L71" s="998" t="str">
        <f>IF(I71=0,"",I71)</f>
        <v>8</v>
      </c>
      <c r="M71" s="998" t="str">
        <f>IF(J71=0,"",J71)</f>
        <v>Объём холодной воды, получаемой с применением собственных источников водозабора (скважин) и используемой для горячего водоснабжения</v>
      </c>
      <c r="N71" s="998" t="str">
        <f>IF(K71=0,"",K71)</f>
        <v/>
      </c>
      <c r="O71" s="1112"/>
      <c r="P71" s="1112"/>
      <c r="Q71" s="1112" t="s">
        <v>109</v>
      </c>
      <c r="R71" s="1112"/>
      <c r="S71" s="1112"/>
      <c r="T71" s="997"/>
      <c r="U71" s="997"/>
      <c r="V71" s="997" t="s">
        <v>2094</v>
      </c>
      <c r="W71" s="997"/>
      <c r="X71" s="997"/>
      <c r="Y71" s="1155"/>
      <c r="Z71" s="1000"/>
      <c r="AA71" s="1003"/>
      <c r="AB71" s="1000"/>
      <c r="AC71" s="1000"/>
      <c r="AD71" s="1000"/>
    </row>
    <row customHeight="1" ht="27">
      <c r="A72" s="999"/>
      <c r="B72" s="1053">
        <v>55</v>
      </c>
      <c r="C72" s="997"/>
      <c r="D72" s="1122"/>
      <c r="E72" s="997" t="s">
        <v>2080</v>
      </c>
      <c r="F72" s="997"/>
      <c r="G72" s="997"/>
      <c r="H72" s="1045"/>
      <c r="I72" s="1160" t="str">
        <f>INDEX(TEMPLATE_NUMBER_POINT_FHD,B72,MATCH(TEMPLATE_SPHERE,TEMPLATE_SPHERE_LIST_FOR_NOTE,0))</f>
        <v>9</v>
      </c>
      <c r="J72" s="1160" t="str">
        <f>INDEX(TEMPLATE_DATA_POINT_FHD,B72,MATCH(TEMPLATE_SPHERE,TEMPLATE_SPHERE_LIST_FOR_NOTE,0))</f>
        <v>Объём приобретаемой тепловой энергии (мощности), используемой для горячего водоснабжения</v>
      </c>
      <c r="K72" s="1160">
        <f>INDEX(TEMPLATE_NOTE_POINT_FHD,B72,MATCH(TEMPLATE_SPHERE,TEMPLATE_SPHERE_LIST_FOR_NOTE,0))</f>
        <v>0</v>
      </c>
      <c r="L72" s="998" t="str">
        <f>IF(I72=0,"",I72)</f>
        <v>9</v>
      </c>
      <c r="M72" s="998" t="str">
        <f>IF(J72=0,"",J72)</f>
        <v>Объём приобретаемой тепловой энергии (мощности), используемой для горячего водоснабжения</v>
      </c>
      <c r="N72" s="998" t="str">
        <f>IF(K72=0,"",K72)</f>
        <v/>
      </c>
      <c r="O72" s="1112"/>
      <c r="P72" s="1112"/>
      <c r="Q72" s="1112" t="s">
        <v>145</v>
      </c>
      <c r="R72" s="1112"/>
      <c r="S72" s="1112"/>
      <c r="T72" s="997"/>
      <c r="U72" s="997"/>
      <c r="V72" s="997" t="s">
        <v>2095</v>
      </c>
      <c r="W72" s="997"/>
      <c r="X72" s="997"/>
      <c r="Y72" s="1155"/>
      <c r="Z72" s="1000"/>
      <c r="AA72" s="1003"/>
      <c r="AB72" s="1000"/>
      <c r="AC72" s="1000"/>
      <c r="AD72" s="1000"/>
    </row>
    <row customHeight="1" ht="36">
      <c r="A73" s="999"/>
      <c r="B73" s="1053">
        <v>56</v>
      </c>
      <c r="C73" s="997"/>
      <c r="D73" s="1122"/>
      <c r="E73" s="997" t="s">
        <v>2082</v>
      </c>
      <c r="F73" s="997"/>
      <c r="G73" s="997"/>
      <c r="H73" s="1045"/>
      <c r="I73" s="1160" t="str">
        <f>INDEX(TEMPLATE_NUMBER_POINT_FHD,B73,MATCH(TEMPLATE_SPHERE,TEMPLATE_SPHERE_LIST_FOR_NOTE,0))</f>
        <v>10</v>
      </c>
      <c r="J73" s="1160" t="str">
        <f>INDEX(TEMPLATE_DATA_POINT_FHD,B73,MATCH(TEMPLATE_SPHERE,TEMPLATE_SPHERE_LIST_FOR_NOTE,0))</f>
        <v>Объём тепловой энергии, производимой с применением собственных источников и используемой для горячего водоснабжения</v>
      </c>
      <c r="K73" s="1160">
        <f>INDEX(TEMPLATE_NOTE_POINT_FHD,B73,MATCH(TEMPLATE_SPHERE,TEMPLATE_SPHERE_LIST_FOR_NOTE,0))</f>
        <v>0</v>
      </c>
      <c r="L73" s="998" t="str">
        <f>IF(I73=0,"",I73)</f>
        <v>10</v>
      </c>
      <c r="M73" s="998" t="str">
        <f>IF(J73=0,"",J73)</f>
        <v>Объём тепловой энергии, производимой с применением собственных источников и используемой для горячего водоснабжения</v>
      </c>
      <c r="N73" s="998" t="str">
        <f>IF(K73=0,"",K73)</f>
        <v/>
      </c>
      <c r="O73" s="1112"/>
      <c r="P73" s="1112"/>
      <c r="Q73" s="1112" t="s">
        <v>146</v>
      </c>
      <c r="R73" s="1112"/>
      <c r="S73" s="1112"/>
      <c r="T73" s="997"/>
      <c r="U73" s="997"/>
      <c r="V73" s="997" t="s">
        <v>2096</v>
      </c>
      <c r="W73" s="997"/>
      <c r="X73" s="997"/>
      <c r="Y73" s="1155"/>
      <c r="Z73" s="1000"/>
      <c r="AA73" s="1003"/>
      <c r="AB73" s="1000"/>
      <c r="AC73" s="1000"/>
      <c r="AD73" s="1000"/>
    </row>
    <row customHeight="1" ht="18">
      <c r="A74" s="999"/>
      <c r="B74" s="1053">
        <v>57</v>
      </c>
      <c r="C74" s="997"/>
      <c r="D74" s="1122"/>
      <c r="E74" s="997" t="s">
        <v>2091</v>
      </c>
      <c r="F74" s="997"/>
      <c r="G74" s="997"/>
      <c r="H74" s="1045"/>
      <c r="I74" s="1160" t="str">
        <f>INDEX(TEMPLATE_NUMBER_POINT_FHD,B74,MATCH(TEMPLATE_SPHERE,TEMPLATE_SPHERE_LIST_FOR_NOTE,0))</f>
        <v>11</v>
      </c>
      <c r="J74" s="1160" t="str">
        <f>INDEX(TEMPLATE_DATA_POINT_FHD,B74,MATCH(TEMPLATE_SPHERE,TEMPLATE_SPHERE_LIST_FOR_NOTE,0))</f>
        <v>Потери горячей воды в сетях (процентов)</v>
      </c>
      <c r="K74" s="1160">
        <f>INDEX(TEMPLATE_NOTE_POINT_FHD,B74,MATCH(TEMPLATE_SPHERE,TEMPLATE_SPHERE_LIST_FOR_NOTE,0))</f>
        <v>0</v>
      </c>
      <c r="L74" s="998" t="str">
        <f>IF(I74=0,"",I74)</f>
        <v>11</v>
      </c>
      <c r="M74" s="998" t="str">
        <f>IF(J74=0,"",J74)</f>
        <v>Потери горячей воды в сетях (процентов)</v>
      </c>
      <c r="N74" s="998" t="str">
        <f>IF(K74=0,"",K74)</f>
        <v/>
      </c>
      <c r="O74" s="1112"/>
      <c r="P74" s="1112"/>
      <c r="Q74" s="1112" t="s">
        <v>147</v>
      </c>
      <c r="R74" s="1112"/>
      <c r="S74" s="1112"/>
      <c r="T74" s="997"/>
      <c r="U74" s="997"/>
      <c r="V74" s="997" t="s">
        <v>2097</v>
      </c>
      <c r="W74" s="997"/>
      <c r="X74" s="997"/>
      <c r="Y74" s="1155"/>
      <c r="Z74" s="1000"/>
      <c r="AA74" s="1003"/>
      <c r="AB74" s="1000"/>
      <c r="AC74" s="1000"/>
      <c r="AD74" s="1000"/>
    </row>
    <row customHeight="1" ht="18">
      <c r="A75" s="999"/>
      <c r="B75" s="1053">
        <v>58</v>
      </c>
      <c r="C75" s="997"/>
      <c r="D75" s="1122"/>
      <c r="E75" s="997"/>
      <c r="F75" s="997" t="s">
        <v>2076</v>
      </c>
      <c r="G75" s="997"/>
      <c r="H75" s="1045"/>
      <c r="I75" s="1160">
        <f>INDEX(TEMPLATE_NUMBER_POINT_FHD,B75,MATCH(TEMPLATE_SPHERE,TEMPLATE_SPHERE_LIST_FOR_NOTE,0))</f>
        <v>0</v>
      </c>
      <c r="J75" s="1160">
        <f>INDEX(TEMPLATE_DATA_POINT_FHD,B75,MATCH(TEMPLATE_SPHERE,TEMPLATE_SPHERE_LIST_FOR_NOTE,0))</f>
        <v>0</v>
      </c>
      <c r="K75" s="1160">
        <f>INDEX(TEMPLATE_NOTE_POINT_FHD,B75,MATCH(TEMPLATE_SPHERE,TEMPLATE_SPHERE_LIST_FOR_NOTE,0))</f>
        <v>0</v>
      </c>
      <c r="L75" s="998" t="str">
        <f>IF(I75=0,"",I75)</f>
        <v/>
      </c>
      <c r="M75" s="998" t="str">
        <f>IF(J75=0,"",J75)</f>
        <v/>
      </c>
      <c r="N75" s="998" t="str">
        <f>IF(K75=0,"",K75)</f>
        <v/>
      </c>
      <c r="O75" s="1112"/>
      <c r="P75" s="1112"/>
      <c r="Q75" s="1112"/>
      <c r="R75" s="1112" t="s">
        <v>90</v>
      </c>
      <c r="S75" s="1112"/>
      <c r="T75" s="997"/>
      <c r="U75" s="997"/>
      <c r="V75" s="997"/>
      <c r="W75" s="997" t="s">
        <v>2098</v>
      </c>
      <c r="X75" s="997"/>
      <c r="Y75" s="1155"/>
      <c r="Z75" s="1000"/>
      <c r="AA75" s="1003"/>
      <c r="AB75" s="1000"/>
      <c r="AC75" s="1000"/>
      <c r="AD75" s="1000"/>
    </row>
    <row customHeight="1" ht="36">
      <c r="A76" s="999"/>
      <c r="B76" s="1053">
        <v>59</v>
      </c>
      <c r="C76" s="997"/>
      <c r="D76" s="1122"/>
      <c r="E76" s="997"/>
      <c r="F76" s="997" t="s">
        <v>2078</v>
      </c>
      <c r="G76" s="997"/>
      <c r="H76" s="1045"/>
      <c r="I76" s="1160">
        <f>INDEX(TEMPLATE_NUMBER_POINT_FHD,B76,MATCH(TEMPLATE_SPHERE,TEMPLATE_SPHERE_LIST_FOR_NOTE,0))</f>
        <v>0</v>
      </c>
      <c r="J76" s="1160">
        <f>INDEX(TEMPLATE_DATA_POINT_FHD,B76,MATCH(TEMPLATE_SPHERE,TEMPLATE_SPHERE_LIST_FOR_NOTE,0))</f>
        <v>0</v>
      </c>
      <c r="K76" s="1160">
        <f>INDEX(TEMPLATE_NOTE_POINT_FHD,B76,MATCH(TEMPLATE_SPHERE,TEMPLATE_SPHERE_LIST_FOR_NOTE,0))</f>
        <v>0</v>
      </c>
      <c r="L76" s="998" t="str">
        <f>IF(I76=0,"",I76)</f>
        <v/>
      </c>
      <c r="M76" s="998" t="str">
        <f>IF(J76=0,"",J76)</f>
        <v/>
      </c>
      <c r="N76" s="998" t="str">
        <f>IF(K76=0,"",K76)</f>
        <v/>
      </c>
      <c r="O76" s="1112"/>
      <c r="P76" s="1112"/>
      <c r="Q76" s="1112"/>
      <c r="R76" s="1112" t="s">
        <v>109</v>
      </c>
      <c r="S76" s="1112"/>
      <c r="T76" s="997"/>
      <c r="U76" s="997"/>
      <c r="V76" s="997"/>
      <c r="W76" s="997" t="s">
        <v>2099</v>
      </c>
      <c r="X76" s="997"/>
      <c r="Y76" s="1155"/>
      <c r="Z76" s="1000"/>
      <c r="AA76" s="1003"/>
      <c r="AB76" s="1000"/>
      <c r="AC76" s="1000"/>
      <c r="AD76" s="1000"/>
    </row>
    <row customHeight="1" ht="18">
      <c r="A77" s="999"/>
      <c r="B77" s="1053">
        <v>60</v>
      </c>
      <c r="C77" s="997"/>
      <c r="D77" s="1122"/>
      <c r="E77" s="997"/>
      <c r="F77" s="997" t="s">
        <v>2080</v>
      </c>
      <c r="G77" s="997"/>
      <c r="H77" s="1045"/>
      <c r="I77" s="1160">
        <f>INDEX(TEMPLATE_NUMBER_POINT_FHD,B77,MATCH(TEMPLATE_SPHERE,TEMPLATE_SPHERE_LIST_FOR_NOTE,0))</f>
        <v>0</v>
      </c>
      <c r="J77" s="1160">
        <f>INDEX(TEMPLATE_DATA_POINT_FHD,B77,MATCH(TEMPLATE_SPHERE,TEMPLATE_SPHERE_LIST_FOR_NOTE,0))</f>
        <v>0</v>
      </c>
      <c r="K77" s="1160">
        <f>INDEX(TEMPLATE_NOTE_POINT_FHD,B77,MATCH(TEMPLATE_SPHERE,TEMPLATE_SPHERE_LIST_FOR_NOTE,0))</f>
        <v>0</v>
      </c>
      <c r="L77" s="998" t="str">
        <f>IF(I77=0,"",I77)</f>
        <v/>
      </c>
      <c r="M77" s="998" t="str">
        <f>IF(J77=0,"",J77)</f>
        <v/>
      </c>
      <c r="N77" s="998" t="str">
        <f>IF(K77=0,"",K77)</f>
        <v/>
      </c>
      <c r="O77" s="1112"/>
      <c r="P77" s="1112"/>
      <c r="Q77" s="1112"/>
      <c r="R77" s="1112" t="s">
        <v>145</v>
      </c>
      <c r="S77" s="1112"/>
      <c r="T77" s="997"/>
      <c r="U77" s="997"/>
      <c r="V77" s="997"/>
      <c r="W77" s="997" t="s">
        <v>2100</v>
      </c>
      <c r="X77" s="997"/>
      <c r="Y77" s="1155"/>
      <c r="Z77" s="1000"/>
      <c r="AA77" s="1003"/>
      <c r="AB77" s="1000"/>
      <c r="AC77" s="1000"/>
      <c r="AD77" s="1000"/>
    </row>
    <row customHeight="1" ht="72">
      <c r="A78" s="999"/>
      <c r="B78" s="1053">
        <v>61</v>
      </c>
      <c r="C78" s="997" t="s">
        <v>2076</v>
      </c>
      <c r="D78" s="1122"/>
      <c r="E78" s="997"/>
      <c r="F78" s="997"/>
      <c r="G78" s="997"/>
      <c r="H78" s="1045"/>
      <c r="I78" s="1160">
        <f>INDEX(TEMPLATE_NUMBER_POINT_FHD,B78,MATCH(TEMPLATE_SPHERE,TEMPLATE_SPHERE_LIST_FOR_NOTE,0))</f>
        <v>0</v>
      </c>
      <c r="J78" s="1160">
        <f>INDEX(TEMPLATE_DATA_POINT_FHD,B78,MATCH(TEMPLATE_SPHERE,TEMPLATE_SPHERE_LIST_FOR_NOTE,0))</f>
        <v>0</v>
      </c>
      <c r="K78" s="1160">
        <f>INDEX(TEMPLATE_NOTE_POINT_FHD,B78,MATCH(TEMPLATE_SPHERE,TEMPLATE_SPHERE_LIST_FOR_NOTE,0))</f>
        <v>0</v>
      </c>
      <c r="L78" s="998" t="str">
        <f>IF(I78=0,"",I78)</f>
        <v/>
      </c>
      <c r="M78" s="998" t="str">
        <f>IF(J78=0,"",J78)</f>
        <v/>
      </c>
      <c r="N78" s="998" t="str">
        <f>IF(K78=0,"",K78)</f>
        <v/>
      </c>
      <c r="O78" s="1112" t="s">
        <v>90</v>
      </c>
      <c r="P78" s="1112"/>
      <c r="Q78" s="1112"/>
      <c r="R78" s="1112"/>
      <c r="S78" s="1112"/>
      <c r="T78" s="997" t="s">
        <v>2101</v>
      </c>
      <c r="U78" s="997"/>
      <c r="V78" s="997"/>
      <c r="W78" s="997"/>
      <c r="X78" s="997"/>
      <c r="Y78" s="1155"/>
      <c r="Z78" s="1000" t="s">
        <v>2102</v>
      </c>
      <c r="AA78" s="1003"/>
      <c r="AB78" s="1000"/>
      <c r="AC78" s="1000"/>
      <c r="AD78" s="1000"/>
    </row>
    <row customHeight="1" ht="36">
      <c r="A79" s="999"/>
      <c r="B79" s="1053">
        <v>62</v>
      </c>
      <c r="C79" s="997" t="s">
        <v>2078</v>
      </c>
      <c r="D79" s="1122"/>
      <c r="E79" s="997"/>
      <c r="F79" s="997"/>
      <c r="G79" s="997"/>
      <c r="H79" s="1045"/>
      <c r="I79" s="1160">
        <f>INDEX(TEMPLATE_NUMBER_POINT_FHD,B79,MATCH(TEMPLATE_SPHERE,TEMPLATE_SPHERE_LIST_FOR_NOTE,0))</f>
        <v>0</v>
      </c>
      <c r="J79" s="1160">
        <f>INDEX(TEMPLATE_DATA_POINT_FHD,B79,MATCH(TEMPLATE_SPHERE,TEMPLATE_SPHERE_LIST_FOR_NOTE,0))</f>
        <v>0</v>
      </c>
      <c r="K79" s="1160">
        <f>INDEX(TEMPLATE_NOTE_POINT_FHD,B79,MATCH(TEMPLATE_SPHERE,TEMPLATE_SPHERE_LIST_FOR_NOTE,0))</f>
        <v>0</v>
      </c>
      <c r="L79" s="998" t="str">
        <f>IF(I79=0,"",I79)</f>
        <v/>
      </c>
      <c r="M79" s="998" t="str">
        <f>IF(J79=0,"",J79)</f>
        <v/>
      </c>
      <c r="N79" s="998" t="str">
        <f>IF(K79=0,"",K79)</f>
        <v/>
      </c>
      <c r="O79" s="1112" t="s">
        <v>109</v>
      </c>
      <c r="P79" s="1112"/>
      <c r="Q79" s="1112"/>
      <c r="R79" s="1112"/>
      <c r="S79" s="1112"/>
      <c r="T79" s="997" t="s">
        <v>2103</v>
      </c>
      <c r="U79" s="997"/>
      <c r="V79" s="997"/>
      <c r="W79" s="997"/>
      <c r="X79" s="997"/>
      <c r="Y79" s="1155"/>
      <c r="Z79" s="1000" t="s">
        <v>2104</v>
      </c>
      <c r="AA79" s="1003"/>
      <c r="AB79" s="1000"/>
      <c r="AC79" s="1000"/>
      <c r="AD79" s="1000"/>
    </row>
    <row customHeight="1" ht="45">
      <c r="A80" s="999"/>
      <c r="B80" s="1053">
        <v>63</v>
      </c>
      <c r="C80" s="997" t="s">
        <v>2080</v>
      </c>
      <c r="D80" s="1122"/>
      <c r="E80" s="997"/>
      <c r="F80" s="997"/>
      <c r="G80" s="997"/>
      <c r="H80" s="1045"/>
      <c r="I80" s="1160">
        <f>INDEX(TEMPLATE_NUMBER_POINT_FHD,B80,MATCH(TEMPLATE_SPHERE,TEMPLATE_SPHERE_LIST_FOR_NOTE,0))</f>
        <v>0</v>
      </c>
      <c r="J80" s="1160">
        <f>INDEX(TEMPLATE_DATA_POINT_FHD,B80,MATCH(TEMPLATE_SPHERE,TEMPLATE_SPHERE_LIST_FOR_NOTE,0))</f>
        <v>0</v>
      </c>
      <c r="K80" s="1160">
        <f>INDEX(TEMPLATE_NOTE_POINT_FHD,B80,MATCH(TEMPLATE_SPHERE,TEMPLATE_SPHERE_LIST_FOR_NOTE,0))</f>
        <v>0</v>
      </c>
      <c r="L80" s="998" t="str">
        <f>IF(I80=0,"",I80)</f>
        <v/>
      </c>
      <c r="M80" s="998" t="str">
        <f>IF(J80=0,"",J80)</f>
        <v/>
      </c>
      <c r="N80" s="998" t="str">
        <f>IF(K80=0,"",K80)</f>
        <v/>
      </c>
      <c r="O80" s="1112" t="s">
        <v>145</v>
      </c>
      <c r="P80" s="1112"/>
      <c r="Q80" s="1112"/>
      <c r="R80" s="1112"/>
      <c r="S80" s="1112"/>
      <c r="T80" s="997" t="s">
        <v>2105</v>
      </c>
      <c r="U80" s="997"/>
      <c r="V80" s="997"/>
      <c r="W80" s="997"/>
      <c r="X80" s="997"/>
      <c r="Y80" s="1155"/>
      <c r="Z80" s="1000" t="s">
        <v>2106</v>
      </c>
      <c r="AA80" s="1003"/>
      <c r="AB80" s="1000"/>
      <c r="AC80" s="1000"/>
      <c r="AD80" s="1000"/>
    </row>
    <row customHeight="1" ht="36">
      <c r="A81" s="999"/>
      <c r="B81" s="1053">
        <v>64</v>
      </c>
      <c r="C81" s="997" t="s">
        <v>2082</v>
      </c>
      <c r="D81" s="1122"/>
      <c r="E81" s="997"/>
      <c r="F81" s="997"/>
      <c r="G81" s="997"/>
      <c r="H81" s="1045"/>
      <c r="I81" s="1160">
        <f>INDEX(TEMPLATE_NUMBER_POINT_FHD,B81,MATCH(TEMPLATE_SPHERE,TEMPLATE_SPHERE_LIST_FOR_NOTE,0))</f>
        <v>0</v>
      </c>
      <c r="J81" s="1160">
        <f>INDEX(TEMPLATE_DATA_POINT_FHD,B81,MATCH(TEMPLATE_SPHERE,TEMPLATE_SPHERE_LIST_FOR_NOTE,0))</f>
        <v>0</v>
      </c>
      <c r="K81" s="1160">
        <f>INDEX(TEMPLATE_NOTE_POINT_FHD,B81,MATCH(TEMPLATE_SPHERE,TEMPLATE_SPHERE_LIST_FOR_NOTE,0))</f>
        <v>0</v>
      </c>
      <c r="L81" s="998" t="str">
        <f>IF(I81=0,"",I81)</f>
        <v/>
      </c>
      <c r="M81" s="998" t="str">
        <f>IF(J81=0,"",J81)</f>
        <v/>
      </c>
      <c r="N81" s="998" t="str">
        <f>IF(K81=0,"",K81)</f>
        <v/>
      </c>
      <c r="O81" s="1112" t="s">
        <v>1985</v>
      </c>
      <c r="P81" s="1112"/>
      <c r="Q81" s="1112"/>
      <c r="R81" s="1112"/>
      <c r="S81" s="1112"/>
      <c r="T81" s="997" t="s">
        <v>2107</v>
      </c>
      <c r="U81" s="997"/>
      <c r="V81" s="997"/>
      <c r="W81" s="997"/>
      <c r="X81" s="997"/>
      <c r="Y81" s="1155"/>
      <c r="Z81" s="1000" t="s">
        <v>2108</v>
      </c>
      <c r="AA81" s="1003"/>
      <c r="AB81" s="1000"/>
      <c r="AC81" s="1000"/>
      <c r="AD81" s="1000"/>
    </row>
    <row customHeight="1" ht="90">
      <c r="A82" s="999"/>
      <c r="B82" s="1053">
        <v>65</v>
      </c>
      <c r="C82" s="997" t="s">
        <v>2091</v>
      </c>
      <c r="D82" s="1122"/>
      <c r="E82" s="997"/>
      <c r="F82" s="997"/>
      <c r="G82" s="997"/>
      <c r="H82" s="1045"/>
      <c r="I82" s="1160">
        <f>INDEX(TEMPLATE_NUMBER_POINT_FHD,B82,MATCH(TEMPLATE_SPHERE,TEMPLATE_SPHERE_LIST_FOR_NOTE,0))</f>
        <v>0</v>
      </c>
      <c r="J82" s="1160">
        <f>INDEX(TEMPLATE_DATA_POINT_FHD,B82,MATCH(TEMPLATE_SPHERE,TEMPLATE_SPHERE_LIST_FOR_NOTE,0))</f>
        <v>0</v>
      </c>
      <c r="K82" s="1160">
        <f>INDEX(TEMPLATE_NOTE_POINT_FHD,B82,MATCH(TEMPLATE_SPHERE,TEMPLATE_SPHERE_LIST_FOR_NOTE,0))</f>
        <v>0</v>
      </c>
      <c r="L82" s="998" t="str">
        <f>IF(I82=0,"",I82)</f>
        <v/>
      </c>
      <c r="M82" s="998" t="str">
        <f>IF(J82=0,"",J82)</f>
        <v/>
      </c>
      <c r="N82" s="998" t="str">
        <f>IF(K82=0,"",K82)</f>
        <v/>
      </c>
      <c r="O82" s="1112" t="s">
        <v>146</v>
      </c>
      <c r="P82" s="1112"/>
      <c r="Q82" s="1112"/>
      <c r="R82" s="1112"/>
      <c r="S82" s="1112"/>
      <c r="T82" s="997" t="s">
        <v>2109</v>
      </c>
      <c r="U82" s="997"/>
      <c r="V82" s="997"/>
      <c r="W82" s="997"/>
      <c r="X82" s="997"/>
      <c r="Y82" s="1155"/>
      <c r="Z82" s="1000" t="s">
        <v>2110</v>
      </c>
      <c r="AA82" s="1003"/>
      <c r="AB82" s="1000"/>
      <c r="AC82" s="1000"/>
      <c r="AD82" s="1000"/>
    </row>
    <row customHeight="1" ht="9">
      <c r="A83" s="999"/>
      <c r="B83" s="1053">
        <v>66</v>
      </c>
      <c r="C83" s="997"/>
      <c r="D83" s="1122"/>
      <c r="E83" s="997"/>
      <c r="F83" s="997"/>
      <c r="G83" s="997"/>
      <c r="H83" s="1045"/>
      <c r="I83" s="1160">
        <f>INDEX(TEMPLATE_NUMBER_POINT_FHD,B83,MATCH(TEMPLATE_SPHERE,TEMPLATE_SPHERE_LIST_FOR_NOTE,0))</f>
        <v>0</v>
      </c>
      <c r="J83" s="1160">
        <f>INDEX(TEMPLATE_DATA_POINT_FHD,B83,MATCH(TEMPLATE_SPHERE,TEMPLATE_SPHERE_LIST_FOR_NOTE,0))</f>
        <v>0</v>
      </c>
      <c r="K83" s="1160">
        <f>INDEX(TEMPLATE_NOTE_POINT_FHD,B83,MATCH(TEMPLATE_SPHERE,TEMPLATE_SPHERE_LIST_FOR_NOTE,0))</f>
        <v>0</v>
      </c>
      <c r="L83" s="998" t="str">
        <f>IF(I83=0,"",I83)</f>
        <v/>
      </c>
      <c r="M83" s="998" t="str">
        <f>IF(J83=0,"",J83)</f>
        <v/>
      </c>
      <c r="N83" s="998" t="str">
        <f>IF(K83=0,"",K83)</f>
        <v/>
      </c>
      <c r="O83" s="1112" t="s">
        <v>1994</v>
      </c>
      <c r="P83" s="1112"/>
      <c r="Q83" s="1112"/>
      <c r="R83" s="1112"/>
      <c r="S83" s="1112"/>
      <c r="T83" s="997" t="s">
        <v>2111</v>
      </c>
      <c r="U83" s="997"/>
      <c r="V83" s="997"/>
      <c r="W83" s="997"/>
      <c r="X83" s="997"/>
      <c r="Y83" s="1155"/>
      <c r="Z83" s="1000"/>
      <c r="AA83" s="1003"/>
      <c r="AB83" s="1000"/>
      <c r="AC83" s="1000"/>
      <c r="AD83" s="1000"/>
    </row>
    <row customHeight="1" ht="54">
      <c r="A84" s="999"/>
      <c r="B84" s="1053">
        <v>67</v>
      </c>
      <c r="C84" s="997"/>
      <c r="D84" s="1122"/>
      <c r="E84" s="997"/>
      <c r="F84" s="997"/>
      <c r="G84" s="997"/>
      <c r="H84" s="1045"/>
      <c r="I84" s="1160">
        <f>INDEX(TEMPLATE_NUMBER_POINT_FHD,B84,MATCH(TEMPLATE_SPHERE,TEMPLATE_SPHERE_LIST_FOR_NOTE,0))</f>
        <v>0</v>
      </c>
      <c r="J84" s="1160">
        <f>INDEX(TEMPLATE_DATA_POINT_FHD,B84,MATCH(TEMPLATE_SPHERE,TEMPLATE_SPHERE_LIST_FOR_NOTE,0))</f>
        <v>0</v>
      </c>
      <c r="K84" s="1160">
        <f>INDEX(TEMPLATE_NOTE_POINT_FHD,B84,MATCH(TEMPLATE_SPHERE,TEMPLATE_SPHERE_LIST_FOR_NOTE,0))</f>
        <v>0</v>
      </c>
      <c r="L84" s="998" t="str">
        <f>IF(I84=0,"",I84)</f>
        <v/>
      </c>
      <c r="M84" s="998" t="str">
        <f>IF(J84=0,"",J84)</f>
        <v/>
      </c>
      <c r="N84" s="998" t="str">
        <f>IF(K84=0,"",K84)</f>
        <v/>
      </c>
      <c r="O84" s="1112" t="s">
        <v>2112</v>
      </c>
      <c r="P84" s="1112"/>
      <c r="Q84" s="1112"/>
      <c r="R84" s="1112"/>
      <c r="S84" s="1112"/>
      <c r="T84" s="997" t="s">
        <v>2113</v>
      </c>
      <c r="U84" s="997"/>
      <c r="V84" s="997"/>
      <c r="W84" s="997"/>
      <c r="X84" s="997"/>
      <c r="Y84" s="1155"/>
      <c r="Z84" s="1000"/>
      <c r="AA84" s="1003"/>
      <c r="AB84" s="1000"/>
      <c r="AC84" s="1000"/>
      <c r="AD84" s="1000"/>
    </row>
    <row customHeight="1" ht="9">
      <c r="A85" s="999"/>
      <c r="B85" s="1053">
        <v>68</v>
      </c>
      <c r="C85" s="997"/>
      <c r="D85" s="1122"/>
      <c r="E85" s="997"/>
      <c r="F85" s="997"/>
      <c r="G85" s="997"/>
      <c r="H85" s="1045"/>
      <c r="I85" s="1160">
        <f>INDEX(TEMPLATE_NUMBER_POINT_FHD,B85,MATCH(TEMPLATE_SPHERE,TEMPLATE_SPHERE_LIST_FOR_NOTE,0))</f>
        <v>0</v>
      </c>
      <c r="J85" s="1160">
        <f>INDEX(TEMPLATE_DATA_POINT_FHD,B85,MATCH(TEMPLATE_SPHERE,TEMPLATE_SPHERE_LIST_FOR_NOTE,0))</f>
        <v>0</v>
      </c>
      <c r="K85" s="1160">
        <f>INDEX(TEMPLATE_NOTE_POINT_FHD,B85,MATCH(TEMPLATE_SPHERE,TEMPLATE_SPHERE_LIST_FOR_NOTE,0))</f>
        <v>0</v>
      </c>
      <c r="L85" s="998" t="str">
        <f>IF(I85=0,"",I85)</f>
        <v/>
      </c>
      <c r="M85" s="998" t="str">
        <f>IF(J85=0,"",J85)</f>
        <v/>
      </c>
      <c r="N85" s="998" t="str">
        <f>IF(K85=0,"",K85)</f>
        <v/>
      </c>
      <c r="O85" s="1112" t="s">
        <v>1998</v>
      </c>
      <c r="P85" s="1112"/>
      <c r="Q85" s="1112"/>
      <c r="R85" s="1112"/>
      <c r="S85" s="1112"/>
      <c r="T85" s="997" t="s">
        <v>2114</v>
      </c>
      <c r="U85" s="997"/>
      <c r="V85" s="997"/>
      <c r="W85" s="997"/>
      <c r="X85" s="997"/>
      <c r="Y85" s="1155"/>
      <c r="Z85" s="1000"/>
      <c r="AA85" s="1003"/>
      <c r="AB85" s="1000"/>
      <c r="AC85" s="1000"/>
      <c r="AD85" s="1000"/>
    </row>
    <row customHeight="1" ht="27">
      <c r="A86" s="999"/>
      <c r="B86" s="1053">
        <v>69</v>
      </c>
      <c r="C86" s="997"/>
      <c r="D86" s="1122"/>
      <c r="E86" s="997"/>
      <c r="F86" s="997"/>
      <c r="G86" s="997"/>
      <c r="H86" s="1045"/>
      <c r="I86" s="1160">
        <f>INDEX(TEMPLATE_NUMBER_POINT_FHD,B86,MATCH(TEMPLATE_SPHERE,TEMPLATE_SPHERE_LIST_FOR_NOTE,0))</f>
        <v>0</v>
      </c>
      <c r="J86" s="1160">
        <f>INDEX(TEMPLATE_DATA_POINT_FHD,B86,MATCH(TEMPLATE_SPHERE,TEMPLATE_SPHERE_LIST_FOR_NOTE,0))</f>
        <v>0</v>
      </c>
      <c r="K86" s="1160">
        <f>INDEX(TEMPLATE_NOTE_POINT_FHD,B86,MATCH(TEMPLATE_SPHERE,TEMPLATE_SPHERE_LIST_FOR_NOTE,0))</f>
        <v>0</v>
      </c>
      <c r="L86" s="998" t="str">
        <f>IF(I86=0,"",I86)</f>
        <v/>
      </c>
      <c r="M86" s="998" t="str">
        <f>IF(J86=0,"",J86)</f>
        <v/>
      </c>
      <c r="N86" s="998" t="str">
        <f>IF(K86=0,"",K86)</f>
        <v/>
      </c>
      <c r="O86" s="1112" t="s">
        <v>2115</v>
      </c>
      <c r="P86" s="1112"/>
      <c r="Q86" s="1112"/>
      <c r="R86" s="1112"/>
      <c r="S86" s="1112"/>
      <c r="T86" s="997" t="s">
        <v>2116</v>
      </c>
      <c r="U86" s="997"/>
      <c r="V86" s="997"/>
      <c r="W86" s="997"/>
      <c r="X86" s="997"/>
      <c r="Y86" s="1155"/>
      <c r="Z86" s="1000"/>
      <c r="AA86" s="1003"/>
      <c r="AB86" s="1000"/>
      <c r="AC86" s="1000"/>
      <c r="AD86" s="1000"/>
    </row>
    <row customHeight="1" ht="36">
      <c r="A87" s="999"/>
      <c r="B87" s="1053">
        <v>70</v>
      </c>
      <c r="C87" s="997" t="s">
        <v>2117</v>
      </c>
      <c r="D87" s="1122"/>
      <c r="E87" s="997"/>
      <c r="F87" s="997"/>
      <c r="G87" s="997"/>
      <c r="H87" s="1045"/>
      <c r="I87" s="1160">
        <f>INDEX(TEMPLATE_NUMBER_POINT_FHD,B87,MATCH(TEMPLATE_SPHERE,TEMPLATE_SPHERE_LIST_FOR_NOTE,0))</f>
        <v>0</v>
      </c>
      <c r="J87" s="1160">
        <f>INDEX(TEMPLATE_DATA_POINT_FHD,B87,MATCH(TEMPLATE_SPHERE,TEMPLATE_SPHERE_LIST_FOR_NOTE,0))</f>
        <v>0</v>
      </c>
      <c r="K87" s="1160">
        <f>INDEX(TEMPLATE_NOTE_POINT_FHD,B87,MATCH(TEMPLATE_SPHERE,TEMPLATE_SPHERE_LIST_FOR_NOTE,0))</f>
        <v>0</v>
      </c>
      <c r="L87" s="998" t="str">
        <f>IF(I87=0,"",I87)</f>
        <v/>
      </c>
      <c r="M87" s="998" t="str">
        <f>IF(J87=0,"",J87)</f>
        <v/>
      </c>
      <c r="N87" s="998" t="str">
        <f>IF(K87=0,"",K87)</f>
        <v/>
      </c>
      <c r="O87" s="1112" t="s">
        <v>147</v>
      </c>
      <c r="P87" s="1112"/>
      <c r="Q87" s="1112"/>
      <c r="R87" s="1112"/>
      <c r="S87" s="1112"/>
      <c r="T87" s="997" t="s">
        <v>2118</v>
      </c>
      <c r="U87" s="997"/>
      <c r="V87" s="997"/>
      <c r="W87" s="997"/>
      <c r="X87" s="997"/>
      <c r="Y87" s="1155"/>
      <c r="Z87" s="1000"/>
      <c r="AA87" s="1003"/>
      <c r="AB87" s="1000"/>
      <c r="AC87" s="1000"/>
      <c r="AD87" s="1000"/>
    </row>
    <row customHeight="1" ht="18">
      <c r="A88" s="999"/>
      <c r="B88" s="1053">
        <v>71</v>
      </c>
      <c r="C88" s="997" t="s">
        <v>2119</v>
      </c>
      <c r="D88" s="1122"/>
      <c r="E88" s="997"/>
      <c r="F88" s="997"/>
      <c r="G88" s="997"/>
      <c r="H88" s="1045"/>
      <c r="I88" s="1160">
        <f>INDEX(TEMPLATE_NUMBER_POINT_FHD,B88,MATCH(TEMPLATE_SPHERE,TEMPLATE_SPHERE_LIST_FOR_NOTE,0))</f>
        <v>0</v>
      </c>
      <c r="J88" s="1160">
        <f>INDEX(TEMPLATE_DATA_POINT_FHD,B88,MATCH(TEMPLATE_SPHERE,TEMPLATE_SPHERE_LIST_FOR_NOTE,0))</f>
        <v>0</v>
      </c>
      <c r="K88" s="1160">
        <f>INDEX(TEMPLATE_NOTE_POINT_FHD,B88,MATCH(TEMPLATE_SPHERE,TEMPLATE_SPHERE_LIST_FOR_NOTE,0))</f>
        <v>0</v>
      </c>
      <c r="L88" s="998" t="str">
        <f>IF(I88=0,"",I88)</f>
        <v/>
      </c>
      <c r="M88" s="998" t="str">
        <f>IF(J88=0,"",J88)</f>
        <v/>
      </c>
      <c r="N88" s="998" t="str">
        <f>IF(K88=0,"",K88)</f>
        <v/>
      </c>
      <c r="O88" s="1112" t="s">
        <v>148</v>
      </c>
      <c r="P88" s="1112"/>
      <c r="Q88" s="1112"/>
      <c r="R88" s="1112"/>
      <c r="S88" s="1112"/>
      <c r="T88" s="997" t="s">
        <v>2120</v>
      </c>
      <c r="U88" s="997"/>
      <c r="V88" s="997"/>
      <c r="W88" s="997"/>
      <c r="X88" s="997"/>
      <c r="Y88" s="1155"/>
      <c r="Z88" s="1000"/>
      <c r="AA88" s="1003"/>
      <c r="AB88" s="1000"/>
      <c r="AC88" s="1000"/>
      <c r="AD88" s="1000"/>
    </row>
    <row customHeight="1" ht="18">
      <c r="A89" s="999"/>
      <c r="B89" s="1053">
        <v>72</v>
      </c>
      <c r="C89" s="997" t="s">
        <v>2121</v>
      </c>
      <c r="D89" s="1122" t="s">
        <v>2117</v>
      </c>
      <c r="E89" s="997" t="s">
        <v>2117</v>
      </c>
      <c r="F89" s="997" t="s">
        <v>2082</v>
      </c>
      <c r="G89" s="997"/>
      <c r="H89" s="1045"/>
      <c r="I89" s="1160" t="str">
        <f>INDEX(TEMPLATE_NUMBER_POINT_FHD,B89,MATCH(TEMPLATE_SPHERE,TEMPLATE_SPHERE_LIST_FOR_NOTE,0))</f>
        <v>12</v>
      </c>
      <c r="J89" s="1160" t="str">
        <f>INDEX(TEMPLATE_DATA_POINT_FHD,B89,MATCH(TEMPLATE_SPHERE,TEMPLATE_SPHERE_LIST_FOR_NOTE,0))</f>
        <v>Среднесписочная численность основного производственного персонала</v>
      </c>
      <c r="K89" s="1160">
        <f>INDEX(TEMPLATE_NOTE_POINT_FHD,B89,MATCH(TEMPLATE_SPHERE,TEMPLATE_SPHERE_LIST_FOR_NOTE,0))</f>
        <v>0</v>
      </c>
      <c r="L89" s="998" t="str">
        <f>IF(I89=0,"",I89)</f>
        <v>12</v>
      </c>
      <c r="M89" s="998" t="str">
        <f>IF(J89=0,"",J89)</f>
        <v>Среднесписочная численность основного производственного персонала</v>
      </c>
      <c r="N89" s="998" t="str">
        <f>IF(K89=0,"",K89)</f>
        <v/>
      </c>
      <c r="O89" s="1112" t="s">
        <v>149</v>
      </c>
      <c r="P89" s="1112" t="s">
        <v>148</v>
      </c>
      <c r="Q89" s="1112" t="s">
        <v>148</v>
      </c>
      <c r="R89" s="1112" t="s">
        <v>146</v>
      </c>
      <c r="S89" s="1112"/>
      <c r="T89" s="997" t="s">
        <v>2122</v>
      </c>
      <c r="U89" s="997" t="s">
        <v>2122</v>
      </c>
      <c r="V89" s="997" t="s">
        <v>2122</v>
      </c>
      <c r="W89" s="997" t="s">
        <v>2122</v>
      </c>
      <c r="X89" s="997"/>
      <c r="Y89" s="1155"/>
      <c r="Z89" s="1000"/>
      <c r="AA89" s="1003"/>
      <c r="AB89" s="1000"/>
      <c r="AC89" s="1000"/>
      <c r="AD89" s="1000"/>
    </row>
    <row customHeight="1" ht="27">
      <c r="A90" s="999"/>
      <c r="B90" s="1053">
        <v>73</v>
      </c>
      <c r="C90" s="997" t="s">
        <v>2123</v>
      </c>
      <c r="D90" s="1122"/>
      <c r="E90" s="997"/>
      <c r="F90" s="997"/>
      <c r="G90" s="997"/>
      <c r="H90" s="1045"/>
      <c r="I90" s="1160">
        <f>INDEX(TEMPLATE_NUMBER_POINT_FHD,B90,MATCH(TEMPLATE_SPHERE,TEMPLATE_SPHERE_LIST_FOR_NOTE,0))</f>
        <v>0</v>
      </c>
      <c r="J90" s="1160">
        <f>INDEX(TEMPLATE_DATA_POINT_FHD,B90,MATCH(TEMPLATE_SPHERE,TEMPLATE_SPHERE_LIST_FOR_NOTE,0))</f>
        <v>0</v>
      </c>
      <c r="K90" s="1160">
        <f>INDEX(TEMPLATE_NOTE_POINT_FHD,B90,MATCH(TEMPLATE_SPHERE,TEMPLATE_SPHERE_LIST_FOR_NOTE,0))</f>
        <v>0</v>
      </c>
      <c r="L90" s="998" t="str">
        <f>IF(I90=0,"",I90)</f>
        <v/>
      </c>
      <c r="M90" s="998" t="str">
        <f>IF(J90=0,"",J90)</f>
        <v/>
      </c>
      <c r="N90" s="998" t="str">
        <f>IF(K90=0,"",K90)</f>
        <v/>
      </c>
      <c r="O90" s="1112" t="s">
        <v>150</v>
      </c>
      <c r="P90" s="1112"/>
      <c r="Q90" s="1112"/>
      <c r="R90" s="1112"/>
      <c r="S90" s="1112"/>
      <c r="T90" s="997" t="s">
        <v>2124</v>
      </c>
      <c r="U90" s="997"/>
      <c r="V90" s="997"/>
      <c r="W90" s="997"/>
      <c r="X90" s="997"/>
      <c r="Y90" s="1155"/>
      <c r="Z90" s="1000"/>
      <c r="AA90" s="1003"/>
      <c r="AB90" s="1000"/>
      <c r="AC90" s="1000"/>
      <c r="AD90" s="1000"/>
    </row>
    <row customHeight="1" ht="18">
      <c r="A91" s="999"/>
      <c r="B91" s="1053">
        <v>74</v>
      </c>
      <c r="C91" s="997"/>
      <c r="D91" s="1122" t="s">
        <v>2119</v>
      </c>
      <c r="E91" s="997" t="s">
        <v>2119</v>
      </c>
      <c r="F91" s="997"/>
      <c r="G91" s="997"/>
      <c r="H91" s="1045"/>
      <c r="I91" s="1160" t="str">
        <f>INDEX(TEMPLATE_NUMBER_POINT_FHD,B91,MATCH(TEMPLATE_SPHERE,TEMPLATE_SPHERE_LIST_FOR_NOTE,0))</f>
        <v>13</v>
      </c>
      <c r="J91" s="1160" t="str">
        <f>INDEX(TEMPLATE_DATA_POINT_FHD,B91,MATCH(TEMPLATE_SPHERE,TEMPLATE_SPHERE_LIST_FOR_NOTE,0))</f>
        <v>Удельный расход электрической энергии на подачу воды в сеть</v>
      </c>
      <c r="K91" s="1160">
        <f>INDEX(TEMPLATE_NOTE_POINT_FHD,B91,MATCH(TEMPLATE_SPHERE,TEMPLATE_SPHERE_LIST_FOR_NOTE,0))</f>
        <v>0</v>
      </c>
      <c r="L91" s="998" t="str">
        <f>IF(I91=0,"",I91)</f>
        <v>13</v>
      </c>
      <c r="M91" s="998" t="str">
        <f>IF(J91=0,"",J91)</f>
        <v>Удельный расход электрической энергии на подачу воды в сеть</v>
      </c>
      <c r="N91" s="998" t="str">
        <f>IF(K91=0,"",K91)</f>
        <v/>
      </c>
      <c r="O91" s="1112"/>
      <c r="P91" s="1112" t="s">
        <v>149</v>
      </c>
      <c r="Q91" s="1112" t="s">
        <v>149</v>
      </c>
      <c r="R91" s="1112"/>
      <c r="S91" s="1112"/>
      <c r="T91" s="997"/>
      <c r="U91" s="997" t="s">
        <v>2125</v>
      </c>
      <c r="V91" s="997" t="s">
        <v>2125</v>
      </c>
      <c r="W91" s="997"/>
      <c r="X91" s="997"/>
      <c r="Y91" s="1155"/>
      <c r="Z91" s="1000"/>
      <c r="AA91" s="1003"/>
      <c r="AB91" s="1000"/>
      <c r="AC91" s="1000"/>
      <c r="AD91" s="1000"/>
    </row>
    <row customHeight="1" ht="27">
      <c r="A92" s="999"/>
      <c r="B92" s="1053">
        <v>75</v>
      </c>
      <c r="C92" s="997"/>
      <c r="D92" s="1122" t="s">
        <v>2121</v>
      </c>
      <c r="E92" s="997"/>
      <c r="F92" s="997"/>
      <c r="G92" s="997"/>
      <c r="H92" s="1045"/>
      <c r="I92" s="1160">
        <f>INDEX(TEMPLATE_NUMBER_POINT_FHD,B92,MATCH(TEMPLATE_SPHERE,TEMPLATE_SPHERE_LIST_FOR_NOTE,0))</f>
        <v>0</v>
      </c>
      <c r="J92" s="1160">
        <f>INDEX(TEMPLATE_DATA_POINT_FHD,B92,MATCH(TEMPLATE_SPHERE,TEMPLATE_SPHERE_LIST_FOR_NOTE,0))</f>
        <v>0</v>
      </c>
      <c r="K92" s="1160">
        <f>INDEX(TEMPLATE_NOTE_POINT_FHD,B92,MATCH(TEMPLATE_SPHERE,TEMPLATE_SPHERE_LIST_FOR_NOTE,0))</f>
        <v>0</v>
      </c>
      <c r="L92" s="998" t="str">
        <f>IF(I92=0,"",I92)</f>
        <v/>
      </c>
      <c r="M92" s="998" t="str">
        <f>IF(J92=0,"",J92)</f>
        <v/>
      </c>
      <c r="N92" s="998" t="str">
        <f>IF(K92=0,"",K92)</f>
        <v/>
      </c>
      <c r="O92" s="1112"/>
      <c r="P92" s="1112" t="s">
        <v>150</v>
      </c>
      <c r="Q92" s="1112"/>
      <c r="R92" s="1112"/>
      <c r="S92" s="1112"/>
      <c r="T92" s="997"/>
      <c r="U92" s="997" t="s">
        <v>2126</v>
      </c>
      <c r="V92" s="997"/>
      <c r="W92" s="997"/>
      <c r="X92" s="997"/>
      <c r="Y92" s="1155"/>
      <c r="Z92" s="1000"/>
      <c r="AA92" s="1003" t="s">
        <v>2127</v>
      </c>
      <c r="AB92" s="1000"/>
      <c r="AC92" s="1000"/>
      <c r="AD92" s="1000"/>
    </row>
    <row customHeight="1" ht="27">
      <c r="A93" s="999"/>
      <c r="B93" s="1053">
        <v>76</v>
      </c>
      <c r="C93" s="997"/>
      <c r="D93" s="1122"/>
      <c r="E93" s="997"/>
      <c r="F93" s="997"/>
      <c r="G93" s="997"/>
      <c r="H93" s="1045"/>
      <c r="I93" s="1160">
        <f>INDEX(TEMPLATE_NUMBER_POINT_FHD,B93,MATCH(TEMPLATE_SPHERE,TEMPLATE_SPHERE_LIST_FOR_NOTE,0))</f>
        <v>0</v>
      </c>
      <c r="J93" s="1160">
        <f>INDEX(TEMPLATE_DATA_POINT_FHD,B93,MATCH(TEMPLATE_SPHERE,TEMPLATE_SPHERE_LIST_FOR_NOTE,0))</f>
        <v>0</v>
      </c>
      <c r="K93" s="1160">
        <f>INDEX(TEMPLATE_NOTE_POINT_FHD,B93,MATCH(TEMPLATE_SPHERE,TEMPLATE_SPHERE_LIST_FOR_NOTE,0))</f>
        <v>0</v>
      </c>
      <c r="L93" s="998" t="str">
        <f>IF(I93=0,"",I93)</f>
        <v/>
      </c>
      <c r="M93" s="998" t="str">
        <f>IF(J93=0,"",J93)</f>
        <v/>
      </c>
      <c r="N93" s="998" t="str">
        <f>IF(K93=0,"",K93)</f>
        <v/>
      </c>
      <c r="O93" s="1112"/>
      <c r="P93" s="1112" t="s">
        <v>2026</v>
      </c>
      <c r="Q93" s="1112"/>
      <c r="R93" s="1112"/>
      <c r="S93" s="1112"/>
      <c r="T93" s="997"/>
      <c r="U93" s="997" t="s">
        <v>2128</v>
      </c>
      <c r="V93" s="997"/>
      <c r="W93" s="997"/>
      <c r="X93" s="997"/>
      <c r="Y93" s="1155"/>
      <c r="Z93" s="1000"/>
      <c r="AA93" s="1003" t="s">
        <v>2129</v>
      </c>
      <c r="AB93" s="1000"/>
      <c r="AC93" s="1000"/>
      <c r="AD93" s="1000"/>
    </row>
    <row customHeight="1" ht="45">
      <c r="A94" s="999"/>
      <c r="B94" s="1053">
        <v>77</v>
      </c>
      <c r="C94" s="997"/>
      <c r="D94" s="1122" t="s">
        <v>2123</v>
      </c>
      <c r="E94" s="997"/>
      <c r="F94" s="997"/>
      <c r="G94" s="997"/>
      <c r="H94" s="1045"/>
      <c r="I94" s="1160">
        <f>INDEX(TEMPLATE_NUMBER_POINT_FHD,B94,MATCH(TEMPLATE_SPHERE,TEMPLATE_SPHERE_LIST_FOR_NOTE,0))</f>
        <v>0</v>
      </c>
      <c r="J94" s="1160">
        <f>INDEX(TEMPLATE_DATA_POINT_FHD,B94,MATCH(TEMPLATE_SPHERE,TEMPLATE_SPHERE_LIST_FOR_NOTE,0))</f>
        <v>0</v>
      </c>
      <c r="K94" s="1160">
        <f>INDEX(TEMPLATE_NOTE_POINT_FHD,B94,MATCH(TEMPLATE_SPHERE,TEMPLATE_SPHERE_LIST_FOR_NOTE,0))</f>
        <v>0</v>
      </c>
      <c r="L94" s="998" t="str">
        <f>IF(I94=0,"",I94)</f>
        <v/>
      </c>
      <c r="M94" s="998" t="str">
        <f>IF(J94=0,"",J94)</f>
        <v/>
      </c>
      <c r="N94" s="998" t="str">
        <f>IF(K94=0,"",K94)</f>
        <v/>
      </c>
      <c r="O94" s="1112"/>
      <c r="P94" s="1112" t="s">
        <v>1379</v>
      </c>
      <c r="Q94" s="1112"/>
      <c r="R94" s="1112"/>
      <c r="S94" s="1112"/>
      <c r="T94" s="997"/>
      <c r="U94" s="997" t="s">
        <v>2130</v>
      </c>
      <c r="V94" s="997"/>
      <c r="W94" s="997"/>
      <c r="X94" s="997"/>
      <c r="Y94" s="1155"/>
      <c r="Z94" s="1000"/>
      <c r="AA94" s="1003" t="s">
        <v>2131</v>
      </c>
      <c r="AB94" s="1000"/>
      <c r="AC94" s="1000"/>
      <c r="AD94" s="1000"/>
    </row>
    <row customHeight="1" ht="99">
      <c r="A95" s="999"/>
      <c r="B95" s="1053">
        <v>78</v>
      </c>
      <c r="C95" s="997" t="s">
        <v>2132</v>
      </c>
      <c r="D95" s="1122"/>
      <c r="E95" s="997"/>
      <c r="F95" s="997"/>
      <c r="G95" s="997"/>
      <c r="H95" s="1045"/>
      <c r="I95" s="1160">
        <f>INDEX(TEMPLATE_NUMBER_POINT_FHD,B95,MATCH(TEMPLATE_SPHERE,TEMPLATE_SPHERE_LIST_FOR_NOTE,0))</f>
        <v>0</v>
      </c>
      <c r="J95" s="1160">
        <f>INDEX(TEMPLATE_DATA_POINT_FHD,B95,MATCH(TEMPLATE_SPHERE,TEMPLATE_SPHERE_LIST_FOR_NOTE,0))</f>
        <v>0</v>
      </c>
      <c r="K95" s="1160">
        <f>INDEX(TEMPLATE_NOTE_POINT_FHD,B95,MATCH(TEMPLATE_SPHERE,TEMPLATE_SPHERE_LIST_FOR_NOTE,0))</f>
        <v>0</v>
      </c>
      <c r="L95" s="998" t="str">
        <f>IF(I95=0,"",I95)</f>
        <v/>
      </c>
      <c r="M95" s="998" t="str">
        <f>IF(J95=0,"",J95)</f>
        <v/>
      </c>
      <c r="N95" s="998" t="str">
        <f>IF(K95=0,"",K95)</f>
        <v/>
      </c>
      <c r="O95" s="1112" t="s">
        <v>1379</v>
      </c>
      <c r="P95" s="1112"/>
      <c r="Q95" s="1112"/>
      <c r="R95" s="1112"/>
      <c r="S95" s="1112"/>
      <c r="T95" s="997" t="s">
        <v>2133</v>
      </c>
      <c r="U95" s="997"/>
      <c r="V95" s="997"/>
      <c r="W95" s="997"/>
      <c r="X95" s="997"/>
      <c r="Y95" s="1155"/>
      <c r="Z95" s="1000"/>
      <c r="AA95" s="1003"/>
      <c r="AB95" s="1000"/>
      <c r="AC95" s="1000"/>
      <c r="AD95" s="1000"/>
    </row>
    <row customHeight="1" ht="99">
      <c r="A96" s="999"/>
      <c r="B96" s="1053">
        <v>79</v>
      </c>
      <c r="C96" s="997" t="s">
        <v>1066</v>
      </c>
      <c r="D96" s="1122"/>
      <c r="E96" s="997"/>
      <c r="F96" s="997"/>
      <c r="G96" s="997"/>
      <c r="H96" s="1045"/>
      <c r="I96" s="1160">
        <f>INDEX(TEMPLATE_NUMBER_POINT_FHD,B96,MATCH(TEMPLATE_SPHERE,TEMPLATE_SPHERE_LIST_FOR_NOTE,0))</f>
        <v>0</v>
      </c>
      <c r="J96" s="1160">
        <f>INDEX(TEMPLATE_DATA_POINT_FHD,B96,MATCH(TEMPLATE_SPHERE,TEMPLATE_SPHERE_LIST_FOR_NOTE,0))</f>
        <v>0</v>
      </c>
      <c r="K96" s="1160">
        <f>INDEX(TEMPLATE_NOTE_POINT_FHD,B96,MATCH(TEMPLATE_SPHERE,TEMPLATE_SPHERE_LIST_FOR_NOTE,0))</f>
        <v>0</v>
      </c>
      <c r="L96" s="998" t="str">
        <f>IF(I96=0,"",I96)</f>
        <v/>
      </c>
      <c r="M96" s="998" t="str">
        <f>IF(J96=0,"",J96)</f>
        <v/>
      </c>
      <c r="N96" s="998" t="str">
        <f>IF(K96=0,"",K96)</f>
        <v/>
      </c>
      <c r="O96" s="1112" t="s">
        <v>1385</v>
      </c>
      <c r="P96" s="1112"/>
      <c r="Q96" s="1112"/>
      <c r="R96" s="1112"/>
      <c r="S96" s="1112"/>
      <c r="T96" s="997" t="s">
        <v>2134</v>
      </c>
      <c r="U96" s="997"/>
      <c r="V96" s="997"/>
      <c r="W96" s="997"/>
      <c r="X96" s="997"/>
      <c r="Y96" s="1155"/>
      <c r="Z96" s="1000" t="s">
        <v>2135</v>
      </c>
      <c r="AA96" s="1003"/>
      <c r="AB96" s="1000"/>
      <c r="AC96" s="1000"/>
      <c r="AD96" s="1000"/>
    </row>
    <row customHeight="1" ht="63">
      <c r="A97" s="999"/>
      <c r="B97" s="1053">
        <v>80</v>
      </c>
      <c r="C97" s="997" t="s">
        <v>2136</v>
      </c>
      <c r="D97" s="1122"/>
      <c r="E97" s="997"/>
      <c r="F97" s="997"/>
      <c r="G97" s="997"/>
      <c r="H97" s="1045"/>
      <c r="I97" s="1160">
        <f>INDEX(TEMPLATE_NUMBER_POINT_FHD,B97,MATCH(TEMPLATE_SPHERE,TEMPLATE_SPHERE_LIST_FOR_NOTE,0))</f>
        <v>0</v>
      </c>
      <c r="J97" s="1160">
        <f>INDEX(TEMPLATE_DATA_POINT_FHD,B97,MATCH(TEMPLATE_SPHERE,TEMPLATE_SPHERE_LIST_FOR_NOTE,0))</f>
        <v>0</v>
      </c>
      <c r="K97" s="1160">
        <f>INDEX(TEMPLATE_NOTE_POINT_FHD,B97,MATCH(TEMPLATE_SPHERE,TEMPLATE_SPHERE_LIST_FOR_NOTE,0))</f>
        <v>0</v>
      </c>
      <c r="L97" s="998" t="str">
        <f>IF(I97=0,"",I97)</f>
        <v/>
      </c>
      <c r="M97" s="998" t="str">
        <f>IF(J97=0,"",J97)</f>
        <v/>
      </c>
      <c r="N97" s="998" t="str">
        <f>IF(K97=0,"",K97)</f>
        <v/>
      </c>
      <c r="O97" s="1112" t="s">
        <v>1396</v>
      </c>
      <c r="P97" s="1112"/>
      <c r="Q97" s="1112"/>
      <c r="R97" s="1112"/>
      <c r="S97" s="1112"/>
      <c r="T97" s="997" t="s">
        <v>2137</v>
      </c>
      <c r="U97" s="997"/>
      <c r="V97" s="997"/>
      <c r="W97" s="997"/>
      <c r="X97" s="997"/>
      <c r="Y97" s="1155"/>
      <c r="Z97" s="1000" t="s">
        <v>2138</v>
      </c>
      <c r="AA97" s="1003"/>
      <c r="AB97" s="1000"/>
      <c r="AC97" s="1000"/>
      <c r="AD97" s="1000"/>
    </row>
    <row customHeight="1" ht="63">
      <c r="A98" s="999"/>
      <c r="B98" s="1053">
        <v>81</v>
      </c>
      <c r="C98" s="997" t="s">
        <v>2139</v>
      </c>
      <c r="D98" s="1122"/>
      <c r="E98" s="997"/>
      <c r="F98" s="997"/>
      <c r="G98" s="997"/>
      <c r="H98" s="1045"/>
      <c r="I98" s="1160">
        <f>INDEX(TEMPLATE_NUMBER_POINT_FHD,B98,MATCH(TEMPLATE_SPHERE,TEMPLATE_SPHERE_LIST_FOR_NOTE,0))</f>
        <v>0</v>
      </c>
      <c r="J98" s="1160">
        <f>INDEX(TEMPLATE_DATA_POINT_FHD,B98,MATCH(TEMPLATE_SPHERE,TEMPLATE_SPHERE_LIST_FOR_NOTE,0))</f>
        <v>0</v>
      </c>
      <c r="K98" s="1160">
        <f>INDEX(TEMPLATE_NOTE_POINT_FHD,B98,MATCH(TEMPLATE_SPHERE,TEMPLATE_SPHERE_LIST_FOR_NOTE,0))</f>
        <v>0</v>
      </c>
      <c r="L98" s="998" t="str">
        <f>IF(I98=0,"",I98)</f>
        <v/>
      </c>
      <c r="M98" s="998" t="str">
        <f>IF(J98=0,"",J98)</f>
        <v/>
      </c>
      <c r="N98" s="998" t="str">
        <f>IF(K98=0,"",K98)</f>
        <v/>
      </c>
      <c r="O98" s="1112" t="s">
        <v>1410</v>
      </c>
      <c r="P98" s="1112"/>
      <c r="Q98" s="1112"/>
      <c r="R98" s="1112"/>
      <c r="S98" s="1112"/>
      <c r="T98" s="997" t="s">
        <v>2140</v>
      </c>
      <c r="U98" s="997"/>
      <c r="V98" s="997"/>
      <c r="W98" s="997"/>
      <c r="X98" s="997"/>
      <c r="Y98" s="1155"/>
      <c r="Z98" s="1000" t="s">
        <v>2138</v>
      </c>
      <c r="AA98" s="1003"/>
      <c r="AB98" s="1000"/>
      <c r="AC98" s="1000"/>
      <c r="AD98" s="1000"/>
    </row>
    <row customHeight="1" ht="90">
      <c r="A99" s="999"/>
      <c r="B99" s="1053">
        <v>82</v>
      </c>
      <c r="C99" s="997" t="s">
        <v>2141</v>
      </c>
      <c r="D99" s="1122"/>
      <c r="E99" s="997"/>
      <c r="F99" s="997"/>
      <c r="G99" s="997"/>
      <c r="H99" s="1045"/>
      <c r="I99" s="1160">
        <f>INDEX(TEMPLATE_NUMBER_POINT_FHD,B99,MATCH(TEMPLATE_SPHERE,TEMPLATE_SPHERE_LIST_FOR_NOTE,0))</f>
        <v>0</v>
      </c>
      <c r="J99" s="1160">
        <f>INDEX(TEMPLATE_DATA_POINT_FHD,B99,MATCH(TEMPLATE_SPHERE,TEMPLATE_SPHERE_LIST_FOR_NOTE,0))</f>
        <v>0</v>
      </c>
      <c r="K99" s="1160">
        <f>INDEX(TEMPLATE_NOTE_POINT_FHD,B99,MATCH(TEMPLATE_SPHERE,TEMPLATE_SPHERE_LIST_FOR_NOTE,0))</f>
        <v>0</v>
      </c>
      <c r="L99" s="998" t="str">
        <f>IF(I99=0,"",I99)</f>
        <v/>
      </c>
      <c r="M99" s="998" t="str">
        <f>IF(J99=0,"",J99)</f>
        <v/>
      </c>
      <c r="N99" s="998" t="str">
        <f>IF(K99=0,"",K99)</f>
        <v/>
      </c>
      <c r="O99" s="1112" t="s">
        <v>1422</v>
      </c>
      <c r="P99" s="1112"/>
      <c r="Q99" s="1112"/>
      <c r="R99" s="1112"/>
      <c r="S99" s="1112"/>
      <c r="T99" s="997" t="s">
        <v>2142</v>
      </c>
      <c r="U99" s="997"/>
      <c r="V99" s="997"/>
      <c r="W99" s="997"/>
      <c r="X99" s="997"/>
      <c r="Y99" s="1155"/>
      <c r="Z99" s="1000" t="s">
        <v>807</v>
      </c>
      <c r="AA99" s="1003"/>
      <c r="AB99" s="1000"/>
      <c r="AC99" s="1000"/>
      <c r="AD99" s="1000"/>
    </row>
    <row customHeight="1" ht="27">
      <c r="A100" s="999"/>
      <c r="B100" s="1053">
        <v>83</v>
      </c>
      <c r="C100" s="997"/>
      <c r="D100" s="1122"/>
      <c r="E100" s="997"/>
      <c r="F100" s="997"/>
      <c r="G100" s="997"/>
      <c r="H100" s="1045"/>
      <c r="I100" s="1160">
        <f>INDEX(TEMPLATE_NUMBER_POINT_FHD,B100,MATCH(TEMPLATE_SPHERE,TEMPLATE_SPHERE_LIST_FOR_NOTE,0))</f>
        <v>0</v>
      </c>
      <c r="J100" s="1160">
        <f>INDEX(TEMPLATE_DATA_POINT_FHD,B100,MATCH(TEMPLATE_SPHERE,TEMPLATE_SPHERE_LIST_FOR_NOTE,0))</f>
        <v>0</v>
      </c>
      <c r="K100" s="1160">
        <f>INDEX(TEMPLATE_NOTE_POINT_FHD,B100,MATCH(TEMPLATE_SPHERE,TEMPLATE_SPHERE_LIST_FOR_NOTE,0))</f>
        <v>0</v>
      </c>
      <c r="L100" s="998" t="str">
        <f>IF(I100=0,"",I100)</f>
        <v/>
      </c>
      <c r="M100" s="998" t="str">
        <f>IF(J100=0,"",J100)</f>
        <v/>
      </c>
      <c r="N100" s="998" t="str">
        <f>IF(K100=0,"",K100)</f>
        <v/>
      </c>
      <c r="O100" s="1112" t="s">
        <v>2143</v>
      </c>
      <c r="P100" s="1112"/>
      <c r="Q100" s="1112"/>
      <c r="R100" s="1112"/>
      <c r="S100" s="1112"/>
      <c r="T100" s="997" t="s">
        <v>2144</v>
      </c>
      <c r="U100" s="997"/>
      <c r="V100" s="997"/>
      <c r="W100" s="997"/>
      <c r="X100" s="997"/>
      <c r="Y100" s="1155"/>
      <c r="Z100" s="1000" t="s">
        <v>807</v>
      </c>
      <c r="AA100" s="1003"/>
      <c r="AB100" s="1000"/>
      <c r="AC100" s="1000"/>
      <c r="AD100" s="1000"/>
    </row>
    <row customHeight="1" ht="27">
      <c r="A101" s="999"/>
      <c r="B101" s="1053">
        <v>84</v>
      </c>
      <c r="C101" s="997"/>
      <c r="D101" s="1122"/>
      <c r="E101" s="997"/>
      <c r="F101" s="997"/>
      <c r="G101" s="997"/>
      <c r="H101" s="1045"/>
      <c r="I101" s="1160">
        <f>INDEX(TEMPLATE_NUMBER_POINT_FHD,B101,MATCH(TEMPLATE_SPHERE,TEMPLATE_SPHERE_LIST_FOR_NOTE,0))</f>
        <v>0</v>
      </c>
      <c r="J101" s="1160">
        <f>INDEX(TEMPLATE_DATA_POINT_FHD,B101,MATCH(TEMPLATE_SPHERE,TEMPLATE_SPHERE_LIST_FOR_NOTE,0))</f>
        <v>0</v>
      </c>
      <c r="K101" s="1160">
        <f>INDEX(TEMPLATE_NOTE_POINT_FHD,B101,MATCH(TEMPLATE_SPHERE,TEMPLATE_SPHERE_LIST_FOR_NOTE,0))</f>
        <v>0</v>
      </c>
      <c r="L101" s="998" t="str">
        <f>IF(I101=0,"",I101)</f>
        <v/>
      </c>
      <c r="M101" s="998" t="str">
        <f>IF(J101=0,"",J101)</f>
        <v/>
      </c>
      <c r="N101" s="998" t="str">
        <f>IF(K101=0,"",K101)</f>
        <v/>
      </c>
      <c r="O101" s="1112" t="s">
        <v>2145</v>
      </c>
      <c r="P101" s="1112"/>
      <c r="Q101" s="1112"/>
      <c r="R101" s="1112"/>
      <c r="S101" s="1112"/>
      <c r="T101" s="997" t="s">
        <v>2146</v>
      </c>
      <c r="U101" s="997"/>
      <c r="V101" s="997"/>
      <c r="W101" s="997"/>
      <c r="X101" s="997"/>
      <c r="Y101" s="1155"/>
      <c r="Z101" s="1000" t="s">
        <v>807</v>
      </c>
      <c r="AA101" s="1003"/>
      <c r="AB101" s="1000"/>
      <c r="AC101" s="1000"/>
      <c r="AD101" s="1000"/>
    </row>
    <row customHeight="1" ht="9">
      <c r="A102" s="999"/>
      <c r="B102" s="999"/>
      <c r="C102" s="997"/>
      <c r="D102" s="997"/>
      <c r="E102" s="997"/>
      <c r="F102" s="997"/>
      <c r="G102" s="997"/>
      <c r="H102" s="1045"/>
      <c r="I102" s="1045"/>
      <c r="J102" s="1045"/>
      <c r="K102" s="1045"/>
      <c r="L102" s="1045"/>
      <c r="M102" s="997"/>
      <c r="N102" s="1044"/>
      <c r="O102" s="1112"/>
      <c r="P102" s="1112"/>
      <c r="Q102" s="1112"/>
      <c r="R102" s="1112"/>
      <c r="S102" s="997"/>
      <c r="T102" s="997"/>
      <c r="U102" s="997"/>
      <c r="V102" s="997"/>
      <c r="W102" s="997"/>
      <c r="X102" s="997"/>
      <c r="Y102" s="1155"/>
      <c r="Z102" s="1000"/>
      <c r="AA102" s="1003"/>
      <c r="AB102" s="1000"/>
      <c r="AC102" s="1000"/>
      <c r="AD102" s="1000"/>
    </row>
    <row customHeight="1" ht="9">
      <c r="A103" s="999"/>
      <c r="B103" s="999"/>
      <c r="C103" s="997"/>
      <c r="D103" s="997"/>
      <c r="E103" s="997"/>
      <c r="F103" s="997"/>
      <c r="G103" s="997"/>
      <c r="H103" s="1045"/>
      <c r="I103" s="1045"/>
      <c r="J103" s="1045"/>
      <c r="K103" s="1045"/>
      <c r="L103" s="1045"/>
      <c r="M103" s="997"/>
      <c r="N103" s="1044"/>
      <c r="O103" s="1112"/>
      <c r="P103" s="1112"/>
      <c r="Q103" s="1112"/>
      <c r="R103" s="1112"/>
      <c r="S103" s="997"/>
      <c r="T103" s="997"/>
      <c r="U103" s="997"/>
      <c r="V103" s="997"/>
      <c r="W103" s="997"/>
      <c r="X103" s="997"/>
      <c r="Y103" s="1155"/>
      <c r="Z103" s="1000"/>
      <c r="AA103" s="1003"/>
      <c r="AB103" s="1000"/>
      <c r="AC103" s="1000"/>
      <c r="AD103" s="1000"/>
    </row>
    <row customHeight="1" ht="9">
      <c r="A104" s="999"/>
      <c r="B104" s="999"/>
      <c r="C104" s="997"/>
      <c r="D104" s="997"/>
      <c r="E104" s="997"/>
      <c r="F104" s="997"/>
      <c r="G104" s="997"/>
      <c r="H104" s="1045"/>
      <c r="I104" s="1045"/>
      <c r="J104" s="1045"/>
      <c r="K104" s="1045"/>
      <c r="L104" s="1045"/>
      <c r="M104" s="997"/>
      <c r="N104" s="1044"/>
      <c r="O104" s="1112"/>
      <c r="P104" s="1112"/>
      <c r="Q104" s="1112"/>
      <c r="R104" s="1112"/>
      <c r="S104" s="997"/>
      <c r="T104" s="997"/>
      <c r="U104" s="997"/>
      <c r="V104" s="997"/>
      <c r="W104" s="997"/>
      <c r="X104" s="997"/>
      <c r="Y104" s="1155"/>
      <c r="Z104" s="1000"/>
      <c r="AA104" s="1003"/>
      <c r="AB104" s="1000"/>
      <c r="AC104" s="1000"/>
      <c r="AD104" s="1000"/>
    </row>
    <row customHeight="1" ht="9">
      <c r="A105" s="999"/>
      <c r="B105" s="999"/>
      <c r="C105" s="997"/>
      <c r="D105" s="997"/>
      <c r="E105" s="997"/>
      <c r="F105" s="997"/>
      <c r="G105" s="997"/>
      <c r="H105" s="1045"/>
      <c r="I105" s="1045"/>
      <c r="J105" s="1045"/>
      <c r="K105" s="1045"/>
      <c r="L105" s="1045"/>
      <c r="M105" s="997"/>
      <c r="N105" s="1044"/>
      <c r="O105" s="1112"/>
      <c r="P105" s="1112"/>
      <c r="Q105" s="1112"/>
      <c r="R105" s="1112"/>
      <c r="S105" s="997"/>
      <c r="T105" s="997"/>
      <c r="U105" s="997"/>
      <c r="V105" s="997"/>
      <c r="W105" s="997"/>
      <c r="X105" s="997"/>
      <c r="Y105" s="1155"/>
      <c r="Z105" s="1000"/>
      <c r="AA105" s="1003"/>
      <c r="AB105" s="1000"/>
      <c r="AC105" s="1000"/>
      <c r="AD105" s="1000"/>
    </row>
    <row customHeight="1" ht="9">
      <c r="A106" s="999"/>
      <c r="B106" s="999"/>
      <c r="C106" s="997"/>
      <c r="D106" s="997"/>
      <c r="E106" s="997"/>
      <c r="F106" s="997"/>
      <c r="G106" s="997"/>
      <c r="H106" s="1045"/>
      <c r="I106" s="1045"/>
      <c r="J106" s="1045"/>
      <c r="K106" s="1045"/>
      <c r="L106" s="1045"/>
      <c r="M106" s="997"/>
      <c r="N106" s="1044"/>
      <c r="O106" s="1112"/>
      <c r="P106" s="1112"/>
      <c r="Q106" s="1112"/>
      <c r="R106" s="1112"/>
      <c r="S106" s="997"/>
      <c r="T106" s="997"/>
      <c r="U106" s="997"/>
      <c r="V106" s="997"/>
      <c r="W106" s="997"/>
      <c r="X106" s="997"/>
      <c r="Y106" s="1155"/>
      <c r="Z106" s="1000"/>
      <c r="AA106" s="1003"/>
      <c r="AB106" s="1000"/>
      <c r="AC106" s="1000"/>
      <c r="AD106" s="1000"/>
    </row>
    <row customHeight="1" ht="9">
      <c r="A107" s="999"/>
      <c r="B107" s="999"/>
      <c r="C107" s="997"/>
      <c r="D107" s="997"/>
      <c r="E107" s="997"/>
      <c r="F107" s="997"/>
      <c r="G107" s="997"/>
      <c r="H107" s="1045"/>
      <c r="I107" s="1045"/>
      <c r="J107" s="1045"/>
      <c r="K107" s="1045"/>
      <c r="L107" s="1045"/>
      <c r="M107" s="997"/>
      <c r="N107" s="1044"/>
      <c r="O107" s="1112"/>
      <c r="P107" s="1112"/>
      <c r="Q107" s="1112"/>
      <c r="R107" s="1112"/>
      <c r="S107" s="997"/>
      <c r="T107" s="997"/>
      <c r="U107" s="997"/>
      <c r="V107" s="997"/>
      <c r="W107" s="997"/>
      <c r="X107" s="997"/>
      <c r="Y107" s="1155"/>
      <c r="Z107" s="1000"/>
      <c r="AA107" s="1003"/>
      <c r="AB107" s="1000"/>
      <c r="AC107" s="1000"/>
      <c r="AD107" s="1000"/>
    </row>
    <row customHeight="1" ht="9">
      <c r="A108" s="999"/>
      <c r="B108" s="999"/>
      <c r="C108" s="997"/>
      <c r="D108" s="997"/>
      <c r="E108" s="997"/>
      <c r="F108" s="997"/>
      <c r="G108" s="997"/>
      <c r="H108" s="1045"/>
      <c r="I108" s="1045"/>
      <c r="J108" s="1045"/>
      <c r="K108" s="1045"/>
      <c r="L108" s="1045"/>
      <c r="M108" s="997"/>
      <c r="N108" s="1044"/>
      <c r="O108" s="1112"/>
      <c r="P108" s="1112"/>
      <c r="Q108" s="1112"/>
      <c r="R108" s="1112"/>
      <c r="S108" s="997"/>
      <c r="T108" s="997"/>
      <c r="U108" s="997"/>
      <c r="V108" s="997"/>
      <c r="W108" s="997"/>
      <c r="X108" s="997"/>
      <c r="Y108" s="1155"/>
      <c r="Z108" s="1000"/>
      <c r="AA108" s="1003"/>
      <c r="AB108" s="1000"/>
      <c r="AC108" s="1000"/>
      <c r="AD108" s="1000"/>
    </row>
    <row customHeight="1" ht="9">
      <c r="A109" s="999"/>
      <c r="B109" s="999"/>
      <c r="C109" s="997"/>
      <c r="D109" s="997"/>
      <c r="E109" s="997"/>
      <c r="F109" s="997"/>
      <c r="G109" s="997"/>
      <c r="H109" s="1045"/>
      <c r="I109" s="1045"/>
      <c r="J109" s="1045"/>
      <c r="K109" s="1045"/>
      <c r="L109" s="1045"/>
      <c r="M109" s="997"/>
      <c r="N109" s="1044"/>
      <c r="O109" s="1112"/>
      <c r="P109" s="1112"/>
      <c r="Q109" s="1112"/>
      <c r="R109" s="1112"/>
      <c r="S109" s="997"/>
      <c r="T109" s="997"/>
      <c r="U109" s="997"/>
      <c r="V109" s="997"/>
      <c r="W109" s="997"/>
      <c r="X109" s="997"/>
      <c r="Y109" s="1155"/>
      <c r="Z109" s="1000"/>
      <c r="AA109" s="1003"/>
      <c r="AB109" s="1000"/>
      <c r="AC109" s="1000"/>
      <c r="AD109" s="1000"/>
    </row>
    <row customHeight="1" ht="9">
      <c r="A110" s="999"/>
      <c r="B110" s="999"/>
      <c r="C110" s="997"/>
      <c r="D110" s="997"/>
      <c r="E110" s="997"/>
      <c r="F110" s="997"/>
      <c r="G110" s="997"/>
      <c r="H110" s="1045"/>
      <c r="I110" s="1045"/>
      <c r="J110" s="1045"/>
      <c r="K110" s="1045"/>
      <c r="L110" s="1045"/>
      <c r="M110" s="997"/>
      <c r="N110" s="1044"/>
      <c r="O110" s="1112"/>
      <c r="P110" s="1112"/>
      <c r="Q110" s="1112"/>
      <c r="R110" s="1112"/>
      <c r="S110" s="997"/>
      <c r="T110" s="997"/>
      <c r="U110" s="997"/>
      <c r="V110" s="997"/>
      <c r="W110" s="997"/>
      <c r="X110" s="997"/>
      <c r="Y110" s="1155"/>
      <c r="Z110" s="1000"/>
      <c r="AA110" s="1003"/>
      <c r="AB110" s="1000"/>
      <c r="AC110" s="1000"/>
      <c r="AD110" s="1000"/>
    </row>
    <row customHeight="1" ht="9">
      <c r="A111" s="999"/>
      <c r="B111" s="999"/>
      <c r="C111" s="997"/>
      <c r="D111" s="997"/>
      <c r="E111" s="997"/>
      <c r="F111" s="997"/>
      <c r="G111" s="997"/>
      <c r="H111" s="1045"/>
      <c r="I111" s="1045"/>
      <c r="J111" s="1045"/>
      <c r="K111" s="1045"/>
      <c r="L111" s="1045"/>
      <c r="M111" s="997"/>
      <c r="N111" s="1044"/>
      <c r="O111" s="1112"/>
      <c r="P111" s="1112"/>
      <c r="Q111" s="1112"/>
      <c r="R111" s="1112"/>
      <c r="S111" s="997"/>
      <c r="T111" s="997"/>
      <c r="U111" s="997"/>
      <c r="V111" s="997"/>
      <c r="W111" s="997"/>
      <c r="X111" s="997"/>
      <c r="Y111" s="1155"/>
      <c r="Z111" s="1000"/>
      <c r="AA111" s="1003"/>
      <c r="AB111" s="1000"/>
      <c r="AC111" s="1000"/>
      <c r="AD111" s="1000"/>
    </row>
    <row customHeight="1" ht="9">
      <c r="A112" s="999"/>
      <c r="B112" s="999"/>
      <c r="C112" s="997"/>
      <c r="D112" s="997"/>
      <c r="E112" s="997"/>
      <c r="F112" s="997"/>
      <c r="G112" s="997"/>
      <c r="H112" s="1045"/>
      <c r="I112" s="1045"/>
      <c r="J112" s="1045"/>
      <c r="K112" s="1045"/>
      <c r="L112" s="1045"/>
      <c r="M112" s="997"/>
      <c r="N112" s="1044"/>
      <c r="O112" s="1112"/>
      <c r="P112" s="1112"/>
      <c r="Q112" s="1112"/>
      <c r="R112" s="1112"/>
      <c r="S112" s="997"/>
      <c r="T112" s="997"/>
      <c r="U112" s="997"/>
      <c r="V112" s="997"/>
      <c r="W112" s="997"/>
      <c r="X112" s="997"/>
      <c r="Y112" s="1155"/>
      <c r="Z112" s="1000"/>
      <c r="AA112" s="1003"/>
      <c r="AB112" s="1000"/>
      <c r="AC112" s="1000"/>
      <c r="AD112" s="1000"/>
    </row>
    <row customHeight="1" ht="9">
      <c r="A113" s="999"/>
      <c r="B113" s="999"/>
      <c r="C113" s="997"/>
      <c r="D113" s="997"/>
      <c r="E113" s="997"/>
      <c r="F113" s="997"/>
      <c r="G113" s="997"/>
      <c r="H113" s="1045"/>
      <c r="I113" s="1045"/>
      <c r="J113" s="1045"/>
      <c r="K113" s="1045"/>
      <c r="L113" s="1045"/>
      <c r="M113" s="997"/>
      <c r="N113" s="1044"/>
      <c r="O113" s="1112"/>
      <c r="P113" s="1112"/>
      <c r="Q113" s="1112"/>
      <c r="R113" s="1112"/>
      <c r="S113" s="997"/>
      <c r="T113" s="997"/>
      <c r="U113" s="997"/>
      <c r="V113" s="997"/>
      <c r="W113" s="997"/>
      <c r="X113" s="997"/>
      <c r="Y113" s="1155"/>
      <c r="Z113" s="1000"/>
      <c r="AA113" s="1003"/>
      <c r="AB113" s="1000"/>
      <c r="AC113" s="1000"/>
      <c r="AD113" s="1000"/>
    </row>
    <row customHeight="1" ht="9">
      <c r="A114" s="999"/>
      <c r="B114" s="999"/>
      <c r="C114" s="997"/>
      <c r="D114" s="997"/>
      <c r="E114" s="997"/>
      <c r="F114" s="997"/>
      <c r="G114" s="997"/>
      <c r="H114" s="1045"/>
      <c r="I114" s="1045"/>
      <c r="J114" s="1045"/>
      <c r="K114" s="1045"/>
      <c r="L114" s="1045"/>
      <c r="M114" s="997"/>
      <c r="N114" s="1044"/>
      <c r="O114" s="1112"/>
      <c r="P114" s="1112"/>
      <c r="Q114" s="1112"/>
      <c r="R114" s="1112"/>
      <c r="S114" s="997"/>
      <c r="T114" s="997"/>
      <c r="U114" s="997"/>
      <c r="V114" s="997"/>
      <c r="W114" s="997"/>
      <c r="X114" s="997"/>
      <c r="Y114" s="1155"/>
      <c r="Z114" s="1000"/>
      <c r="AA114" s="1003"/>
      <c r="AB114" s="1000"/>
      <c r="AC114" s="1000"/>
      <c r="AD114" s="1000"/>
    </row>
    <row customHeight="1" ht="9">
      <c r="A115" s="999"/>
      <c r="B115" s="999"/>
      <c r="C115" s="997"/>
      <c r="D115" s="997"/>
      <c r="E115" s="997"/>
      <c r="F115" s="997"/>
      <c r="G115" s="997"/>
      <c r="H115" s="1045"/>
      <c r="I115" s="1045"/>
      <c r="J115" s="1045"/>
      <c r="K115" s="1045"/>
      <c r="L115" s="1045"/>
      <c r="M115" s="997"/>
      <c r="N115" s="1044"/>
      <c r="O115" s="1112"/>
      <c r="P115" s="1112"/>
      <c r="Q115" s="1112"/>
      <c r="R115" s="1112"/>
      <c r="S115" s="997"/>
      <c r="T115" s="997"/>
      <c r="U115" s="997"/>
      <c r="V115" s="997"/>
      <c r="W115" s="997"/>
      <c r="X115" s="997"/>
      <c r="Y115" s="1155"/>
      <c r="Z115" s="1000"/>
      <c r="AA115" s="1003"/>
      <c r="AB115" s="1000"/>
      <c r="AC115" s="1000"/>
      <c r="AD115" s="1000"/>
    </row>
    <row customHeight="1" ht="9">
      <c r="A116" s="999"/>
      <c r="B116" s="999"/>
      <c r="C116" s="997"/>
      <c r="D116" s="997"/>
      <c r="E116" s="997"/>
      <c r="F116" s="997"/>
      <c r="G116" s="997"/>
      <c r="H116" s="1045"/>
      <c r="I116" s="1045"/>
      <c r="J116" s="1045"/>
      <c r="K116" s="1045"/>
      <c r="L116" s="1045"/>
      <c r="M116" s="997"/>
      <c r="N116" s="1044"/>
      <c r="O116" s="1112"/>
      <c r="P116" s="1112"/>
      <c r="Q116" s="1112"/>
      <c r="R116" s="1112"/>
      <c r="S116" s="997"/>
      <c r="T116" s="997"/>
      <c r="U116" s="997"/>
      <c r="V116" s="997"/>
      <c r="W116" s="997"/>
      <c r="X116" s="997"/>
      <c r="Y116" s="1155"/>
      <c r="Z116" s="1000"/>
      <c r="AA116" s="1003"/>
      <c r="AB116" s="1000"/>
      <c r="AC116" s="1000"/>
      <c r="AD116" s="1000"/>
    </row>
    <row customHeight="1" ht="9">
      <c r="A117" s="999"/>
      <c r="B117" s="999"/>
      <c r="C117" s="997"/>
      <c r="D117" s="997"/>
      <c r="E117" s="997"/>
      <c r="F117" s="997"/>
      <c r="G117" s="997"/>
      <c r="H117" s="1045"/>
      <c r="I117" s="1045"/>
      <c r="J117" s="1045"/>
      <c r="K117" s="1045"/>
      <c r="L117" s="1045"/>
      <c r="M117" s="997"/>
      <c r="N117" s="1044"/>
      <c r="O117" s="1112"/>
      <c r="P117" s="1112"/>
      <c r="Q117" s="1112"/>
      <c r="R117" s="1112"/>
      <c r="S117" s="997"/>
      <c r="T117" s="997"/>
      <c r="U117" s="997"/>
      <c r="V117" s="997"/>
      <c r="W117" s="997"/>
      <c r="X117" s="997"/>
      <c r="Y117" s="1155"/>
      <c r="Z117" s="1000"/>
      <c r="AA117" s="1003"/>
      <c r="AB117" s="1000"/>
      <c r="AC117" s="1000"/>
      <c r="AD117" s="1000"/>
    </row>
    <row customHeight="1" ht="9">
      <c r="A118" s="999"/>
      <c r="B118" s="999"/>
      <c r="C118" s="997"/>
      <c r="D118" s="997"/>
      <c r="E118" s="997"/>
      <c r="F118" s="997"/>
      <c r="G118" s="997"/>
      <c r="H118" s="1045"/>
      <c r="I118" s="1045"/>
      <c r="J118" s="1045"/>
      <c r="K118" s="1045"/>
      <c r="L118" s="1045"/>
      <c r="M118" s="997"/>
      <c r="N118" s="1044"/>
      <c r="O118" s="1112"/>
      <c r="P118" s="1112"/>
      <c r="Q118" s="1112"/>
      <c r="R118" s="1112"/>
      <c r="S118" s="997"/>
      <c r="T118" s="997"/>
      <c r="U118" s="997"/>
      <c r="V118" s="997"/>
      <c r="W118" s="997"/>
      <c r="X118" s="997"/>
      <c r="Y118" s="1155"/>
      <c r="Z118" s="1000"/>
      <c r="AA118" s="1003"/>
      <c r="AB118" s="1000"/>
      <c r="AC118" s="1000"/>
      <c r="AD118" s="1000"/>
    </row>
    <row customHeight="1" ht="9">
      <c r="A119" s="999"/>
      <c r="B119" s="999"/>
      <c r="C119" s="997"/>
      <c r="D119" s="997"/>
      <c r="E119" s="997"/>
      <c r="F119" s="997"/>
      <c r="G119" s="997"/>
      <c r="H119" s="1045"/>
      <c r="I119" s="1045"/>
      <c r="J119" s="1045"/>
      <c r="K119" s="1045"/>
      <c r="L119" s="1045"/>
      <c r="M119" s="997"/>
      <c r="N119" s="1044"/>
      <c r="O119" s="1112"/>
      <c r="P119" s="1112"/>
      <c r="Q119" s="1112"/>
      <c r="R119" s="1112"/>
      <c r="S119" s="997"/>
      <c r="T119" s="997"/>
      <c r="U119" s="997"/>
      <c r="V119" s="997"/>
      <c r="W119" s="997"/>
      <c r="X119" s="997"/>
      <c r="Y119" s="1155"/>
      <c r="Z119" s="1000"/>
      <c r="AA119" s="1003"/>
      <c r="AB119" s="1000"/>
      <c r="AC119" s="1000"/>
      <c r="AD119" s="1000"/>
    </row>
    <row customHeight="1" ht="9">
      <c r="A120" s="999"/>
      <c r="B120" s="999"/>
      <c r="C120" s="997"/>
      <c r="D120" s="997"/>
      <c r="E120" s="997"/>
      <c r="F120" s="997"/>
      <c r="G120" s="997"/>
      <c r="H120" s="1045"/>
      <c r="I120" s="1045"/>
      <c r="J120" s="1045"/>
      <c r="K120" s="1045"/>
      <c r="L120" s="1045"/>
      <c r="M120" s="997"/>
      <c r="N120" s="1044"/>
      <c r="O120" s="1112"/>
      <c r="P120" s="1112"/>
      <c r="Q120" s="1112"/>
      <c r="R120" s="1112"/>
      <c r="S120" s="997"/>
      <c r="T120" s="997"/>
      <c r="U120" s="997"/>
      <c r="V120" s="997"/>
      <c r="W120" s="997"/>
      <c r="X120" s="997"/>
      <c r="Y120" s="1155"/>
      <c r="Z120" s="1000"/>
      <c r="AA120" s="1003"/>
      <c r="AB120" s="1000"/>
      <c r="AC120" s="1000"/>
      <c r="AD120" s="1000"/>
    </row>
    <row customHeight="1" ht="9">
      <c r="A121" s="999"/>
      <c r="B121" s="999"/>
      <c r="C121" s="997"/>
      <c r="D121" s="997"/>
      <c r="E121" s="997"/>
      <c r="F121" s="997"/>
      <c r="G121" s="997"/>
      <c r="H121" s="1045"/>
      <c r="I121" s="1045"/>
      <c r="J121" s="1045"/>
      <c r="K121" s="1045"/>
      <c r="L121" s="1045"/>
      <c r="M121" s="997"/>
      <c r="N121" s="1044"/>
      <c r="O121" s="1112"/>
      <c r="P121" s="1112"/>
      <c r="Q121" s="1112"/>
      <c r="R121" s="1112"/>
      <c r="S121" s="997"/>
      <c r="T121" s="997"/>
      <c r="U121" s="997"/>
      <c r="V121" s="997"/>
      <c r="W121" s="997"/>
      <c r="X121" s="997"/>
      <c r="Y121" s="1155"/>
      <c r="Z121" s="1000"/>
      <c r="AA121" s="1003"/>
      <c r="AB121" s="1000"/>
      <c r="AC121" s="1000"/>
      <c r="AD121" s="1000"/>
    </row>
    <row customHeight="1" ht="9">
      <c r="A122" s="999"/>
      <c r="B122" s="999"/>
      <c r="C122" s="997"/>
      <c r="D122" s="997"/>
      <c r="E122" s="997"/>
      <c r="F122" s="997"/>
      <c r="G122" s="997"/>
      <c r="H122" s="1045"/>
      <c r="I122" s="1045"/>
      <c r="J122" s="1045"/>
      <c r="K122" s="1045"/>
      <c r="L122" s="1045"/>
      <c r="M122" s="997"/>
      <c r="N122" s="1044"/>
      <c r="O122" s="1112"/>
      <c r="P122" s="1112"/>
      <c r="Q122" s="1112"/>
      <c r="R122" s="1112"/>
      <c r="S122" s="997"/>
      <c r="T122" s="997"/>
      <c r="U122" s="997"/>
      <c r="V122" s="997"/>
      <c r="W122" s="997"/>
      <c r="X122" s="997"/>
      <c r="Y122" s="1155"/>
      <c r="Z122" s="1000"/>
      <c r="AA122" s="1003"/>
      <c r="AB122" s="1000"/>
      <c r="AC122" s="1000"/>
      <c r="AD122" s="1000"/>
    </row>
    <row customHeight="1" ht="9">
      <c r="A123" s="999"/>
      <c r="B123" s="999"/>
      <c r="C123" s="997"/>
      <c r="D123" s="997"/>
      <c r="E123" s="997"/>
      <c r="F123" s="997"/>
      <c r="G123" s="997"/>
      <c r="H123" s="1045"/>
      <c r="I123" s="1045"/>
      <c r="J123" s="1045"/>
      <c r="K123" s="1045"/>
      <c r="L123" s="1045"/>
      <c r="M123" s="997"/>
      <c r="N123" s="1044"/>
      <c r="O123" s="1112"/>
      <c r="P123" s="1112"/>
      <c r="Q123" s="1112"/>
      <c r="R123" s="1112"/>
      <c r="S123" s="997"/>
      <c r="T123" s="997"/>
      <c r="U123" s="997"/>
      <c r="V123" s="997"/>
      <c r="W123" s="997"/>
      <c r="X123" s="997"/>
      <c r="Y123" s="1155"/>
      <c r="Z123" s="1000"/>
      <c r="AA123" s="1003"/>
      <c r="AB123" s="1000"/>
      <c r="AC123" s="1000"/>
      <c r="AD123" s="1000"/>
    </row>
    <row customHeight="1" ht="9">
      <c r="A124" s="999"/>
      <c r="B124" s="999"/>
      <c r="C124" s="997"/>
      <c r="D124" s="997"/>
      <c r="E124" s="997"/>
      <c r="F124" s="997"/>
      <c r="G124" s="997"/>
      <c r="H124" s="1045"/>
      <c r="I124" s="1045"/>
      <c r="J124" s="1045"/>
      <c r="K124" s="1045"/>
      <c r="L124" s="1045"/>
      <c r="M124" s="997"/>
      <c r="N124" s="1044"/>
      <c r="O124" s="1112"/>
      <c r="P124" s="1112"/>
      <c r="Q124" s="1112"/>
      <c r="R124" s="1112"/>
      <c r="S124" s="997"/>
      <c r="T124" s="997"/>
      <c r="U124" s="997"/>
      <c r="V124" s="997"/>
      <c r="W124" s="997"/>
      <c r="X124" s="997"/>
      <c r="Y124" s="1155"/>
      <c r="Z124" s="1000"/>
      <c r="AA124" s="1003"/>
      <c r="AB124" s="1000"/>
      <c r="AC124" s="1000"/>
      <c r="AD124" s="1000"/>
    </row>
    <row customHeight="1" ht="9">
      <c r="A125" s="999"/>
      <c r="B125" s="999"/>
      <c r="C125" s="997"/>
      <c r="D125" s="997"/>
      <c r="E125" s="997"/>
      <c r="F125" s="997"/>
      <c r="G125" s="997"/>
      <c r="H125" s="1045"/>
      <c r="I125" s="1045"/>
      <c r="J125" s="1045"/>
      <c r="K125" s="1045"/>
      <c r="L125" s="1045"/>
      <c r="M125" s="997"/>
      <c r="N125" s="1044"/>
      <c r="O125" s="1112"/>
      <c r="P125" s="1112"/>
      <c r="Q125" s="1112"/>
      <c r="R125" s="1112"/>
      <c r="S125" s="997"/>
      <c r="T125" s="997"/>
      <c r="U125" s="997"/>
      <c r="V125" s="997"/>
      <c r="W125" s="997"/>
      <c r="X125" s="997"/>
      <c r="Y125" s="1155"/>
      <c r="Z125" s="1000"/>
      <c r="AA125" s="1003"/>
      <c r="AB125" s="1000"/>
      <c r="AC125" s="1000"/>
      <c r="AD125" s="1000"/>
    </row>
    <row customHeight="1" ht="9">
      <c r="A126" s="999"/>
      <c r="B126" s="999"/>
      <c r="C126" s="997"/>
      <c r="D126" s="997"/>
      <c r="E126" s="997"/>
      <c r="F126" s="997"/>
      <c r="G126" s="997"/>
      <c r="H126" s="1045"/>
      <c r="I126" s="1045"/>
      <c r="J126" s="1045"/>
      <c r="K126" s="1045"/>
      <c r="L126" s="1045"/>
      <c r="M126" s="997"/>
      <c r="N126" s="1044"/>
      <c r="O126" s="1112"/>
      <c r="P126" s="1112"/>
      <c r="Q126" s="1112"/>
      <c r="R126" s="1112"/>
      <c r="S126" s="997"/>
      <c r="T126" s="997"/>
      <c r="U126" s="997"/>
      <c r="V126" s="997"/>
      <c r="W126" s="997"/>
      <c r="X126" s="997"/>
      <c r="Y126" s="1155"/>
      <c r="Z126" s="1000"/>
      <c r="AA126" s="1003"/>
      <c r="AB126" s="1000"/>
      <c r="AC126" s="1000"/>
      <c r="AD126" s="1000"/>
    </row>
    <row customHeight="1" ht="9">
      <c r="A127" s="999"/>
      <c r="B127" s="999"/>
      <c r="C127" s="997"/>
      <c r="D127" s="997"/>
      <c r="E127" s="997"/>
      <c r="F127" s="997"/>
      <c r="G127" s="997"/>
      <c r="H127" s="1045"/>
      <c r="I127" s="1045"/>
      <c r="J127" s="1045"/>
      <c r="K127" s="1045"/>
      <c r="L127" s="1045"/>
      <c r="M127" s="997"/>
      <c r="N127" s="1044"/>
      <c r="O127" s="1112"/>
      <c r="P127" s="1112"/>
      <c r="Q127" s="1112"/>
      <c r="R127" s="1112"/>
      <c r="S127" s="997"/>
      <c r="T127" s="997"/>
      <c r="U127" s="997"/>
      <c r="V127" s="997"/>
      <c r="W127" s="997"/>
      <c r="X127" s="997"/>
      <c r="Y127" s="1155"/>
      <c r="Z127" s="1000"/>
      <c r="AA127" s="1003"/>
      <c r="AB127" s="1000"/>
      <c r="AC127" s="1000"/>
      <c r="AD127" s="1000"/>
    </row>
    <row customHeight="1" ht="9">
      <c r="A128" s="999"/>
      <c r="B128" s="999"/>
      <c r="C128" s="997"/>
      <c r="D128" s="997"/>
      <c r="E128" s="997"/>
      <c r="F128" s="997"/>
      <c r="G128" s="997"/>
      <c r="H128" s="1045"/>
      <c r="I128" s="1045"/>
      <c r="J128" s="1045"/>
      <c r="K128" s="1045"/>
      <c r="L128" s="1045"/>
      <c r="M128" s="997"/>
      <c r="N128" s="1044"/>
      <c r="O128" s="1112"/>
      <c r="P128" s="1112"/>
      <c r="Q128" s="1112"/>
      <c r="R128" s="1112"/>
      <c r="S128" s="997"/>
      <c r="T128" s="997"/>
      <c r="U128" s="997"/>
      <c r="V128" s="997"/>
      <c r="W128" s="997"/>
      <c r="X128" s="997"/>
      <c r="Y128" s="1155"/>
      <c r="Z128" s="1000"/>
      <c r="AA128" s="1003"/>
      <c r="AB128" s="1000"/>
      <c r="AC128" s="1000"/>
      <c r="AD128" s="1000"/>
    </row>
    <row customHeight="1" ht="9">
      <c r="A129" s="999"/>
      <c r="B129" s="999"/>
      <c r="C129" s="997"/>
      <c r="D129" s="997"/>
      <c r="E129" s="997"/>
      <c r="F129" s="997"/>
      <c r="G129" s="997"/>
      <c r="H129" s="1045"/>
      <c r="I129" s="1045"/>
      <c r="J129" s="1045"/>
      <c r="K129" s="1045"/>
      <c r="L129" s="1045"/>
      <c r="M129" s="997"/>
      <c r="N129" s="1044"/>
      <c r="O129" s="1112"/>
      <c r="P129" s="1112"/>
      <c r="Q129" s="1112"/>
      <c r="R129" s="1112"/>
      <c r="S129" s="997"/>
      <c r="T129" s="997"/>
      <c r="U129" s="997"/>
      <c r="V129" s="997"/>
      <c r="W129" s="997"/>
      <c r="X129" s="997"/>
      <c r="Y129" s="1155"/>
      <c r="Z129" s="1000"/>
      <c r="AA129" s="1003"/>
      <c r="AB129" s="1000"/>
      <c r="AC129" s="1000"/>
      <c r="AD129" s="1000"/>
    </row>
    <row customHeight="1" ht="9">
      <c r="A130" s="999"/>
      <c r="B130" s="999"/>
      <c r="C130" s="997"/>
      <c r="D130" s="997"/>
      <c r="E130" s="997"/>
      <c r="F130" s="997"/>
      <c r="G130" s="997"/>
      <c r="H130" s="1045"/>
      <c r="I130" s="1045"/>
      <c r="J130" s="1045"/>
      <c r="K130" s="1045"/>
      <c r="L130" s="1045"/>
      <c r="M130" s="997"/>
      <c r="N130" s="1044"/>
      <c r="O130" s="1114"/>
      <c r="P130" s="1114"/>
      <c r="Q130" s="1114"/>
      <c r="R130" s="1114"/>
      <c r="S130" s="997"/>
      <c r="T130" s="997"/>
      <c r="U130" s="997"/>
      <c r="V130" s="997"/>
      <c r="W130" s="997"/>
      <c r="X130" s="997"/>
      <c r="Y130" s="1155"/>
      <c r="Z130" s="1000"/>
      <c r="AA130" s="1003"/>
      <c r="AB130" s="1000"/>
      <c r="AC130" s="1000"/>
      <c r="AD130" s="1000"/>
    </row>
    <row customHeight="1" ht="9">
      <c r="A131" s="999"/>
      <c r="B131" s="999"/>
      <c r="C131" s="997"/>
      <c r="D131" s="997"/>
      <c r="E131" s="997"/>
      <c r="F131" s="997"/>
      <c r="G131" s="997"/>
      <c r="H131" s="1045"/>
      <c r="I131" s="1045"/>
      <c r="J131" s="1045"/>
      <c r="K131" s="1045"/>
      <c r="L131" s="1045"/>
      <c r="M131" s="997"/>
      <c r="N131" s="1044"/>
      <c r="O131" s="1115"/>
      <c r="P131" s="1115"/>
      <c r="Q131" s="1115"/>
      <c r="R131" s="1115"/>
      <c r="S131" s="997"/>
      <c r="T131" s="997"/>
      <c r="U131" s="997"/>
      <c r="V131" s="997"/>
      <c r="W131" s="997"/>
      <c r="X131" s="997"/>
      <c r="Y131" s="1155"/>
      <c r="Z131" s="1000"/>
      <c r="AA131" s="1003"/>
      <c r="AB131" s="1000"/>
      <c r="AC131" s="1000"/>
      <c r="AD131" s="1000"/>
    </row>
    <row customHeight="1" ht="9">
      <c r="A132" s="999"/>
      <c r="B132" s="999"/>
      <c r="C132" s="997"/>
      <c r="D132" s="997"/>
      <c r="E132" s="997"/>
      <c r="F132" s="997"/>
      <c r="G132" s="997"/>
      <c r="H132" s="1045"/>
      <c r="I132" s="1045"/>
      <c r="J132" s="1045"/>
      <c r="K132" s="1045"/>
      <c r="L132" s="1045"/>
      <c r="M132" s="997"/>
      <c r="N132" s="1044"/>
      <c r="O132" s="1114"/>
      <c r="P132" s="1114"/>
      <c r="Q132" s="1114"/>
      <c r="R132" s="1114"/>
      <c r="S132" s="997"/>
      <c r="T132" s="997"/>
      <c r="U132" s="997"/>
      <c r="V132" s="997"/>
      <c r="W132" s="997"/>
      <c r="X132" s="997"/>
      <c r="Y132" s="1155"/>
      <c r="Z132" s="1000"/>
      <c r="AA132" s="1003"/>
      <c r="AB132" s="1000"/>
      <c r="AC132" s="1000"/>
      <c r="AD132" s="1000"/>
    </row>
    <row customHeight="1" ht="9">
      <c r="A133" s="999"/>
      <c r="B133" s="999"/>
      <c r="C133" s="997"/>
      <c r="D133" s="997"/>
      <c r="E133" s="997"/>
      <c r="F133" s="997"/>
      <c r="G133" s="997"/>
      <c r="H133" s="1045"/>
      <c r="I133" s="1045"/>
      <c r="J133" s="1045"/>
      <c r="K133" s="1045"/>
      <c r="L133" s="1045"/>
      <c r="M133" s="997"/>
      <c r="N133" s="1044"/>
      <c r="O133" s="1115"/>
      <c r="P133" s="1115"/>
      <c r="Q133" s="1115"/>
      <c r="R133" s="1115"/>
      <c r="S133" s="997"/>
      <c r="T133" s="997"/>
      <c r="U133" s="997"/>
      <c r="V133" s="997"/>
      <c r="W133" s="997"/>
      <c r="X133" s="997"/>
      <c r="Y133" s="1155"/>
      <c r="Z133" s="1000"/>
      <c r="AA133" s="1003"/>
      <c r="AB133" s="1000"/>
      <c r="AC133" s="1000"/>
      <c r="AD133" s="1000"/>
    </row>
    <row customHeight="1" ht="9">
      <c r="A134" s="999"/>
      <c r="B134" s="999"/>
      <c r="C134" s="997"/>
      <c r="D134" s="997"/>
      <c r="E134" s="997"/>
      <c r="F134" s="997"/>
      <c r="G134" s="997"/>
      <c r="H134" s="1045"/>
      <c r="I134" s="1045"/>
      <c r="J134" s="1045"/>
      <c r="K134" s="1045"/>
      <c r="L134" s="1045"/>
      <c r="M134" s="997"/>
      <c r="N134" s="1044"/>
      <c r="O134" s="1112"/>
      <c r="P134" s="1112"/>
      <c r="Q134" s="1112"/>
      <c r="R134" s="1112"/>
      <c r="S134" s="997"/>
      <c r="T134" s="997"/>
      <c r="U134" s="997"/>
      <c r="V134" s="997"/>
      <c r="W134" s="997"/>
      <c r="X134" s="997"/>
      <c r="Y134" s="1155"/>
      <c r="Z134" s="1000"/>
      <c r="AA134" s="1003"/>
      <c r="AB134" s="1000"/>
      <c r="AC134" s="1000"/>
      <c r="AD134" s="1000"/>
    </row>
    <row customHeight="1" ht="9">
      <c r="A135" s="999"/>
      <c r="B135" s="999"/>
      <c r="C135" s="997"/>
      <c r="D135" s="997"/>
      <c r="E135" s="997"/>
      <c r="F135" s="997"/>
      <c r="G135" s="997"/>
      <c r="H135" s="1045"/>
      <c r="I135" s="1045"/>
      <c r="J135" s="1045"/>
      <c r="K135" s="1045"/>
      <c r="L135" s="1045"/>
      <c r="M135" s="997"/>
      <c r="N135" s="1044"/>
      <c r="O135" s="1112"/>
      <c r="P135" s="1112"/>
      <c r="Q135" s="1112"/>
      <c r="R135" s="1112"/>
      <c r="S135" s="997"/>
      <c r="T135" s="997"/>
      <c r="U135" s="997"/>
      <c r="V135" s="997"/>
      <c r="W135" s="997"/>
      <c r="X135" s="997"/>
      <c r="Y135" s="1155"/>
      <c r="Z135" s="1000"/>
      <c r="AA135" s="1003"/>
      <c r="AB135" s="1000"/>
      <c r="AC135" s="1000"/>
      <c r="AD135" s="1000"/>
    </row>
    <row customHeight="1" ht="9">
      <c r="A136" s="999"/>
      <c r="B136" s="999"/>
      <c r="C136" s="997"/>
      <c r="D136" s="997"/>
      <c r="E136" s="997"/>
      <c r="F136" s="997"/>
      <c r="G136" s="997"/>
      <c r="H136" s="1045"/>
      <c r="I136" s="1045"/>
      <c r="J136" s="1045"/>
      <c r="K136" s="1045"/>
      <c r="L136" s="1045"/>
      <c r="M136" s="997"/>
      <c r="N136" s="1044"/>
      <c r="O136" s="1112"/>
      <c r="P136" s="1112"/>
      <c r="Q136" s="1112"/>
      <c r="R136" s="1112"/>
      <c r="S136" s="997"/>
      <c r="T136" s="997"/>
      <c r="U136" s="997"/>
      <c r="V136" s="997"/>
      <c r="W136" s="997"/>
      <c r="X136" s="997"/>
      <c r="Y136" s="1155"/>
      <c r="Z136" s="1000"/>
      <c r="AA136" s="1003"/>
      <c r="AB136" s="1000"/>
      <c r="AC136" s="1000"/>
      <c r="AD136" s="1000"/>
    </row>
    <row customHeight="1" ht="9">
      <c r="A137" s="999"/>
      <c r="B137" s="999"/>
      <c r="C137" s="997"/>
      <c r="D137" s="997"/>
      <c r="E137" s="997"/>
      <c r="F137" s="997"/>
      <c r="G137" s="997"/>
      <c r="H137" s="1045"/>
      <c r="I137" s="1045"/>
      <c r="J137" s="1045"/>
      <c r="K137" s="1045"/>
      <c r="L137" s="1045"/>
      <c r="M137" s="997"/>
      <c r="N137" s="1044"/>
      <c r="O137" s="1116"/>
      <c r="P137" s="1116"/>
      <c r="Q137" s="1116"/>
      <c r="R137" s="1116"/>
      <c r="S137" s="997"/>
      <c r="T137" s="997"/>
      <c r="U137" s="997"/>
      <c r="V137" s="997"/>
      <c r="W137" s="997"/>
      <c r="X137" s="997"/>
      <c r="Y137" s="1155"/>
      <c r="Z137" s="1000"/>
      <c r="AA137" s="1003"/>
      <c r="AB137" s="1000"/>
      <c r="AC137" s="1000"/>
      <c r="AD137" s="1000"/>
    </row>
    <row customHeight="1" ht="9">
      <c r="A138" s="999"/>
      <c r="B138" s="999"/>
      <c r="C138" s="997"/>
      <c r="D138" s="997"/>
      <c r="E138" s="997"/>
      <c r="F138" s="997"/>
      <c r="G138" s="997"/>
      <c r="H138" s="1045"/>
      <c r="I138" s="1045"/>
      <c r="J138" s="1045"/>
      <c r="K138" s="1045"/>
      <c r="L138" s="1045"/>
      <c r="M138" s="997"/>
      <c r="N138" s="1044"/>
      <c r="O138" s="1113"/>
      <c r="P138" s="1113"/>
      <c r="Q138" s="1113"/>
      <c r="R138" s="1113"/>
      <c r="S138" s="997"/>
      <c r="T138" s="997"/>
      <c r="U138" s="997"/>
      <c r="V138" s="997"/>
      <c r="W138" s="997"/>
      <c r="X138" s="997"/>
      <c r="Y138" s="1155"/>
      <c r="Z138" s="1000"/>
      <c r="AA138" s="1003"/>
      <c r="AB138" s="1000"/>
      <c r="AC138" s="1000"/>
      <c r="AD138" s="1000"/>
    </row>
    <row customHeight="1" ht="9">
      <c r="A139" s="999"/>
      <c r="B139" s="999"/>
      <c r="C139" s="997"/>
      <c r="D139" s="997"/>
      <c r="E139" s="997"/>
      <c r="F139" s="997"/>
      <c r="G139" s="997"/>
      <c r="H139" s="1045"/>
      <c r="I139" s="1045"/>
      <c r="J139" s="1045"/>
      <c r="K139" s="1045"/>
      <c r="L139" s="1045"/>
      <c r="M139" s="997"/>
      <c r="N139" s="1044"/>
      <c r="O139" s="997"/>
      <c r="P139" s="997"/>
      <c r="Q139" s="997"/>
      <c r="R139" s="997"/>
      <c r="S139" s="997"/>
      <c r="T139" s="997"/>
      <c r="U139" s="997"/>
      <c r="V139" s="997"/>
      <c r="W139" s="997"/>
      <c r="X139" s="997"/>
      <c r="Y139" s="1155"/>
      <c r="Z139" s="1000"/>
      <c r="AA139" s="1003"/>
      <c r="AB139" s="1000"/>
      <c r="AC139" s="1000"/>
      <c r="AD139" s="1000"/>
    </row>
    <row customHeight="1" ht="9">
      <c r="A140" s="999"/>
      <c r="B140" s="999"/>
      <c r="C140" s="997"/>
      <c r="D140" s="997"/>
      <c r="E140" s="997"/>
      <c r="F140" s="997"/>
      <c r="G140" s="997"/>
      <c r="H140" s="1045"/>
      <c r="I140" s="1045"/>
      <c r="J140" s="1045"/>
      <c r="K140" s="1045"/>
      <c r="L140" s="1045"/>
      <c r="M140" s="997"/>
      <c r="N140" s="1044"/>
      <c r="O140" s="997"/>
      <c r="P140" s="997"/>
      <c r="Q140" s="997"/>
      <c r="R140" s="997"/>
      <c r="S140" s="997"/>
      <c r="T140" s="997"/>
      <c r="U140" s="997"/>
      <c r="V140" s="997"/>
      <c r="W140" s="997"/>
      <c r="X140" s="997"/>
      <c r="Y140" s="1155"/>
      <c r="Z140" s="1000"/>
      <c r="AA140" s="1003"/>
      <c r="AB140" s="1000"/>
      <c r="AC140" s="1000"/>
      <c r="AD140" s="1000"/>
    </row>
    <row customHeight="1" ht="9">
      <c r="A141" s="999"/>
      <c r="B141" s="999"/>
      <c r="C141" s="997"/>
      <c r="D141" s="997"/>
      <c r="E141" s="997"/>
      <c r="F141" s="997"/>
      <c r="G141" s="997"/>
      <c r="H141" s="1045"/>
      <c r="I141" s="1045"/>
      <c r="J141" s="1045"/>
      <c r="K141" s="1045"/>
      <c r="L141" s="1045"/>
      <c r="M141" s="997"/>
      <c r="N141" s="1044"/>
      <c r="O141" s="997"/>
      <c r="P141" s="997"/>
      <c r="Q141" s="997"/>
      <c r="R141" s="997"/>
      <c r="S141" s="997"/>
      <c r="T141" s="997"/>
      <c r="U141" s="997"/>
      <c r="V141" s="997"/>
      <c r="W141" s="997"/>
      <c r="X141" s="997"/>
      <c r="Y141" s="1155"/>
      <c r="Z141" s="1000"/>
      <c r="AA141" s="1003"/>
      <c r="AB141" s="1000"/>
      <c r="AC141" s="1000"/>
      <c r="AD141" s="1000"/>
    </row>
    <row customHeight="1" ht="9">
      <c r="A142" s="999"/>
      <c r="B142" s="999"/>
      <c r="C142" s="997"/>
      <c r="D142" s="997"/>
      <c r="E142" s="997"/>
      <c r="F142" s="997"/>
      <c r="G142" s="997"/>
      <c r="H142" s="1045"/>
      <c r="I142" s="1045"/>
      <c r="J142" s="1045"/>
      <c r="K142" s="1045"/>
      <c r="L142" s="1045"/>
      <c r="M142" s="997"/>
      <c r="N142" s="1044"/>
      <c r="O142" s="997"/>
      <c r="P142" s="997"/>
      <c r="Q142" s="997"/>
      <c r="R142" s="997"/>
      <c r="S142" s="997"/>
      <c r="T142" s="997"/>
      <c r="U142" s="997"/>
      <c r="V142" s="997"/>
      <c r="W142" s="997"/>
      <c r="X142" s="997"/>
      <c r="Y142" s="1155"/>
      <c r="Z142" s="1000"/>
      <c r="AA142" s="1003"/>
      <c r="AB142" s="1000"/>
      <c r="AC142" s="1000"/>
      <c r="AD142" s="1000"/>
    </row>
    <row customHeight="1" ht="9">
      <c r="A143" s="999"/>
      <c r="B143" s="999"/>
      <c r="C143" s="997"/>
      <c r="D143" s="997"/>
      <c r="E143" s="997"/>
      <c r="F143" s="997"/>
      <c r="G143" s="997"/>
      <c r="H143" s="1045"/>
      <c r="I143" s="1045"/>
      <c r="J143" s="1045"/>
      <c r="K143" s="1045"/>
      <c r="L143" s="1045"/>
      <c r="M143" s="997"/>
      <c r="N143" s="1044"/>
      <c r="O143" s="997"/>
      <c r="P143" s="997"/>
      <c r="Q143" s="997"/>
      <c r="R143" s="997"/>
      <c r="S143" s="997"/>
      <c r="T143" s="997"/>
      <c r="U143" s="997"/>
      <c r="V143" s="997"/>
      <c r="W143" s="997"/>
      <c r="X143" s="997"/>
      <c r="Y143" s="1155"/>
      <c r="Z143" s="1000"/>
      <c r="AA143" s="1003"/>
      <c r="AB143" s="1000"/>
      <c r="AC143" s="1000"/>
      <c r="AD143" s="1000"/>
    </row>
    <row customHeight="1" ht="9">
      <c r="A144" s="999"/>
      <c r="B144" s="999"/>
      <c r="C144" s="997"/>
      <c r="D144" s="997"/>
      <c r="E144" s="997"/>
      <c r="F144" s="997"/>
      <c r="G144" s="997"/>
      <c r="H144" s="1045"/>
      <c r="I144" s="1045"/>
      <c r="J144" s="1045"/>
      <c r="K144" s="1045"/>
      <c r="L144" s="1045"/>
      <c r="M144" s="997"/>
      <c r="N144" s="1044"/>
      <c r="O144" s="997"/>
      <c r="P144" s="997"/>
      <c r="Q144" s="997"/>
      <c r="R144" s="997"/>
      <c r="S144" s="997"/>
      <c r="T144" s="997"/>
      <c r="U144" s="997"/>
      <c r="V144" s="997"/>
      <c r="W144" s="997"/>
      <c r="X144" s="997"/>
      <c r="Y144" s="1155"/>
      <c r="Z144" s="1000"/>
      <c r="AA144" s="1003"/>
      <c r="AB144" s="1000"/>
      <c r="AC144" s="1000"/>
      <c r="AD144" s="1000"/>
    </row>
    <row customHeight="1" ht="9">
      <c r="A145" s="999"/>
      <c r="B145" s="999"/>
      <c r="C145" s="997"/>
      <c r="D145" s="997"/>
      <c r="E145" s="997"/>
      <c r="F145" s="997"/>
      <c r="G145" s="997"/>
      <c r="H145" s="1045"/>
      <c r="I145" s="1045"/>
      <c r="J145" s="1045"/>
      <c r="K145" s="1045"/>
      <c r="L145" s="1045"/>
      <c r="M145" s="997"/>
      <c r="N145" s="1044"/>
      <c r="O145" s="997"/>
      <c r="P145" s="997"/>
      <c r="Q145" s="997"/>
      <c r="R145" s="997"/>
      <c r="S145" s="997"/>
      <c r="T145" s="997"/>
      <c r="U145" s="997"/>
      <c r="V145" s="997"/>
      <c r="W145" s="997"/>
      <c r="X145" s="997"/>
      <c r="Y145" s="1155"/>
      <c r="Z145" s="1000"/>
      <c r="AA145" s="1003"/>
      <c r="AB145" s="1000"/>
      <c r="AC145" s="1000"/>
      <c r="AD145" s="1000"/>
    </row>
    <row customHeight="1" ht="9">
      <c r="A146" s="999"/>
      <c r="B146" s="999"/>
      <c r="C146" s="997"/>
      <c r="D146" s="997"/>
      <c r="E146" s="997"/>
      <c r="F146" s="997"/>
      <c r="G146" s="997"/>
      <c r="H146" s="1045"/>
      <c r="I146" s="1045"/>
      <c r="J146" s="1045"/>
      <c r="K146" s="1045"/>
      <c r="L146" s="1045"/>
      <c r="M146" s="997"/>
      <c r="N146" s="1044"/>
      <c r="O146" s="997"/>
      <c r="P146" s="997"/>
      <c r="Q146" s="997"/>
      <c r="R146" s="997"/>
      <c r="S146" s="997"/>
      <c r="T146" s="997"/>
      <c r="U146" s="997"/>
      <c r="V146" s="997"/>
      <c r="W146" s="997"/>
      <c r="X146" s="997"/>
      <c r="Y146" s="1155"/>
      <c r="Z146" s="1000"/>
      <c r="AA146" s="1003"/>
      <c r="AB146" s="1000"/>
      <c r="AC146" s="1000"/>
      <c r="AD146" s="1000"/>
    </row>
    <row customHeight="1" ht="9">
      <c r="A147" s="999"/>
      <c r="B147" s="999"/>
      <c r="C147" s="999"/>
      <c r="D147" s="999"/>
      <c r="E147" s="999"/>
      <c r="F147" s="999"/>
      <c r="G147" s="999"/>
      <c r="H147" s="999"/>
      <c r="I147" s="999"/>
      <c r="J147" s="999"/>
      <c r="K147" s="999"/>
      <c r="L147" s="999"/>
      <c r="M147" s="999"/>
      <c r="N147" s="999"/>
      <c r="O147" s="999"/>
      <c r="P147" s="999"/>
      <c r="Q147" s="999"/>
      <c r="R147" s="999"/>
      <c r="S147" s="999"/>
      <c r="T147" s="999"/>
      <c r="U147" s="999"/>
      <c r="V147" s="999"/>
      <c r="W147" s="999"/>
      <c r="X147" s="999"/>
      <c r="Y147" s="999"/>
      <c r="Z147" s="999"/>
      <c r="AA147" s="999"/>
      <c r="AB147" s="999"/>
      <c r="AC147" s="999"/>
      <c r="AD147" s="999"/>
    </row>
    <row customHeight="1" ht="90">
      <c r="A148" s="999" t="s">
        <v>1576</v>
      </c>
      <c r="B148" s="999"/>
      <c r="C148" s="997" t="s">
        <v>2147</v>
      </c>
      <c r="D148" s="997" t="s">
        <v>1478</v>
      </c>
      <c r="E148" s="997" t="s">
        <v>1578</v>
      </c>
      <c r="F148" s="997" t="s">
        <v>2148</v>
      </c>
      <c r="G148" s="997"/>
      <c r="H148" s="997"/>
      <c r="I148" s="1118"/>
      <c r="J148" s="1118"/>
      <c r="K148" s="1118"/>
      <c r="L148" s="1118"/>
      <c r="M148" s="1047" t="str">
        <f>IF(TEMPLATE_SPHERE="HEAT",T148,IF(TEMPLATE_SPHERE="TKO",X148,U148))</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горячего водоснабжения</v>
      </c>
      <c r="N148" s="1002"/>
      <c r="O148" s="997"/>
      <c r="P148" s="998"/>
      <c r="Q148" s="998"/>
      <c r="R148" s="998"/>
      <c r="S148" s="997"/>
      <c r="T148" s="997" t="s">
        <v>2149</v>
      </c>
      <c r="U148" s="998" t="str">
        <f>"Сведения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"&amp;TEMPLATE_SPHERE_RUS</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горячего водоснабжения</v>
      </c>
      <c r="V148" s="998"/>
      <c r="W148" s="998"/>
      <c r="X148" s="997" t="s">
        <v>2150</v>
      </c>
      <c r="Y148" s="1155"/>
      <c r="Z148" s="1000"/>
      <c r="AA148" s="1003"/>
      <c r="AB148" s="1000"/>
      <c r="AC148" s="1000"/>
      <c r="AD148" s="1000"/>
    </row>
    <row customHeight="1" ht="9">
      <c r="A149" s="999"/>
      <c r="B149" s="999"/>
      <c r="C149" s="999"/>
      <c r="D149" s="999"/>
      <c r="E149" s="999"/>
      <c r="F149" s="999"/>
      <c r="G149" s="999"/>
      <c r="H149" s="999"/>
      <c r="I149" s="999"/>
      <c r="J149" s="999"/>
      <c r="K149" s="999"/>
      <c r="L149" s="999"/>
      <c r="M149" s="999"/>
      <c r="N149" s="999"/>
      <c r="O149" s="999"/>
      <c r="P149" s="999"/>
      <c r="Q149" s="999"/>
      <c r="R149" s="999"/>
      <c r="S149" s="999"/>
      <c r="T149" s="999"/>
      <c r="U149" s="999"/>
      <c r="V149" s="999"/>
      <c r="W149" s="999"/>
      <c r="X149" s="999"/>
      <c r="Y149" s="999"/>
      <c r="Z149" s="999"/>
      <c r="AA149" s="999"/>
      <c r="AB149" s="999"/>
      <c r="AC149" s="999"/>
      <c r="AD149" s="999"/>
    </row>
    <row customHeight="1" ht="9">
      <c r="A150" s="999" t="s">
        <v>1580</v>
      </c>
      <c r="B150" s="999"/>
      <c r="C150" s="997"/>
      <c r="D150" s="997"/>
      <c r="E150" s="997"/>
      <c r="F150" s="997"/>
      <c r="G150" s="997"/>
      <c r="H150" s="997"/>
      <c r="I150" s="997"/>
      <c r="J150" s="997"/>
      <c r="K150" s="997"/>
      <c r="L150" s="997"/>
      <c r="M150" s="997"/>
      <c r="N150" s="997"/>
      <c r="O150" s="997"/>
      <c r="P150" s="997"/>
      <c r="Q150" s="997"/>
      <c r="R150" s="997"/>
      <c r="S150" s="997"/>
      <c r="T150" s="997"/>
      <c r="U150" s="997"/>
      <c r="V150" s="997"/>
      <c r="W150" s="997"/>
      <c r="X150" s="997"/>
      <c r="Y150" s="1155"/>
      <c r="Z150" s="1000"/>
      <c r="AA150" s="1003"/>
      <c r="AB150" s="1000"/>
      <c r="AC150" s="1000"/>
      <c r="AD150" s="1000"/>
    </row>
    <row customHeight="1" ht="9">
      <c r="A151" s="999"/>
      <c r="B151" s="999"/>
      <c r="C151" s="999"/>
      <c r="D151" s="999"/>
      <c r="E151" s="999"/>
      <c r="F151" s="999"/>
      <c r="G151" s="999"/>
      <c r="H151" s="999"/>
      <c r="I151" s="999"/>
      <c r="J151" s="999"/>
      <c r="K151" s="999"/>
      <c r="L151" s="999"/>
      <c r="M151" s="999"/>
      <c r="N151" s="999"/>
      <c r="O151" s="999"/>
      <c r="P151" s="999"/>
      <c r="Q151" s="999"/>
      <c r="R151" s="999"/>
      <c r="S151" s="999"/>
      <c r="T151" s="999"/>
      <c r="U151" s="999"/>
      <c r="V151" s="999"/>
      <c r="W151" s="999"/>
      <c r="X151" s="999"/>
      <c r="Y151" s="999"/>
      <c r="Z151" s="999"/>
      <c r="AA151" s="999"/>
      <c r="AB151" s="999"/>
      <c r="AC151" s="999"/>
      <c r="AD151" s="999"/>
    </row>
    <row customHeight="1" ht="9">
      <c r="A152" s="999" t="s">
        <v>1583</v>
      </c>
      <c r="B152" s="999"/>
      <c r="C152" s="997"/>
      <c r="D152" s="997"/>
      <c r="E152" s="997"/>
      <c r="F152" s="997"/>
      <c r="G152" s="997"/>
      <c r="H152" s="997"/>
      <c r="I152" s="997"/>
      <c r="J152" s="997"/>
      <c r="K152" s="997"/>
      <c r="L152" s="997"/>
      <c r="M152" s="997"/>
      <c r="N152" s="997"/>
      <c r="O152" s="997"/>
      <c r="P152" s="997"/>
      <c r="Q152" s="997"/>
      <c r="R152" s="997"/>
      <c r="S152" s="997"/>
      <c r="T152" s="997"/>
      <c r="U152" s="997"/>
      <c r="V152" s="997"/>
      <c r="W152" s="997"/>
      <c r="X152" s="997"/>
      <c r="Y152" s="1155"/>
      <c r="Z152" s="1000"/>
      <c r="AA152" s="1003"/>
      <c r="AB152" s="1000"/>
      <c r="AC152" s="1000"/>
      <c r="AD152" s="1000"/>
    </row>
    <row customHeight="1" ht="9">
      <c r="A153" s="999"/>
      <c r="B153" s="999"/>
      <c r="C153" s="999"/>
      <c r="D153" s="999"/>
      <c r="E153" s="999"/>
      <c r="F153" s="999"/>
      <c r="G153" s="999"/>
      <c r="H153" s="999"/>
      <c r="I153" s="999"/>
      <c r="J153" s="999"/>
      <c r="K153" s="999"/>
      <c r="L153" s="999"/>
      <c r="M153" s="999"/>
      <c r="N153" s="999"/>
      <c r="O153" s="999"/>
      <c r="P153" s="999"/>
      <c r="Q153" s="999"/>
      <c r="R153" s="999"/>
      <c r="S153" s="999"/>
      <c r="T153" s="999"/>
      <c r="U153" s="999"/>
      <c r="V153" s="999"/>
      <c r="W153" s="999"/>
      <c r="X153" s="999"/>
      <c r="Y153" s="999"/>
      <c r="Z153" s="999"/>
      <c r="AA153" s="999"/>
      <c r="AB153" s="999"/>
      <c r="AC153" s="999"/>
      <c r="AD153" s="999"/>
    </row>
    <row customHeight="1" ht="9">
      <c r="A154" s="999" t="s">
        <v>1588</v>
      </c>
      <c r="B154" s="999"/>
      <c r="C154" s="997"/>
      <c r="D154" s="997"/>
      <c r="E154" s="997"/>
      <c r="F154" s="997"/>
      <c r="G154" s="997"/>
      <c r="H154" s="997"/>
      <c r="I154" s="997"/>
      <c r="J154" s="997"/>
      <c r="K154" s="997"/>
      <c r="L154" s="997"/>
      <c r="M154" s="997"/>
      <c r="N154" s="997"/>
      <c r="O154" s="997"/>
      <c r="P154" s="997"/>
      <c r="Q154" s="997"/>
      <c r="R154" s="997"/>
      <c r="S154" s="997"/>
      <c r="T154" s="997"/>
      <c r="U154" s="997"/>
      <c r="V154" s="997"/>
      <c r="W154" s="997"/>
      <c r="X154" s="997"/>
      <c r="Y154" s="1155"/>
      <c r="Z154" s="1000"/>
      <c r="AA154" s="1003"/>
      <c r="AB154" s="1000"/>
      <c r="AC154" s="1000"/>
      <c r="AD154" s="1000"/>
    </row>
  </sheetData>
  <sheetProtection sort="0" autoFilter="0" insertRows="0" insertColumns="1" deleteRows="0" deleteColumns="0"/>
  <mergeCells count="12">
    <mergeCell ref="T1:X1"/>
    <mergeCell ref="Z1:AD1"/>
    <mergeCell ref="A11:A15"/>
    <mergeCell ref="H13:H14"/>
    <mergeCell ref="H15:H16"/>
    <mergeCell ref="C3:F3"/>
    <mergeCell ref="C11:C16"/>
    <mergeCell ref="D11:D16"/>
    <mergeCell ref="E11:E16"/>
    <mergeCell ref="F11:F16"/>
    <mergeCell ref="G11:G16"/>
    <mergeCell ref="O1:S1"/>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5502D91-D422-93C9-56E7-87F4D5838FB6}" mc:Ignorable="x14ac xr xr2 xr3">
  <sheetPr>
    <tabColor theme="6" tint="0.4"/>
  </sheetPr>
  <dimension ref="A1:AC40"/>
  <sheetViews>
    <sheetView topLeftCell="A1" showGridLines="0" workbookViewId="0">
      <selection activeCell="A1" sqref="A1"/>
    </sheetView>
  </sheetViews>
  <sheetFormatPr defaultColWidth="10.57421875" customHeight="1" defaultRowHeight="14.25"/>
  <cols>
    <col min="1" max="1" style="8721" width="10.57421875" hidden="1"/>
    <col min="2" max="2" style="8721" width="11.00390625" hidden="1" customWidth="1"/>
    <col min="3" max="3" style="8721" width="10.57421875" hidden="1"/>
    <col min="4" max="4" style="8721" width="11.8515625" hidden="1" customWidth="1"/>
    <col min="5" max="5" style="8721" width="12.28125" hidden="1" customWidth="1"/>
    <col min="6" max="8" style="8803" width="12.28125" hidden="1" customWidth="1"/>
    <col min="9" max="9" style="10520" width="3.7109375" customWidth="1"/>
    <col min="10" max="11" style="8805" width="3.7109375" customWidth="1"/>
    <col min="12" max="12" style="8806" width="12.7109375" customWidth="1"/>
    <col min="13" max="13" style="8807" width="32.00390625" customWidth="1"/>
    <col min="14" max="14" style="8807" width="1.7109375" customWidth="1"/>
    <col min="15" max="18" style="8807" width="24.7109375" customWidth="1"/>
    <col min="19" max="19" style="8807" width="11.7109375" customWidth="1"/>
    <col min="20" max="20" style="8807" width="3.7109375" customWidth="1"/>
    <col min="21" max="21" style="8807" width="11.7109375" customWidth="1"/>
    <col min="22" max="22" style="8807" width="8.57421875" customWidth="1"/>
    <col min="23" max="23" style="8807" width="4.7109375" customWidth="1"/>
    <col min="24" max="24" style="8807" width="115.7109375" customWidth="1"/>
    <col min="25" max="26" style="8794" width="10.57421875"/>
    <col min="27" max="27" style="8794" width="11.140625" customWidth="1"/>
    <col min="28" max="29" style="8794" width="10.57421875"/>
  </cols>
  <sheetData>
    <row customHeight="1" ht="14.25" hidden="1">
      <c r="R1" s="481"/>
      <c r="S1" s="481"/>
    </row>
    <row customHeight="1" ht="14.25" hidden="1">
      <c r="V2" s="481"/>
    </row>
    <row customHeight="1" ht="14.25" hidden="1"/>
    <row customHeight="1" ht="14.25">
      <c r="J4" s="530"/>
      <c r="K4" s="530"/>
      <c r="L4" s="1434"/>
      <c r="M4" s="517"/>
      <c r="N4" s="517"/>
      <c r="O4" s="663"/>
      <c r="P4" s="663"/>
      <c r="Q4" s="663"/>
      <c r="R4" s="663"/>
      <c r="S4" s="663"/>
      <c r="T4" s="663"/>
      <c r="U4" s="663"/>
      <c r="V4" s="663"/>
    </row>
    <row customHeight="1" ht="64.5">
      <c r="J5" s="530"/>
      <c r="K5" s="530"/>
      <c r="L5" s="2658" t="s">
        <v>2151</v>
      </c>
      <c r="M5" s="2658"/>
      <c r="N5" s="2658"/>
      <c r="O5" s="2658"/>
      <c r="P5" s="2658"/>
      <c r="Q5" s="2658"/>
      <c r="R5" s="2658"/>
      <c r="S5" s="2658"/>
      <c r="T5" s="2658"/>
      <c r="U5" s="2658"/>
      <c r="V5" s="1401"/>
    </row>
    <row customHeight="1" ht="14.25">
      <c r="J6" s="530"/>
      <c r="K6" s="530"/>
      <c r="L6" s="2659" t="str">
        <f>IF(org=0,"Не определено",org)</f>
        <v>АО "Теплокоммунэнерго"</v>
      </c>
      <c r="M6" s="2659"/>
      <c r="N6" s="2659"/>
      <c r="O6" s="2659"/>
      <c r="P6" s="2659"/>
      <c r="Q6" s="2659"/>
      <c r="R6" s="2659"/>
      <c r="S6" s="2659"/>
      <c r="T6" s="2659"/>
      <c r="U6" s="2659"/>
      <c r="V6" s="1401"/>
    </row>
    <row customHeight="1" ht="14.25">
      <c r="J7" s="530"/>
      <c r="K7" s="530"/>
      <c r="L7" s="1434"/>
      <c r="M7" s="517"/>
      <c r="N7" s="517"/>
      <c r="O7" s="476"/>
      <c r="P7" s="476"/>
      <c r="Q7" s="476"/>
      <c r="R7" s="476"/>
      <c r="S7" s="476"/>
      <c r="T7" s="476"/>
      <c r="U7" s="476"/>
      <c r="V7" s="476"/>
      <c r="W7" s="663"/>
    </row>
    <row s="8735" customFormat="1" customHeight="1" ht="45">
      <c r="A8" s="1527"/>
      <c r="B8" s="1527"/>
      <c r="C8" s="1527"/>
      <c r="D8" s="1527"/>
      <c r="E8" s="1527"/>
      <c r="F8" s="1527"/>
      <c r="G8" s="1527"/>
      <c r="H8" s="1527"/>
      <c r="L8" s="1435"/>
      <c r="M8" s="449" t="s">
        <v>38</v>
      </c>
      <c r="N8" s="458"/>
      <c r="O8" s="2313" t="str">
        <f>IF(TITLE_NAME_OR_PR_CHANGE="",IF(TITLE_NAME_OR_PR="","",TITLE_NAME_OR_PR),TITLE_NAME_OR_PR_CHANGE)</f>
        <v>Региональная служба по тарифам Ростовской области</v>
      </c>
      <c r="P8" s="2313"/>
      <c r="Q8" s="2313"/>
      <c r="R8" s="2313"/>
      <c r="S8" s="2313"/>
      <c r="T8" s="2313"/>
      <c r="U8" s="2313"/>
      <c r="V8" s="480"/>
      <c r="W8" s="480"/>
      <c r="X8" s="434"/>
      <c r="Y8" s="522"/>
      <c r="Z8" s="522"/>
      <c r="AA8" s="522"/>
      <c r="AB8" s="522"/>
      <c r="AC8" s="522"/>
    </row>
    <row s="8735" customFormat="1" customHeight="1" ht="22.5">
      <c r="A9" s="1527"/>
      <c r="B9" s="1527"/>
      <c r="C9" s="1527"/>
      <c r="D9" s="1527"/>
      <c r="E9" s="1527"/>
      <c r="F9" s="1527"/>
      <c r="G9" s="1527"/>
      <c r="H9" s="1527"/>
      <c r="L9" s="1435"/>
      <c r="M9" s="449" t="s">
        <v>421</v>
      </c>
      <c r="N9" s="458"/>
      <c r="O9" s="2313" t="str">
        <f>IF(TITLE_DATE_CHANGE_PERIOD="",IF(TITLE_DATE_PR="","",TITLE_DATE_PR),TITLE_DATE_CHANGE_PERIOD)</f>
        <v>45279</v>
      </c>
      <c r="P9" s="2313"/>
      <c r="Q9" s="2313"/>
      <c r="R9" s="2313"/>
      <c r="S9" s="2313"/>
      <c r="T9" s="2313"/>
      <c r="U9" s="2313"/>
      <c r="V9" s="480"/>
      <c r="W9" s="480"/>
      <c r="X9" s="434"/>
      <c r="Y9" s="522"/>
      <c r="Z9" s="522"/>
      <c r="AA9" s="522"/>
      <c r="AB9" s="522"/>
      <c r="AC9" s="522"/>
    </row>
    <row s="8735" customFormat="1" customHeight="1" ht="22.5">
      <c r="A10" s="1527"/>
      <c r="B10" s="1527"/>
      <c r="C10" s="1527"/>
      <c r="D10" s="1527"/>
      <c r="E10" s="1527"/>
      <c r="F10" s="1527"/>
      <c r="G10" s="1527"/>
      <c r="H10" s="1527"/>
      <c r="L10" s="1408"/>
      <c r="M10" s="449" t="s">
        <v>422</v>
      </c>
      <c r="N10" s="458"/>
      <c r="O10" s="2313" t="str">
        <f>IF(TITLE_NUMBER_PR_CHANGE="",IF(TITLE_NUMBER_PR="","",TITLE_NUMBER_PR),TITLE_NUMBER_PR_CHANGE)</f>
        <v>877</v>
      </c>
      <c r="P10" s="2313"/>
      <c r="Q10" s="2313"/>
      <c r="R10" s="2313"/>
      <c r="S10" s="2313"/>
      <c r="T10" s="2313"/>
      <c r="U10" s="2313"/>
      <c r="V10" s="480"/>
      <c r="W10" s="480"/>
      <c r="X10" s="434"/>
      <c r="Y10" s="522"/>
      <c r="Z10" s="522"/>
      <c r="AA10" s="522"/>
      <c r="AB10" s="522"/>
      <c r="AC10" s="522"/>
    </row>
    <row s="8735" customFormat="1" customHeight="1" ht="22.5">
      <c r="A11" s="1527"/>
      <c r="B11" s="1527"/>
      <c r="C11" s="1527"/>
      <c r="D11" s="1527"/>
      <c r="E11" s="1527"/>
      <c r="F11" s="1527"/>
      <c r="G11" s="1527"/>
      <c r="H11" s="1527"/>
      <c r="L11" s="1408"/>
      <c r="M11" s="449" t="s">
        <v>40</v>
      </c>
      <c r="N11" s="458"/>
      <c r="O11" s="2313" t="str">
        <f>IF(TITLE_IST_PUB_CHANGE="",IF(TITLE_IST_PUB="","",TITLE_IST_PUB),TITLE_IST_PUB_CHANGE)</f>
        <v>Официальный портал правовой информации Ростовской области</v>
      </c>
      <c r="P11" s="2313"/>
      <c r="Q11" s="2313"/>
      <c r="R11" s="2313"/>
      <c r="S11" s="2313"/>
      <c r="T11" s="2313"/>
      <c r="U11" s="2313"/>
      <c r="V11" s="480"/>
      <c r="W11" s="480"/>
      <c r="X11" s="434"/>
      <c r="Y11" s="522"/>
      <c r="Z11" s="522"/>
      <c r="AA11" s="522"/>
      <c r="AB11" s="522"/>
      <c r="AC11" s="522"/>
    </row>
    <row s="8735" customFormat="1" customHeight="1" ht="11.25" hidden="1">
      <c r="A12" s="1527"/>
      <c r="B12" s="1527"/>
      <c r="C12" s="1527"/>
      <c r="D12" s="1527"/>
      <c r="E12" s="1527"/>
      <c r="F12" s="1527"/>
      <c r="G12" s="1527"/>
      <c r="H12" s="1527"/>
      <c r="L12" s="2657"/>
      <c r="M12" s="2657"/>
      <c r="N12" s="1446"/>
      <c r="O12" s="480"/>
      <c r="P12" s="480"/>
      <c r="Q12" s="480"/>
      <c r="R12" s="480"/>
      <c r="S12" s="480"/>
      <c r="T12" s="480"/>
      <c r="U12" s="480"/>
      <c r="V12" s="432" t="s">
        <v>425</v>
      </c>
      <c r="Y12" s="522"/>
      <c r="Z12" s="522"/>
      <c r="AA12" s="522"/>
      <c r="AB12" s="522"/>
      <c r="AC12" s="522"/>
    </row>
    <row customHeight="1" ht="14.25">
      <c r="J13" s="530"/>
      <c r="K13" s="530"/>
      <c r="L13" s="1434"/>
      <c r="M13" s="517"/>
      <c r="N13" s="1402"/>
      <c r="O13" s="2337"/>
      <c r="P13" s="2337"/>
      <c r="Q13" s="2337"/>
      <c r="R13" s="2337"/>
      <c r="S13" s="2337"/>
      <c r="T13" s="2337"/>
      <c r="U13" s="2337"/>
      <c r="V13" s="2337"/>
    </row>
    <row customHeight="1" ht="14.25">
      <c r="J14" s="530"/>
      <c r="K14" s="530"/>
      <c r="L14" s="2185" t="s">
        <v>300</v>
      </c>
      <c r="M14" s="2185"/>
      <c r="N14" s="2185"/>
      <c r="O14" s="2185"/>
      <c r="P14" s="2185"/>
      <c r="Q14" s="2185"/>
      <c r="R14" s="2185"/>
      <c r="S14" s="2185"/>
      <c r="T14" s="2185"/>
      <c r="U14" s="2185"/>
      <c r="V14" s="2185"/>
      <c r="W14" s="2185"/>
      <c r="X14" s="2185" t="s">
        <v>301</v>
      </c>
    </row>
    <row customHeight="1" ht="14.25">
      <c r="J15" s="530"/>
      <c r="K15" s="530"/>
      <c r="L15" s="2338" t="s">
        <v>85</v>
      </c>
      <c r="M15" s="2275" t="s">
        <v>426</v>
      </c>
      <c r="N15" s="455"/>
      <c r="O15" s="2339" t="s">
        <v>2152</v>
      </c>
      <c r="P15" s="2340"/>
      <c r="Q15" s="2340"/>
      <c r="R15" s="2340"/>
      <c r="S15" s="2340"/>
      <c r="T15" s="2340"/>
      <c r="U15" s="2341"/>
      <c r="V15" s="2342" t="s">
        <v>428</v>
      </c>
      <c r="W15" s="2345" t="s">
        <v>1063</v>
      </c>
      <c r="X15" s="2185"/>
    </row>
    <row customHeight="1" ht="33.75">
      <c r="J16" s="530"/>
      <c r="K16" s="530"/>
      <c r="L16" s="2338"/>
      <c r="M16" s="2275"/>
      <c r="N16" s="1186"/>
      <c r="O16" s="2348" t="s">
        <v>431</v>
      </c>
      <c r="P16" s="2348" t="s">
        <v>432</v>
      </c>
      <c r="Q16" s="2331" t="s">
        <v>433</v>
      </c>
      <c r="R16" s="2333"/>
      <c r="S16" s="2331" t="s">
        <v>446</v>
      </c>
      <c r="T16" s="2332"/>
      <c r="U16" s="2333"/>
      <c r="V16" s="2343"/>
      <c r="W16" s="2346"/>
      <c r="X16" s="2185"/>
    </row>
    <row customHeight="1" ht="33.75">
      <c r="A17" s="1529" t="s">
        <v>131</v>
      </c>
      <c r="B17" s="1529" t="s">
        <v>132</v>
      </c>
      <c r="C17" s="1529" t="s">
        <v>133</v>
      </c>
      <c r="D17" s="1529" t="s">
        <v>134</v>
      </c>
      <c r="E17" s="1529"/>
      <c r="J17" s="530"/>
      <c r="K17" s="530"/>
      <c r="L17" s="2338"/>
      <c r="M17" s="2275"/>
      <c r="N17" s="456"/>
      <c r="O17" s="2349"/>
      <c r="P17" s="2349"/>
      <c r="Q17" s="1380" t="s">
        <v>442</v>
      </c>
      <c r="R17" s="1380" t="s">
        <v>443</v>
      </c>
      <c r="S17" s="1451" t="s">
        <v>444</v>
      </c>
      <c r="T17" s="2334" t="s">
        <v>445</v>
      </c>
      <c r="U17" s="2335"/>
      <c r="V17" s="2344"/>
      <c r="W17" s="2347"/>
      <c r="X17" s="2185"/>
    </row>
    <row s="8552" customFormat="1" customHeight="1" ht="11.25">
      <c r="A18" s="1529"/>
      <c r="B18" s="1529"/>
      <c r="C18" s="1529"/>
      <c r="D18" s="1529"/>
      <c r="E18" s="1529"/>
      <c r="F18" s="1521"/>
      <c r="G18" s="1521"/>
      <c r="H18" s="1521"/>
      <c r="I18" s="1404"/>
      <c r="J18" s="1405"/>
      <c r="K18" s="1412">
        <v>1</v>
      </c>
      <c r="L18" s="1436" t="s">
        <v>106</v>
      </c>
      <c r="M18" s="1413" t="s">
        <v>107</v>
      </c>
      <c r="N18" s="1403" t="str">
        <f>OFFSET(N18,0,-1)</f>
        <v>2</v>
      </c>
      <c r="O18" s="1448">
        <f>OFFSET(O18,0,-1)+1</f>
        <v>3</v>
      </c>
      <c r="P18" s="1448"/>
      <c r="Q18" s="1448">
        <f>OFFSET(Q18,0,-1)+1</f>
        <v>1</v>
      </c>
      <c r="R18" s="1448">
        <f>OFFSET(R18,0,-1)+1</f>
        <v>2</v>
      </c>
      <c r="S18" s="1448">
        <f>OFFSET(S18,0,-1)+1</f>
        <v>3</v>
      </c>
      <c r="T18" s="2336">
        <f>OFFSET(T18,0,-1)+1</f>
        <v>4</v>
      </c>
      <c r="U18" s="2336"/>
      <c r="V18" s="1448">
        <f>OFFSET(V18,0,-2)+1</f>
        <v>5</v>
      </c>
      <c r="W18" s="1403">
        <f>OFFSET(W18,0,-1)</f>
        <v>5</v>
      </c>
      <c r="X18" s="1448">
        <f>OFFSET(X18,0,-1)+1</f>
        <v>6</v>
      </c>
      <c r="Y18" s="665"/>
      <c r="Z18" s="665"/>
      <c r="AA18" s="665"/>
      <c r="AB18" s="665"/>
      <c r="AC18" s="665"/>
    </row>
    <row customHeight="1" ht="21">
      <c r="A19" s="1522" t="s">
        <v>165</v>
      </c>
      <c r="B19" s="1522" t="s">
        <v>166</v>
      </c>
      <c r="C19" s="1522" t="s">
        <v>167</v>
      </c>
      <c r="D19" s="1522" t="s">
        <v>168</v>
      </c>
      <c r="E19" s="1522"/>
      <c r="F19" s="1524"/>
      <c r="G19" s="1524"/>
      <c r="H19" s="1524"/>
      <c r="I19" s="515"/>
      <c r="J19" s="514"/>
      <c r="K19" s="509"/>
      <c r="L19" s="1452">
        <f>INDEX(PT_DIFFERENTIATION_NUM_NTAR,MATCH(A19,PT_DIFFERENTIATION_NTAR_ID,0))</f>
        <v>0</v>
      </c>
      <c r="M19" s="452" t="s">
        <v>120</v>
      </c>
      <c r="N19" s="454"/>
      <c r="O19" s="2651" t="str">
        <f>INDEX(PT_DIFFERENTIATION_NTAR,MATCH(A19,PT_DIFFERENTIATION_NTAR_ID,0))</f>
        <v/>
      </c>
      <c r="P19" s="2651"/>
      <c r="Q19" s="2651"/>
      <c r="R19" s="2651"/>
      <c r="S19" s="2651"/>
      <c r="T19" s="2651"/>
      <c r="U19" s="2651"/>
      <c r="V19" s="2651"/>
      <c r="W19" s="2651"/>
      <c r="X19" s="1416" t="s">
        <v>396</v>
      </c>
      <c r="Z19" s="654"/>
      <c r="AA19" s="654" t="str">
        <f>IF(M19="","",M19)</f>
        <v>Наименование тарифа</v>
      </c>
      <c r="AB19" s="654"/>
      <c r="AC19" s="654"/>
    </row>
    <row customHeight="1" ht="21">
      <c r="A20" s="1522" t="s">
        <v>165</v>
      </c>
      <c r="B20" s="1522" t="s">
        <v>166</v>
      </c>
      <c r="C20" s="1522" t="s">
        <v>167</v>
      </c>
      <c r="D20" s="1522" t="s">
        <v>168</v>
      </c>
      <c r="E20" s="1522"/>
      <c r="F20" s="1524"/>
      <c r="G20" s="1524"/>
      <c r="H20" s="1524"/>
      <c r="I20" s="1449"/>
      <c r="J20" s="506"/>
      <c r="K20" s="507"/>
      <c r="L20" s="1452" t="str">
        <f>INDEX(PT_DIFFERENTIATION_NUM_TER,MATCH(B19,PT_DIFFERENTIATION_TER_ID,0))</f>
        <v>.</v>
      </c>
      <c r="M20" s="462" t="s">
        <v>397</v>
      </c>
      <c r="N20" s="454"/>
      <c r="O20" s="2651" t="str">
        <f>INDEX(PT_DIFFERENTIATION_TER,MATCH(B19,PT_DIFFERENTIATION_TER_ID,0))</f>
        <v/>
      </c>
      <c r="P20" s="2651"/>
      <c r="Q20" s="2651"/>
      <c r="R20" s="2651"/>
      <c r="S20" s="2651"/>
      <c r="T20" s="2651"/>
      <c r="U20" s="2651"/>
      <c r="V20" s="2651"/>
      <c r="W20" s="2651"/>
      <c r="X20" s="1416" t="s">
        <v>398</v>
      </c>
      <c r="Z20" s="654"/>
      <c r="AA20" s="654" t="str">
        <f>IF(M20="","",M20)</f>
        <v>Территория действия тарифа</v>
      </c>
      <c r="AB20" s="654"/>
      <c r="AC20" s="654"/>
    </row>
    <row customHeight="1" ht="22.5">
      <c r="A21" s="1522" t="s">
        <v>165</v>
      </c>
      <c r="B21" s="1522" t="s">
        <v>166</v>
      </c>
      <c r="C21" s="1522" t="s">
        <v>167</v>
      </c>
      <c r="D21" s="1522" t="s">
        <v>168</v>
      </c>
      <c r="E21" s="1522"/>
      <c r="F21" s="1524"/>
      <c r="G21" s="1524"/>
      <c r="H21" s="1524"/>
      <c r="I21" s="508"/>
      <c r="J21" s="506"/>
      <c r="K21" s="507"/>
      <c r="L21" s="1452" t="str">
        <f>INDEX(PT_DIFFERENTIATION_NUM_CS,MATCH(C19,PT_DIFFERENTIATION_CS_ID,0))</f>
        <v>..</v>
      </c>
      <c r="M21" s="463" t="s">
        <v>399</v>
      </c>
      <c r="N21" s="454"/>
      <c r="O21" s="2651" t="str">
        <f>INDEX(PT_DIFFERENTIATION_CS,MATCH(C19,PT_DIFFERENTIATION_CS_ID,0))</f>
        <v/>
      </c>
      <c r="P21" s="2651"/>
      <c r="Q21" s="2651"/>
      <c r="R21" s="2651"/>
      <c r="S21" s="2651"/>
      <c r="T21" s="2651"/>
      <c r="U21" s="2651"/>
      <c r="V21" s="2651"/>
      <c r="W21" s="2651"/>
      <c r="X21" s="1416" t="s">
        <v>400</v>
      </c>
      <c r="Z21" s="654"/>
      <c r="AA21" s="654" t="str">
        <f>IF(M21="","",M21)</f>
        <v>Наименование системы теплоснабжения </v>
      </c>
      <c r="AB21" s="654"/>
      <c r="AC21" s="654"/>
    </row>
    <row customHeight="1" ht="21">
      <c r="A22" s="1522" t="s">
        <v>165</v>
      </c>
      <c r="B22" s="1522" t="s">
        <v>166</v>
      </c>
      <c r="C22" s="1522" t="s">
        <v>167</v>
      </c>
      <c r="D22" s="1522" t="s">
        <v>168</v>
      </c>
      <c r="E22" s="1522"/>
      <c r="F22" s="1524"/>
      <c r="G22" s="1524"/>
      <c r="H22" s="1524"/>
      <c r="I22" s="508"/>
      <c r="J22" s="506"/>
      <c r="K22" s="507"/>
      <c r="L22" s="1452" t="str">
        <f>INDEX(PT_DIFFERENTIATION_NUM_IST_TE,MATCH(D19,PT_DIFFERENTIATION_IST_TE_ID,0))</f>
        <v>...</v>
      </c>
      <c r="M22" s="464" t="s">
        <v>401</v>
      </c>
      <c r="N22" s="454"/>
      <c r="O22" s="2651" t="str">
        <f>INDEX(PT_DIFFERENTIATION_IST_TE,MATCH(D19,PT_DIFFERENTIATION_IST_TE_ID,0))</f>
        <v/>
      </c>
      <c r="P22" s="2651"/>
      <c r="Q22" s="2651"/>
      <c r="R22" s="2651"/>
      <c r="S22" s="2651"/>
      <c r="T22" s="2651"/>
      <c r="U22" s="2651"/>
      <c r="V22" s="2651"/>
      <c r="W22" s="2651"/>
      <c r="X22" s="1416" t="s">
        <v>402</v>
      </c>
      <c r="Z22" s="654"/>
      <c r="AA22" s="654" t="str">
        <f>IF(M22="","",M22)</f>
        <v>Источник тепловой энергии  </v>
      </c>
      <c r="AB22" s="654"/>
      <c r="AC22" s="654"/>
    </row>
    <row customHeight="1" ht="94.5">
      <c r="A23" s="1522" t="s">
        <v>165</v>
      </c>
      <c r="B23" s="1522" t="s">
        <v>166</v>
      </c>
      <c r="C23" s="1522" t="s">
        <v>167</v>
      </c>
      <c r="D23" s="1522" t="s">
        <v>168</v>
      </c>
      <c r="E23" s="1522"/>
      <c r="F23" s="2652" t="str">
        <f>L22&amp;".1"</f>
        <v>....1</v>
      </c>
      <c r="I23" s="2324">
        <v>1</v>
      </c>
      <c r="J23" s="1450"/>
      <c r="K23" s="510"/>
      <c r="L23" s="1452" t="str">
        <f>$F$23</f>
        <v>....1</v>
      </c>
      <c r="M23" s="439" t="s">
        <v>404</v>
      </c>
      <c r="N23" s="454"/>
      <c r="O23" s="2653"/>
      <c r="P23" s="2653"/>
      <c r="Q23" s="2653"/>
      <c r="R23" s="2653"/>
      <c r="S23" s="2653"/>
      <c r="T23" s="2653"/>
      <c r="U23" s="2653"/>
      <c r="V23" s="2653"/>
      <c r="W23" s="2653"/>
      <c r="X23" s="1416" t="s">
        <v>405</v>
      </c>
      <c r="Z23" s="654"/>
      <c r="AA23" s="654" t="str">
        <f>IF(M23="","",M23)</f>
        <v>Схема подключения теплопотребляющей установки к коллектору источника тепловой энергии</v>
      </c>
      <c r="AB23" s="654"/>
      <c r="AC23" s="654"/>
    </row>
    <row customHeight="1" ht="84">
      <c r="A24" s="1522" t="s">
        <v>165</v>
      </c>
      <c r="B24" s="1522" t="s">
        <v>166</v>
      </c>
      <c r="C24" s="1522" t="s">
        <v>167</v>
      </c>
      <c r="D24" s="1522" t="s">
        <v>168</v>
      </c>
      <c r="E24" s="1522"/>
      <c r="F24" s="2652"/>
      <c r="G24" s="2295" t="str">
        <f>F23&amp;".1"</f>
        <v>....1.1</v>
      </c>
      <c r="I24" s="2324"/>
      <c r="J24" s="2324">
        <v>1</v>
      </c>
      <c r="K24" s="511"/>
      <c r="L24" s="1452" t="str">
        <f>$G$24</f>
        <v>....1.1</v>
      </c>
      <c r="M24" s="440" t="s">
        <v>407</v>
      </c>
      <c r="N24" s="454"/>
      <c r="O24" s="2654"/>
      <c r="P24" s="2655"/>
      <c r="Q24" s="2655"/>
      <c r="R24" s="2655"/>
      <c r="S24" s="2655"/>
      <c r="T24" s="2655"/>
      <c r="U24" s="2655"/>
      <c r="V24" s="2655"/>
      <c r="W24" s="2656"/>
      <c r="X24" s="1416" t="s">
        <v>408</v>
      </c>
      <c r="Z24" s="654"/>
      <c r="AA24" s="654" t="str">
        <f>IF(M24="","",M24)</f>
        <v>Группа потребителей</v>
      </c>
      <c r="AB24" s="654"/>
      <c r="AC24" s="654"/>
    </row>
    <row customHeight="1" ht="11.25">
      <c r="A25" s="1522" t="s">
        <v>165</v>
      </c>
      <c r="B25" s="1522" t="s">
        <v>166</v>
      </c>
      <c r="C25" s="1522" t="s">
        <v>167</v>
      </c>
      <c r="D25" s="1522" t="s">
        <v>168</v>
      </c>
      <c r="E25" s="1522"/>
      <c r="F25" s="2652"/>
      <c r="G25" s="2295"/>
      <c r="H25" s="2295" t="str">
        <f>G24&amp;".1"</f>
        <v>....1.1.1</v>
      </c>
      <c r="I25" s="2324"/>
      <c r="J25" s="2324"/>
      <c r="K25" s="511">
        <v>1</v>
      </c>
      <c r="L25" s="1452" t="str">
        <f>$H$25</f>
        <v>....1.1.1</v>
      </c>
      <c r="M25" s="1417"/>
      <c r="N25" s="454"/>
      <c r="O25" s="905"/>
      <c r="P25" s="479"/>
      <c r="Q25" s="905"/>
      <c r="R25" s="1415"/>
      <c r="S25" s="2660"/>
      <c r="T25" s="2195" t="s">
        <v>64</v>
      </c>
      <c r="U25" s="2660"/>
      <c r="V25" s="2195" t="s">
        <v>54</v>
      </c>
      <c r="W25" s="479"/>
      <c r="X25" s="2350" t="s">
        <v>410</v>
      </c>
      <c r="Y25" s="665">
        <f>STRCHECKDATE(O26:W26)</f>
      </c>
      <c r="Z25" s="654"/>
      <c r="AA25" s="654" t="str">
        <f>IF(M25="","",M25)</f>
        <v/>
      </c>
      <c r="AB25" s="654"/>
      <c r="AC25" s="654"/>
    </row>
    <row customHeight="1" ht="11.25">
      <c r="A26" s="1522" t="s">
        <v>165</v>
      </c>
      <c r="B26" s="1522" t="s">
        <v>166</v>
      </c>
      <c r="C26" s="1522" t="s">
        <v>167</v>
      </c>
      <c r="D26" s="1522" t="s">
        <v>168</v>
      </c>
      <c r="E26" s="1522"/>
      <c r="F26" s="2652"/>
      <c r="G26" s="2295"/>
      <c r="H26" s="2295"/>
      <c r="I26" s="2324"/>
      <c r="J26" s="2324"/>
      <c r="K26" s="511"/>
      <c r="L26" s="1453"/>
      <c r="M26" s="454"/>
      <c r="N26" s="454"/>
      <c r="O26" s="479"/>
      <c r="P26" s="479"/>
      <c r="Q26" s="479"/>
      <c r="R26" s="482" t="str">
        <f>S25&amp;"-"&amp;U25</f>
        <v>-</v>
      </c>
      <c r="S26" s="2326"/>
      <c r="T26" s="2195"/>
      <c r="U26" s="2326"/>
      <c r="V26" s="2195"/>
      <c r="W26" s="479"/>
      <c r="X26" s="2351"/>
      <c r="Z26" s="654"/>
      <c r="AA26" s="654" t="str">
        <f>IF(M26="","",M26)</f>
        <v/>
      </c>
      <c r="AB26" s="654"/>
      <c r="AC26" s="654"/>
    </row>
    <row customHeight="1" ht="15">
      <c r="A27" s="1522" t="s">
        <v>165</v>
      </c>
      <c r="B27" s="1522" t="s">
        <v>166</v>
      </c>
      <c r="C27" s="1522" t="s">
        <v>167</v>
      </c>
      <c r="D27" s="1522" t="s">
        <v>168</v>
      </c>
      <c r="E27" s="1522"/>
      <c r="F27" s="2652"/>
      <c r="G27" s="2295"/>
      <c r="I27" s="2324"/>
      <c r="J27" s="2324"/>
      <c r="K27" s="510"/>
      <c r="L27" s="1437"/>
      <c r="M27" s="442" t="s">
        <v>411</v>
      </c>
      <c r="N27" s="521"/>
      <c r="O27" s="521"/>
      <c r="P27" s="521"/>
      <c r="Q27" s="521"/>
      <c r="R27" s="521"/>
      <c r="S27" s="521"/>
      <c r="T27" s="521"/>
      <c r="U27" s="521"/>
      <c r="V27" s="521"/>
      <c r="W27" s="478"/>
      <c r="X27" s="2352"/>
      <c r="Z27" s="654"/>
      <c r="AA27" s="654" t="str">
        <f>IF(M27="","",M27)</f>
        <v>Добавить вид теплоносителя (параметры теплоносителя)</v>
      </c>
      <c r="AB27" s="654"/>
      <c r="AC27" s="654"/>
    </row>
    <row customHeight="1" ht="15">
      <c r="A28" s="1522" t="s">
        <v>165</v>
      </c>
      <c r="B28" s="1522" t="s">
        <v>166</v>
      </c>
      <c r="C28" s="1522" t="s">
        <v>167</v>
      </c>
      <c r="D28" s="1522" t="s">
        <v>168</v>
      </c>
      <c r="E28" s="1522"/>
      <c r="F28" s="2652"/>
      <c r="I28" s="2324"/>
      <c r="J28" s="1450"/>
      <c r="K28" s="510"/>
      <c r="L28" s="1437"/>
      <c r="M28" s="441" t="s">
        <v>412</v>
      </c>
      <c r="N28" s="521"/>
      <c r="O28" s="521"/>
      <c r="P28" s="521"/>
      <c r="Q28" s="521"/>
      <c r="R28" s="521"/>
      <c r="S28" s="521"/>
      <c r="T28" s="521"/>
      <c r="U28" s="521"/>
      <c r="V28" s="520"/>
      <c r="W28" s="521"/>
      <c r="X28" s="457"/>
      <c r="Z28" s="654"/>
      <c r="AA28" s="654" t="str">
        <f>IF(M28="","",M28)</f>
        <v>Добавить группу потребителей</v>
      </c>
      <c r="AB28" s="654"/>
      <c r="AC28" s="654"/>
    </row>
    <row customHeight="1" ht="14.25">
      <c r="A29" s="1522" t="s">
        <v>165</v>
      </c>
      <c r="B29" s="1522" t="s">
        <v>166</v>
      </c>
      <c r="C29" s="1522" t="s">
        <v>167</v>
      </c>
      <c r="D29" s="1522" t="s">
        <v>168</v>
      </c>
      <c r="E29" s="1522"/>
      <c r="F29" s="1524"/>
      <c r="G29" s="1524"/>
      <c r="H29" s="691"/>
      <c r="I29" s="514"/>
      <c r="J29" s="529"/>
      <c r="K29" s="509"/>
      <c r="L29" s="1437"/>
      <c r="M29" s="519" t="s">
        <v>413</v>
      </c>
      <c r="N29" s="521"/>
      <c r="O29" s="521"/>
      <c r="P29" s="521"/>
      <c r="Q29" s="521"/>
      <c r="R29" s="521"/>
      <c r="S29" s="521"/>
      <c r="T29" s="521"/>
      <c r="U29" s="521"/>
      <c r="V29" s="520"/>
      <c r="W29" s="521"/>
      <c r="X29" s="457"/>
      <c r="Z29" s="654"/>
      <c r="AA29" s="654" t="str">
        <f>IF(M29="","",M29)</f>
        <v>Добавить схему подключения</v>
      </c>
      <c r="AB29" s="654"/>
      <c r="AC29" s="654"/>
    </row>
    <row customHeight="1" ht="14.25">
      <c r="A30" s="1522" t="s">
        <v>165</v>
      </c>
      <c r="B30" s="1522" t="s">
        <v>166</v>
      </c>
      <c r="C30" s="1522" t="s">
        <v>167</v>
      </c>
      <c r="D30" s="1522"/>
      <c r="E30" s="1522" t="s">
        <v>587</v>
      </c>
      <c r="F30" s="1524"/>
      <c r="G30" s="1524"/>
      <c r="H30" s="691"/>
      <c r="I30" s="514"/>
      <c r="J30" s="529"/>
      <c r="K30" s="509"/>
      <c r="L30" s="1438"/>
      <c r="M30" s="1427"/>
      <c r="N30" s="1428"/>
      <c r="O30" s="1428"/>
      <c r="P30" s="1428"/>
      <c r="Q30" s="1428"/>
      <c r="R30" s="1428"/>
      <c r="S30" s="1428"/>
      <c r="T30" s="1428"/>
      <c r="U30" s="1428"/>
      <c r="V30" s="1429"/>
      <c r="W30" s="1428"/>
      <c r="X30" s="1430"/>
      <c r="Z30" s="654"/>
      <c r="AA30" s="654" t="str">
        <f>IF(M30="","",M30)</f>
        <v/>
      </c>
      <c r="AB30" s="654"/>
      <c r="AC30" s="654"/>
    </row>
    <row customHeight="1" ht="14.25">
      <c r="A31" s="1522" t="s">
        <v>165</v>
      </c>
      <c r="B31" s="1522" t="s">
        <v>166</v>
      </c>
      <c r="C31" s="1522"/>
      <c r="D31" s="1522"/>
      <c r="E31" s="1522" t="s">
        <v>2153</v>
      </c>
      <c r="F31" s="1676"/>
      <c r="G31" s="1676"/>
      <c r="H31" s="691"/>
      <c r="I31" s="512"/>
      <c r="J31" s="529"/>
      <c r="K31" s="513"/>
      <c r="L31" s="1438"/>
      <c r="M31" s="1431"/>
      <c r="N31" s="1428"/>
      <c r="O31" s="1428"/>
      <c r="P31" s="1428"/>
      <c r="Q31" s="1428"/>
      <c r="R31" s="1428"/>
      <c r="S31" s="1428"/>
      <c r="T31" s="1428"/>
      <c r="U31" s="1428"/>
      <c r="V31" s="1429"/>
      <c r="W31" s="1428"/>
      <c r="X31" s="1430"/>
      <c r="Z31" s="654"/>
      <c r="AA31" s="654" t="str">
        <f>IF(M31="","",M31)</f>
        <v/>
      </c>
      <c r="AB31" s="654"/>
      <c r="AC31" s="654"/>
    </row>
    <row customHeight="1" ht="14.25">
      <c r="A32" s="1522" t="s">
        <v>2154</v>
      </c>
      <c r="B32" s="1522"/>
      <c r="C32" s="1522"/>
      <c r="D32" s="1522"/>
      <c r="E32" s="1522" t="s">
        <v>101</v>
      </c>
      <c r="F32" s="1676"/>
      <c r="G32" s="1676"/>
      <c r="H32" s="691"/>
      <c r="I32" s="514"/>
      <c r="J32" s="529"/>
      <c r="K32" s="509"/>
      <c r="L32" s="1438"/>
      <c r="M32" s="1432"/>
      <c r="N32" s="1428"/>
      <c r="O32" s="1428"/>
      <c r="P32" s="1428"/>
      <c r="Q32" s="1428"/>
      <c r="R32" s="1428"/>
      <c r="S32" s="1428"/>
      <c r="T32" s="1428"/>
      <c r="U32" s="1428"/>
      <c r="V32" s="1429"/>
      <c r="W32" s="1428"/>
      <c r="X32" s="1430"/>
      <c r="Z32" s="654"/>
      <c r="AA32" s="654" t="str">
        <f>IF(M32="","",M32)</f>
        <v/>
      </c>
      <c r="AB32" s="654"/>
      <c r="AC32" s="654"/>
    </row>
    <row s="10513" customFormat="1" customHeight="1" ht="11.25">
      <c r="A33" s="1522"/>
      <c r="B33" s="1522"/>
      <c r="C33" s="1522"/>
      <c r="D33" s="1522"/>
      <c r="E33" s="1522" t="s">
        <v>253</v>
      </c>
      <c r="F33" s="1677"/>
      <c r="G33" s="1678"/>
      <c r="H33" s="691"/>
      <c r="L33" s="1439"/>
      <c r="M33" s="1433"/>
      <c r="N33" s="1428"/>
      <c r="O33" s="1428"/>
      <c r="P33" s="1428"/>
      <c r="Q33" s="1428"/>
      <c r="R33" s="1428"/>
      <c r="S33" s="1428"/>
      <c r="T33" s="1428"/>
      <c r="U33" s="1428"/>
      <c r="V33" s="1429"/>
      <c r="W33" s="1428"/>
      <c r="X33" s="1430"/>
      <c r="Y33" s="533"/>
      <c r="Z33" s="533"/>
      <c r="AA33" s="533"/>
      <c r="AB33" s="533"/>
      <c r="AC33" s="533"/>
    </row>
    <row customHeight="1" ht="11.25">
      <c r="F34" s="1316"/>
      <c r="G34" s="1316"/>
      <c r="H34" s="691"/>
      <c r="I34" s="1311"/>
      <c r="J34" s="1311"/>
      <c r="K34" s="1311"/>
      <c r="Y34" s="1311"/>
      <c r="Z34" s="1311"/>
      <c r="AA34" s="1311"/>
      <c r="AB34" s="1311"/>
      <c r="AC34" s="1311"/>
    </row>
    <row customHeight="1" ht="27">
      <c r="H35" s="691"/>
      <c r="L35" s="1447" t="s">
        <v>719</v>
      </c>
      <c r="M35" s="2319" t="s">
        <v>2155</v>
      </c>
      <c r="N35" s="2319"/>
      <c r="O35" s="2319"/>
      <c r="P35" s="2319"/>
      <c r="Q35" s="2319"/>
      <c r="R35" s="2319"/>
      <c r="S35" s="2319"/>
      <c r="T35" s="2319"/>
      <c r="U35" s="2319"/>
      <c r="V35" s="2319"/>
      <c r="W35" s="2319"/>
      <c r="X35" s="2319"/>
    </row>
    <row customHeight="1" ht="104.25">
      <c r="H36" s="691"/>
      <c r="I36" s="1462"/>
      <c r="M36" s="2319" t="s">
        <v>2156</v>
      </c>
      <c r="N36" s="2319"/>
      <c r="O36" s="2319"/>
      <c r="P36" s="2319"/>
      <c r="Q36" s="2319"/>
      <c r="R36" s="2319"/>
      <c r="S36" s="2319"/>
      <c r="T36" s="2319"/>
      <c r="U36" s="2319"/>
      <c r="V36" s="2319"/>
      <c r="W36" s="2319"/>
      <c r="X36" s="2319"/>
    </row>
    <row customHeight="1" ht="14.25">
      <c r="H37" s="691"/>
    </row>
    <row customHeight="1" ht="14.25">
      <c r="H38" s="691"/>
    </row>
    <row customHeight="1" ht="14.25">
      <c r="H39" s="691"/>
    </row>
    <row customHeight="1" ht="14.25">
      <c r="H40" s="691"/>
    </row>
  </sheetData>
  <sheetProtection formatColumns="0" formatRows="0" autoFilter="0" sort="0" insertRows="0" insertColumns="1" deleteRows="0" deleteColumns="0"/>
  <mergeCells count="39">
    <mergeCell ref="X25:X27"/>
    <mergeCell ref="M35:X35"/>
    <mergeCell ref="M36:X36"/>
    <mergeCell ref="H25:H26"/>
    <mergeCell ref="S25:S26"/>
    <mergeCell ref="T25:T26"/>
    <mergeCell ref="U25:U26"/>
    <mergeCell ref="V25:V26"/>
    <mergeCell ref="X14:X17"/>
    <mergeCell ref="L15:L17"/>
    <mergeCell ref="M15:M17"/>
    <mergeCell ref="O15:U15"/>
    <mergeCell ref="V15:V17"/>
    <mergeCell ref="W15:W17"/>
    <mergeCell ref="O16:O17"/>
    <mergeCell ref="P16:P17"/>
    <mergeCell ref="Q16:R16"/>
    <mergeCell ref="S16:U16"/>
    <mergeCell ref="T17:U17"/>
    <mergeCell ref="L5:U5"/>
    <mergeCell ref="L6:U6"/>
    <mergeCell ref="O8:U8"/>
    <mergeCell ref="O9:U9"/>
    <mergeCell ref="O10:U10"/>
    <mergeCell ref="O11:U11"/>
    <mergeCell ref="L12:M12"/>
    <mergeCell ref="O13:V13"/>
    <mergeCell ref="L14:W14"/>
    <mergeCell ref="T18:U18"/>
    <mergeCell ref="O19:W19"/>
    <mergeCell ref="O20:W20"/>
    <mergeCell ref="O21:W21"/>
    <mergeCell ref="O22:W22"/>
    <mergeCell ref="F23:F28"/>
    <mergeCell ref="I23:I28"/>
    <mergeCell ref="O23:W23"/>
    <mergeCell ref="G24:G27"/>
    <mergeCell ref="J24:J27"/>
    <mergeCell ref="O24:W24"/>
  </mergeCells>
  <dataValidations count="8">
    <dataValidation allowBlank="1" sqref="L131099:X131105 L196635:X196641 L262171:X262177 L327707:X327713 L393243:X393249 L458779:X458785 L524315:X524321 L589851:X589857 L655387:X655393 L720923:X720929 L786459:X786465 L851995:X852001 L917531:X917537 L983067:X983073 L65563:X65569"/>
    <dataValidation allowBlank="1" promptTitle="checkPeriodRange" sqref="R26 R65562 R131098 R196634 R262170 R327706 R393242 R458778 R524314 R589850 R655386 R720922 R786458 R851994 R917530 R983066"/>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93C3433-C755-780B-9105-0EFC93FC782C}"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699B25C-8BFE-FF72-CC21-0EDE0F2397BE}"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9F27289-CE98-99A8-A986-6ACE40592559}"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45C0405-7B55-085C-83DA-C30D4949BC2C}"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90F11A6-46ED-8F0B-FDC1-B5A08BFAA165}"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30B129E-82FD-0C15-9DA8-65558BB6997C}"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1E431C2-2578-11F6-D5F3-E5F00A667655}"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82FA70B-3A86-1417-5A3D-72E90043FF52}" mc:Ignorable="x14ac xr xr2 xr3">
  <sheetPr>
    <tabColor rgb="FFFFCC99"/>
  </sheetPr>
  <dimension ref="A1:A1"/>
  <sheetViews>
    <sheetView topLeftCell="A1" showGridLines="0" workbookViewId="0">
      <selection activeCell="A1" sqref="A1"/>
    </sheetView>
  </sheetViews>
  <sheetFormatPr customHeight="1" defaultRowHeight="11.25"/>
  <sheetData>
    <row customHeight="1" ht="11.25">
      <c r="A1" s="220"/>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F9D773F-32BB-35B9-4618-E763CBE32739}" mc:Ignorable="x14ac xr xr2 xr3">
  <dimension ref="A1:E8"/>
  <sheetViews>
    <sheetView topLeftCell="A1" showGridLines="0" workbookViewId="0">
      <selection activeCell="A1" sqref="A1"/>
    </sheetView>
  </sheetViews>
  <sheetFormatPr customHeight="1" defaultRowHeight="11.25"/>
  <cols>
    <col min="1" max="1" style="10537" width="10.57421875" customWidth="1"/>
    <col min="2" max="2" style="10537" width="8.7109375" customWidth="1"/>
    <col min="3" max="3" style="10537" width="18.140625" customWidth="1"/>
    <col min="4" max="4" style="10537" width="12.57421875" customWidth="1"/>
  </cols>
  <sheetData>
    <row customHeight="1" ht="11.25">
      <c r="A1" s="907" t="s">
        <v>2157</v>
      </c>
      <c r="B1" s="918" t="s">
        <v>2158</v>
      </c>
      <c r="C1" s="2661" t="s">
        <v>2159</v>
      </c>
      <c r="D1" s="2662"/>
      <c r="E1" s="990" t="s">
        <v>2160</v>
      </c>
    </row>
    <row customHeight="1" ht="11.25">
      <c r="A2" s="911"/>
      <c r="B2" s="919" t="s">
        <v>22</v>
      </c>
      <c r="C2" s="907"/>
      <c r="D2" s="918"/>
      <c r="E2" s="990"/>
    </row>
    <row customHeight="1" ht="11.25">
      <c r="A3" s="922"/>
      <c r="B3" s="920" t="s">
        <v>29</v>
      </c>
      <c r="C3" s="907"/>
      <c r="D3" s="918"/>
      <c r="E3" s="990"/>
    </row>
    <row customHeight="1" ht="11.25">
      <c r="A4" s="923"/>
      <c r="B4" s="920" t="s">
        <v>1576</v>
      </c>
      <c r="C4" s="907"/>
      <c r="D4" s="918"/>
      <c r="E4" s="990"/>
    </row>
    <row customHeight="1" ht="11.25">
      <c r="A5" s="935"/>
      <c r="B5" s="920" t="s">
        <v>1570</v>
      </c>
      <c r="C5" s="910" t="s">
        <v>1916</v>
      </c>
      <c r="D5" s="1034" t="s">
        <v>2161</v>
      </c>
      <c r="E5" s="990"/>
    </row>
    <row s="10513" customFormat="1" customHeight="1" ht="11.25">
      <c r="A6" s="921"/>
      <c r="B6" s="920" t="s">
        <v>1580</v>
      </c>
      <c r="C6" s="907"/>
      <c r="D6" s="918"/>
      <c r="E6" s="990"/>
    </row>
    <row customHeight="1" ht="11.25">
      <c r="A7" s="909"/>
      <c r="B7" s="920" t="s">
        <v>1588</v>
      </c>
      <c r="C7" s="907"/>
      <c r="D7" s="918"/>
      <c r="E7" s="990"/>
    </row>
    <row customHeight="1" ht="11.25">
      <c r="A8" s="910"/>
      <c r="B8" s="920" t="s">
        <v>1583</v>
      </c>
      <c r="C8" s="907"/>
      <c r="D8" s="918"/>
      <c r="E8" s="990"/>
    </row>
  </sheetData>
  <sheetProtection formatColumns="0" formatRows="0" autoFilter="0" sort="0" insertRows="0" insertColumns="1" deleteRows="0" deleteColumns="0"/>
  <mergeCells count="1">
    <mergeCell ref="C1:D1"/>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8E7272A-4818-325A-3806-DACE273D3529}"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BCFC43D-7A76-FA04-A448-1E484247ADD2}"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1CD230E-2FF9-1788-E861-0792505C31B4}" mc:Ignorable="x14ac xr xr2 xr3">
  <sheetPr>
    <tabColor rgb="FFFFCC99"/>
  </sheetPr>
  <dimension ref="A1:I542"/>
  <sheetViews>
    <sheetView topLeftCell="A1" showGridLines="0" workbookViewId="0">
      <selection activeCell="A1" sqref="A1"/>
    </sheetView>
  </sheetViews>
  <sheetFormatPr defaultColWidth="9.140625" customHeight="1" defaultRowHeight="11.25"/>
  <cols>
    <col min="1" max="2" style="10540" width="9.140625"/>
    <col min="3" max="3" style="10540" width="20.7109375" customWidth="1"/>
    <col min="4" max="4" style="10540" width="25.140625" customWidth="1"/>
    <col min="5" max="9" style="10540" width="9.140625"/>
  </cols>
  <sheetData>
    <row customHeight="1" ht="11.25">
      <c r="A1" s="222" t="s">
        <v>2162</v>
      </c>
      <c r="B1" s="222" t="s">
        <v>2163</v>
      </c>
      <c r="C1" s="222" t="s">
        <v>2164</v>
      </c>
      <c r="D1" s="222" t="s">
        <v>2165</v>
      </c>
      <c r="E1" s="222" t="s">
        <v>2166</v>
      </c>
      <c r="F1" s="222" t="s">
        <v>2167</v>
      </c>
      <c r="G1" s="222" t="s">
        <v>2168</v>
      </c>
      <c r="H1" s="222" t="s">
        <v>2169</v>
      </c>
      <c r="I1" s="222" t="s">
        <v>2170</v>
      </c>
    </row>
    <row customHeight="1" ht="11.25">
      <c r="A2" s="7811" t="s">
        <v>2171</v>
      </c>
      <c r="B2" s="7811" t="s">
        <v>14</v>
      </c>
      <c r="C2" s="7811" t="s">
        <v>2172</v>
      </c>
      <c r="D2" s="7811" t="s">
        <v>2173</v>
      </c>
      <c r="E2" s="7811" t="s">
        <v>2174</v>
      </c>
      <c r="F2" s="7811" t="s">
        <v>2175</v>
      </c>
      <c r="G2" s="7811" t="s">
        <v>24</v>
      </c>
      <c r="H2" s="7811" t="s">
        <v>24</v>
      </c>
      <c r="I2" s="7811" t="s">
        <v>723</v>
      </c>
    </row>
    <row customHeight="1" ht="11.25">
      <c r="A3" s="7811" t="s">
        <v>2171</v>
      </c>
      <c r="B3" s="7811" t="s">
        <v>14</v>
      </c>
      <c r="C3" s="7811" t="s">
        <v>2176</v>
      </c>
      <c r="D3" s="7811" t="s">
        <v>2177</v>
      </c>
      <c r="E3" s="7811" t="s">
        <v>2178</v>
      </c>
      <c r="F3" s="7811" t="s">
        <v>2179</v>
      </c>
      <c r="G3" s="7811" t="s">
        <v>24</v>
      </c>
      <c r="H3" s="7811" t="s">
        <v>24</v>
      </c>
      <c r="I3" s="7811" t="s">
        <v>723</v>
      </c>
    </row>
    <row customHeight="1" ht="11.25">
      <c r="A4" s="7811" t="s">
        <v>2171</v>
      </c>
      <c r="B4" s="7811" t="s">
        <v>14</v>
      </c>
      <c r="C4" s="7811" t="s">
        <v>2180</v>
      </c>
      <c r="D4" s="7811" t="s">
        <v>2181</v>
      </c>
      <c r="E4" s="7811" t="s">
        <v>2182</v>
      </c>
      <c r="F4" s="7811" t="s">
        <v>2183</v>
      </c>
      <c r="G4" s="7811" t="s">
        <v>24</v>
      </c>
      <c r="H4" s="7811" t="s">
        <v>24</v>
      </c>
      <c r="I4" s="7811" t="s">
        <v>723</v>
      </c>
    </row>
    <row customHeight="1" ht="11.25">
      <c r="A5" s="7811" t="s">
        <v>2171</v>
      </c>
      <c r="B5" s="7811" t="s">
        <v>14</v>
      </c>
      <c r="C5" s="7811" t="s">
        <v>2184</v>
      </c>
      <c r="D5" s="7811" t="s">
        <v>2185</v>
      </c>
      <c r="E5" s="7811" t="s">
        <v>2186</v>
      </c>
      <c r="F5" s="7811" t="s">
        <v>2187</v>
      </c>
      <c r="G5" s="7811" t="s">
        <v>24</v>
      </c>
      <c r="H5" s="7811" t="s">
        <v>24</v>
      </c>
      <c r="I5" s="7811" t="s">
        <v>723</v>
      </c>
    </row>
    <row customHeight="1" ht="11.25">
      <c r="A6" s="7811" t="s">
        <v>2171</v>
      </c>
      <c r="B6" s="7811" t="s">
        <v>14</v>
      </c>
      <c r="C6" s="7811" t="s">
        <v>2188</v>
      </c>
      <c r="D6" s="7811" t="s">
        <v>2189</v>
      </c>
      <c r="E6" s="7811" t="s">
        <v>2190</v>
      </c>
      <c r="F6" s="7811" t="s">
        <v>2191</v>
      </c>
      <c r="G6" s="7811" t="s">
        <v>2192</v>
      </c>
      <c r="H6" s="7811" t="s">
        <v>24</v>
      </c>
      <c r="I6" s="7811" t="s">
        <v>723</v>
      </c>
    </row>
    <row customHeight="1" ht="11.25">
      <c r="A7" s="7811" t="s">
        <v>2171</v>
      </c>
      <c r="B7" s="7811" t="s">
        <v>14</v>
      </c>
      <c r="C7" s="7811" t="s">
        <v>2193</v>
      </c>
      <c r="D7" s="7811" t="s">
        <v>2194</v>
      </c>
      <c r="E7" s="7811" t="s">
        <v>2195</v>
      </c>
      <c r="F7" s="7811" t="s">
        <v>2196</v>
      </c>
      <c r="G7" s="7811" t="s">
        <v>24</v>
      </c>
      <c r="H7" s="7811" t="s">
        <v>24</v>
      </c>
      <c r="I7" s="7811" t="s">
        <v>723</v>
      </c>
    </row>
    <row customHeight="1" ht="11.25">
      <c r="A8" s="7811" t="s">
        <v>2171</v>
      </c>
      <c r="B8" s="7811" t="s">
        <v>14</v>
      </c>
      <c r="C8" s="7811" t="s">
        <v>2197</v>
      </c>
      <c r="D8" s="7811" t="s">
        <v>2198</v>
      </c>
      <c r="E8" s="7811" t="s">
        <v>2199</v>
      </c>
      <c r="F8" s="7811" t="s">
        <v>2200</v>
      </c>
      <c r="G8" s="7811" t="s">
        <v>2201</v>
      </c>
      <c r="H8" s="7811" t="s">
        <v>24</v>
      </c>
      <c r="I8" s="7811" t="s">
        <v>723</v>
      </c>
    </row>
    <row customHeight="1" ht="11.25">
      <c r="A9" s="7811" t="s">
        <v>2171</v>
      </c>
      <c r="B9" s="7811" t="s">
        <v>14</v>
      </c>
      <c r="C9" s="7811" t="s">
        <v>2202</v>
      </c>
      <c r="D9" s="7811" t="s">
        <v>2203</v>
      </c>
      <c r="E9" s="7811" t="s">
        <v>2204</v>
      </c>
      <c r="F9" s="7811" t="s">
        <v>2205</v>
      </c>
      <c r="G9" s="7811" t="s">
        <v>24</v>
      </c>
      <c r="H9" s="7811" t="s">
        <v>24</v>
      </c>
      <c r="I9" s="7811" t="s">
        <v>723</v>
      </c>
    </row>
    <row customHeight="1" ht="11.25">
      <c r="A10" s="7811" t="s">
        <v>2171</v>
      </c>
      <c r="B10" s="7811" t="s">
        <v>14</v>
      </c>
      <c r="C10" s="7811" t="s">
        <v>2206</v>
      </c>
      <c r="D10" s="7811" t="s">
        <v>2207</v>
      </c>
      <c r="E10" s="7811" t="s">
        <v>2208</v>
      </c>
      <c r="F10" s="7811" t="s">
        <v>2209</v>
      </c>
      <c r="G10" s="7811" t="s">
        <v>24</v>
      </c>
      <c r="H10" s="7811" t="s">
        <v>24</v>
      </c>
      <c r="I10" s="7811" t="s">
        <v>723</v>
      </c>
    </row>
    <row customHeight="1" ht="11.25">
      <c r="A11" s="7811" t="s">
        <v>2171</v>
      </c>
      <c r="B11" s="7811" t="s">
        <v>14</v>
      </c>
      <c r="C11" s="7811" t="s">
        <v>2210</v>
      </c>
      <c r="D11" s="7811" t="s">
        <v>2211</v>
      </c>
      <c r="E11" s="7811" t="s">
        <v>2212</v>
      </c>
      <c r="F11" s="7811" t="s">
        <v>2213</v>
      </c>
      <c r="G11" s="7811" t="s">
        <v>2214</v>
      </c>
      <c r="H11" s="7811" t="s">
        <v>24</v>
      </c>
      <c r="I11" s="7811" t="s">
        <v>723</v>
      </c>
    </row>
    <row customHeight="1" ht="11.25">
      <c r="A12" s="7811" t="s">
        <v>2171</v>
      </c>
      <c r="B12" s="7811" t="s">
        <v>14</v>
      </c>
      <c r="C12" s="7811" t="s">
        <v>2215</v>
      </c>
      <c r="D12" s="7811" t="s">
        <v>2216</v>
      </c>
      <c r="E12" s="7811" t="s">
        <v>2217</v>
      </c>
      <c r="F12" s="7811" t="s">
        <v>2218</v>
      </c>
      <c r="G12" s="7811" t="s">
        <v>24</v>
      </c>
      <c r="H12" s="7811" t="s">
        <v>24</v>
      </c>
      <c r="I12" s="7811" t="s">
        <v>723</v>
      </c>
    </row>
    <row customHeight="1" ht="11.25">
      <c r="A13" s="7811" t="s">
        <v>2171</v>
      </c>
      <c r="B13" s="7811" t="s">
        <v>14</v>
      </c>
      <c r="C13" s="7811" t="s">
        <v>2219</v>
      </c>
      <c r="D13" s="7811" t="s">
        <v>2220</v>
      </c>
      <c r="E13" s="7811" t="s">
        <v>2221</v>
      </c>
      <c r="F13" s="7811" t="s">
        <v>2222</v>
      </c>
      <c r="G13" s="7811" t="s">
        <v>24</v>
      </c>
      <c r="H13" s="7811" t="s">
        <v>24</v>
      </c>
      <c r="I13" s="7811" t="s">
        <v>723</v>
      </c>
    </row>
    <row customHeight="1" ht="11.25">
      <c r="A14" s="7811" t="s">
        <v>2171</v>
      </c>
      <c r="B14" s="7811" t="s">
        <v>14</v>
      </c>
      <c r="C14" s="7811" t="s">
        <v>2223</v>
      </c>
      <c r="D14" s="7811" t="s">
        <v>44</v>
      </c>
      <c r="E14" s="7811" t="s">
        <v>47</v>
      </c>
      <c r="F14" s="7811" t="s">
        <v>49</v>
      </c>
      <c r="G14" s="7811" t="s">
        <v>24</v>
      </c>
      <c r="H14" s="7811" t="s">
        <v>24</v>
      </c>
      <c r="I14" s="7811" t="s">
        <v>723</v>
      </c>
    </row>
    <row customHeight="1" ht="11.25">
      <c r="A15" s="7811" t="s">
        <v>2171</v>
      </c>
      <c r="B15" s="7811" t="s">
        <v>14</v>
      </c>
      <c r="C15" s="7811" t="s">
        <v>2224</v>
      </c>
      <c r="D15" s="7811" t="s">
        <v>2225</v>
      </c>
      <c r="E15" s="7811" t="s">
        <v>2226</v>
      </c>
      <c r="F15" s="7811" t="s">
        <v>2227</v>
      </c>
      <c r="G15" s="7811" t="s">
        <v>24</v>
      </c>
      <c r="H15" s="7811" t="s">
        <v>24</v>
      </c>
      <c r="I15" s="7811" t="s">
        <v>723</v>
      </c>
    </row>
    <row customHeight="1" ht="11.25">
      <c r="A16" s="7811" t="s">
        <v>2171</v>
      </c>
      <c r="B16" s="7811" t="s">
        <v>14</v>
      </c>
      <c r="C16" s="7811" t="s">
        <v>2228</v>
      </c>
      <c r="D16" s="7811" t="s">
        <v>2229</v>
      </c>
      <c r="E16" s="7811" t="s">
        <v>2230</v>
      </c>
      <c r="F16" s="7811" t="s">
        <v>2231</v>
      </c>
      <c r="G16" s="7811" t="s">
        <v>2232</v>
      </c>
      <c r="H16" s="7811" t="s">
        <v>24</v>
      </c>
      <c r="I16" s="7811" t="s">
        <v>723</v>
      </c>
    </row>
    <row customHeight="1" ht="11.25">
      <c r="A17" s="7811" t="s">
        <v>2171</v>
      </c>
      <c r="B17" s="7811" t="s">
        <v>14</v>
      </c>
      <c r="C17" s="7811" t="s">
        <v>2233</v>
      </c>
      <c r="D17" s="7811" t="s">
        <v>2234</v>
      </c>
      <c r="E17" s="7811" t="s">
        <v>2235</v>
      </c>
      <c r="F17" s="7811" t="s">
        <v>2236</v>
      </c>
      <c r="G17" s="7811" t="s">
        <v>24</v>
      </c>
      <c r="H17" s="7811" t="s">
        <v>24</v>
      </c>
      <c r="I17" s="7811" t="s">
        <v>723</v>
      </c>
    </row>
    <row customHeight="1" ht="11.25">
      <c r="A18" s="7811" t="s">
        <v>2171</v>
      </c>
      <c r="B18" s="7811" t="s">
        <v>14</v>
      </c>
      <c r="C18" s="7811" t="s">
        <v>2237</v>
      </c>
      <c r="D18" s="7811" t="s">
        <v>2238</v>
      </c>
      <c r="E18" s="7811" t="s">
        <v>2239</v>
      </c>
      <c r="F18" s="7811" t="s">
        <v>2240</v>
      </c>
      <c r="G18" s="7811" t="s">
        <v>24</v>
      </c>
      <c r="H18" s="7811" t="s">
        <v>24</v>
      </c>
      <c r="I18" s="7811" t="s">
        <v>723</v>
      </c>
    </row>
    <row customHeight="1" ht="11.25">
      <c r="A19" s="7811" t="s">
        <v>2171</v>
      </c>
      <c r="B19" s="7811" t="s">
        <v>14</v>
      </c>
      <c r="C19" s="7811" t="s">
        <v>2241</v>
      </c>
      <c r="D19" s="7811" t="s">
        <v>2242</v>
      </c>
      <c r="E19" s="7811" t="s">
        <v>2230</v>
      </c>
      <c r="F19" s="7811" t="s">
        <v>2243</v>
      </c>
      <c r="G19" s="7811" t="s">
        <v>24</v>
      </c>
      <c r="H19" s="7811" t="s">
        <v>24</v>
      </c>
      <c r="I19" s="7811" t="s">
        <v>723</v>
      </c>
    </row>
    <row customHeight="1" ht="11.25">
      <c r="A20" s="7811" t="s">
        <v>2171</v>
      </c>
      <c r="B20" s="7811" t="s">
        <v>14</v>
      </c>
      <c r="C20" s="7811" t="s">
        <v>2244</v>
      </c>
      <c r="D20" s="7811" t="s">
        <v>2245</v>
      </c>
      <c r="E20" s="7811" t="s">
        <v>2246</v>
      </c>
      <c r="F20" s="7811" t="s">
        <v>2247</v>
      </c>
      <c r="G20" s="7811" t="s">
        <v>24</v>
      </c>
      <c r="H20" s="7811" t="s">
        <v>24</v>
      </c>
      <c r="I20" s="7811" t="s">
        <v>723</v>
      </c>
    </row>
    <row customHeight="1" ht="11.25">
      <c r="A21" s="7811" t="s">
        <v>2171</v>
      </c>
      <c r="B21" s="7811" t="s">
        <v>14</v>
      </c>
      <c r="C21" s="7811" t="s">
        <v>2248</v>
      </c>
      <c r="D21" s="7811" t="s">
        <v>2249</v>
      </c>
      <c r="E21" s="7811" t="s">
        <v>2250</v>
      </c>
      <c r="F21" s="7811" t="s">
        <v>2227</v>
      </c>
      <c r="G21" s="7811" t="s">
        <v>24</v>
      </c>
      <c r="H21" s="7811" t="s">
        <v>24</v>
      </c>
      <c r="I21" s="7811" t="s">
        <v>723</v>
      </c>
    </row>
    <row customHeight="1" ht="11.25">
      <c r="A22" s="7811" t="s">
        <v>2171</v>
      </c>
      <c r="B22" s="7811" t="s">
        <v>14</v>
      </c>
      <c r="C22" s="7811" t="s">
        <v>2251</v>
      </c>
      <c r="D22" s="7811" t="s">
        <v>2252</v>
      </c>
      <c r="E22" s="7811" t="s">
        <v>2253</v>
      </c>
      <c r="F22" s="7811" t="s">
        <v>2179</v>
      </c>
      <c r="G22" s="7811" t="s">
        <v>2254</v>
      </c>
      <c r="H22" s="7811" t="s">
        <v>24</v>
      </c>
      <c r="I22" s="7811" t="s">
        <v>723</v>
      </c>
    </row>
    <row customHeight="1" ht="11.25">
      <c r="A23" s="7811" t="s">
        <v>2171</v>
      </c>
      <c r="B23" s="7811" t="s">
        <v>14</v>
      </c>
      <c r="C23" s="7811" t="s">
        <v>2255</v>
      </c>
      <c r="D23" s="7811" t="s">
        <v>2256</v>
      </c>
      <c r="E23" s="7811" t="s">
        <v>2257</v>
      </c>
      <c r="F23" s="7811" t="s">
        <v>2258</v>
      </c>
      <c r="G23" s="7811" t="s">
        <v>24</v>
      </c>
      <c r="H23" s="7811" t="s">
        <v>24</v>
      </c>
      <c r="I23" s="7811" t="s">
        <v>723</v>
      </c>
    </row>
    <row customHeight="1" ht="11.25">
      <c r="A24" s="7811" t="s">
        <v>2171</v>
      </c>
      <c r="B24" s="7811" t="s">
        <v>14</v>
      </c>
      <c r="C24" s="7811" t="s">
        <v>2259</v>
      </c>
      <c r="D24" s="7811" t="s">
        <v>2260</v>
      </c>
      <c r="E24" s="7811" t="s">
        <v>2261</v>
      </c>
      <c r="F24" s="7811" t="s">
        <v>2218</v>
      </c>
      <c r="G24" s="7811" t="s">
        <v>24</v>
      </c>
      <c r="H24" s="7811" t="s">
        <v>24</v>
      </c>
      <c r="I24" s="7811" t="s">
        <v>723</v>
      </c>
    </row>
    <row customHeight="1" ht="11.25">
      <c r="A25" s="7811" t="s">
        <v>2171</v>
      </c>
      <c r="B25" s="7811" t="s">
        <v>14</v>
      </c>
      <c r="C25" s="7811" t="s">
        <v>2262</v>
      </c>
      <c r="D25" s="7811" t="s">
        <v>2263</v>
      </c>
      <c r="E25" s="7811" t="s">
        <v>2264</v>
      </c>
      <c r="F25" s="7811" t="s">
        <v>2265</v>
      </c>
      <c r="G25" s="7811" t="s">
        <v>24</v>
      </c>
      <c r="H25" s="7811" t="s">
        <v>24</v>
      </c>
      <c r="I25" s="7811" t="s">
        <v>723</v>
      </c>
    </row>
    <row customHeight="1" ht="11.25">
      <c r="A26" s="7811" t="s">
        <v>2171</v>
      </c>
      <c r="B26" s="7811" t="s">
        <v>14</v>
      </c>
      <c r="C26" s="7811" t="s">
        <v>2266</v>
      </c>
      <c r="D26" s="7811" t="s">
        <v>2267</v>
      </c>
      <c r="E26" s="7811" t="s">
        <v>2268</v>
      </c>
      <c r="F26" s="7811" t="s">
        <v>2218</v>
      </c>
      <c r="G26" s="7811" t="s">
        <v>24</v>
      </c>
      <c r="H26" s="7811" t="s">
        <v>24</v>
      </c>
      <c r="I26" s="7811" t="s">
        <v>723</v>
      </c>
    </row>
    <row customHeight="1" ht="11.25">
      <c r="A27" s="7811" t="s">
        <v>2171</v>
      </c>
      <c r="B27" s="7811" t="s">
        <v>14</v>
      </c>
      <c r="C27" s="7811" t="s">
        <v>2269</v>
      </c>
      <c r="D27" s="7811" t="s">
        <v>2270</v>
      </c>
      <c r="E27" s="7811" t="s">
        <v>2271</v>
      </c>
      <c r="F27" s="7811" t="s">
        <v>49</v>
      </c>
      <c r="G27" s="7811" t="s">
        <v>24</v>
      </c>
      <c r="H27" s="7811" t="s">
        <v>24</v>
      </c>
      <c r="I27" s="7811" t="s">
        <v>723</v>
      </c>
    </row>
    <row customHeight="1" ht="11.25">
      <c r="A28" s="7811" t="s">
        <v>2171</v>
      </c>
      <c r="B28" s="7811" t="s">
        <v>14</v>
      </c>
      <c r="C28" s="7811" t="s">
        <v>2272</v>
      </c>
      <c r="D28" s="7811" t="s">
        <v>2273</v>
      </c>
      <c r="E28" s="7811" t="s">
        <v>2274</v>
      </c>
      <c r="F28" s="7811" t="s">
        <v>49</v>
      </c>
      <c r="G28" s="7811" t="s">
        <v>24</v>
      </c>
      <c r="H28" s="7811" t="s">
        <v>24</v>
      </c>
      <c r="I28" s="7811" t="s">
        <v>723</v>
      </c>
    </row>
    <row customHeight="1" ht="11.25">
      <c r="A29" s="7811" t="s">
        <v>2171</v>
      </c>
      <c r="B29" s="7811" t="s">
        <v>14</v>
      </c>
      <c r="C29" s="7811" t="s">
        <v>2275</v>
      </c>
      <c r="D29" s="7811" t="s">
        <v>2276</v>
      </c>
      <c r="E29" s="7811" t="s">
        <v>2277</v>
      </c>
      <c r="F29" s="7811" t="s">
        <v>2218</v>
      </c>
      <c r="G29" s="7811" t="s">
        <v>24</v>
      </c>
      <c r="H29" s="7811" t="s">
        <v>24</v>
      </c>
      <c r="I29" s="7811" t="s">
        <v>723</v>
      </c>
    </row>
    <row customHeight="1" ht="11.25">
      <c r="A30" s="7811" t="s">
        <v>2171</v>
      </c>
      <c r="B30" s="7811" t="s">
        <v>14</v>
      </c>
      <c r="C30" s="7811" t="s">
        <v>2278</v>
      </c>
      <c r="D30" s="7811" t="s">
        <v>2279</v>
      </c>
      <c r="E30" s="7811" t="s">
        <v>2280</v>
      </c>
      <c r="F30" s="7811" t="s">
        <v>2281</v>
      </c>
      <c r="G30" s="7811" t="s">
        <v>24</v>
      </c>
      <c r="H30" s="7811" t="s">
        <v>24</v>
      </c>
      <c r="I30" s="7811" t="s">
        <v>723</v>
      </c>
    </row>
    <row customHeight="1" ht="11.25">
      <c r="A31" s="7811" t="s">
        <v>2171</v>
      </c>
      <c r="B31" s="7811" t="s">
        <v>14</v>
      </c>
      <c r="C31" s="7811" t="s">
        <v>2282</v>
      </c>
      <c r="D31" s="7811" t="s">
        <v>2283</v>
      </c>
      <c r="E31" s="7811" t="s">
        <v>2284</v>
      </c>
      <c r="F31" s="7811" t="s">
        <v>2179</v>
      </c>
      <c r="G31" s="7811" t="s">
        <v>24</v>
      </c>
      <c r="H31" s="7811" t="s">
        <v>24</v>
      </c>
      <c r="I31" s="7811" t="s">
        <v>723</v>
      </c>
    </row>
    <row customHeight="1" ht="11.25">
      <c r="A32" s="7811" t="s">
        <v>2171</v>
      </c>
      <c r="B32" s="7811" t="s">
        <v>14</v>
      </c>
      <c r="C32" s="7811" t="s">
        <v>2285</v>
      </c>
      <c r="D32" s="7811" t="s">
        <v>2286</v>
      </c>
      <c r="E32" s="7811" t="s">
        <v>2287</v>
      </c>
      <c r="F32" s="7811" t="s">
        <v>2288</v>
      </c>
      <c r="G32" s="7811" t="s">
        <v>24</v>
      </c>
      <c r="H32" s="7811" t="s">
        <v>24</v>
      </c>
      <c r="I32" s="7811" t="s">
        <v>723</v>
      </c>
    </row>
    <row customHeight="1" ht="11.25">
      <c r="A33" s="7811" t="s">
        <v>2171</v>
      </c>
      <c r="B33" s="7811" t="s">
        <v>14</v>
      </c>
      <c r="C33" s="7811" t="s">
        <v>2289</v>
      </c>
      <c r="D33" s="7811" t="s">
        <v>2290</v>
      </c>
      <c r="E33" s="7811" t="s">
        <v>2291</v>
      </c>
      <c r="F33" s="7811" t="s">
        <v>2292</v>
      </c>
      <c r="G33" s="7811" t="s">
        <v>24</v>
      </c>
      <c r="H33" s="7811" t="s">
        <v>24</v>
      </c>
      <c r="I33" s="7811" t="s">
        <v>723</v>
      </c>
    </row>
    <row customHeight="1" ht="11.25">
      <c r="A34" s="7811" t="s">
        <v>2171</v>
      </c>
      <c r="B34" s="7811" t="s">
        <v>14</v>
      </c>
      <c r="C34" s="7811" t="s">
        <v>2293</v>
      </c>
      <c r="D34" s="7811" t="s">
        <v>2294</v>
      </c>
      <c r="E34" s="7811" t="s">
        <v>2295</v>
      </c>
      <c r="F34" s="7811" t="s">
        <v>2296</v>
      </c>
      <c r="G34" s="7811" t="s">
        <v>2297</v>
      </c>
      <c r="H34" s="7811" t="s">
        <v>2298</v>
      </c>
      <c r="I34" s="7811" t="s">
        <v>723</v>
      </c>
    </row>
    <row customHeight="1" ht="11.25">
      <c r="A35" s="7811" t="s">
        <v>2171</v>
      </c>
      <c r="B35" s="7811" t="s">
        <v>14</v>
      </c>
      <c r="C35" s="7811" t="s">
        <v>2299</v>
      </c>
      <c r="D35" s="7811" t="s">
        <v>2300</v>
      </c>
      <c r="E35" s="7811" t="s">
        <v>2301</v>
      </c>
      <c r="F35" s="7811" t="s">
        <v>2302</v>
      </c>
      <c r="G35" s="7811" t="s">
        <v>24</v>
      </c>
      <c r="H35" s="7811" t="s">
        <v>24</v>
      </c>
      <c r="I35" s="7811" t="s">
        <v>723</v>
      </c>
    </row>
    <row customHeight="1" ht="11.25">
      <c r="A36" s="7811" t="s">
        <v>2171</v>
      </c>
      <c r="B36" s="7811" t="s">
        <v>14</v>
      </c>
      <c r="C36" s="7811" t="s">
        <v>2303</v>
      </c>
      <c r="D36" s="7811" t="s">
        <v>2304</v>
      </c>
      <c r="E36" s="7811" t="s">
        <v>2305</v>
      </c>
      <c r="F36" s="7811" t="s">
        <v>2306</v>
      </c>
      <c r="G36" s="7811" t="s">
        <v>24</v>
      </c>
      <c r="H36" s="7811" t="s">
        <v>24</v>
      </c>
      <c r="I36" s="7811" t="s">
        <v>723</v>
      </c>
    </row>
    <row customHeight="1" ht="11.25">
      <c r="A37" s="7811" t="s">
        <v>2171</v>
      </c>
      <c r="B37" s="7811" t="s">
        <v>14</v>
      </c>
      <c r="C37" s="7811" t="s">
        <v>2307</v>
      </c>
      <c r="D37" s="7811" t="s">
        <v>2308</v>
      </c>
      <c r="E37" s="7811" t="s">
        <v>2309</v>
      </c>
      <c r="F37" s="7811" t="s">
        <v>2310</v>
      </c>
      <c r="G37" s="7811" t="s">
        <v>24</v>
      </c>
      <c r="H37" s="7811" t="s">
        <v>24</v>
      </c>
      <c r="I37" s="7811" t="s">
        <v>723</v>
      </c>
    </row>
    <row customHeight="1" ht="11.25">
      <c r="A38" s="7811" t="s">
        <v>2171</v>
      </c>
      <c r="B38" s="7811" t="s">
        <v>14</v>
      </c>
      <c r="C38" s="7811" t="s">
        <v>2311</v>
      </c>
      <c r="D38" s="7811" t="s">
        <v>2312</v>
      </c>
      <c r="E38" s="7811" t="s">
        <v>2313</v>
      </c>
      <c r="F38" s="7811" t="s">
        <v>2314</v>
      </c>
      <c r="G38" s="7811" t="s">
        <v>24</v>
      </c>
      <c r="H38" s="7811" t="s">
        <v>24</v>
      </c>
      <c r="I38" s="7811" t="s">
        <v>723</v>
      </c>
    </row>
    <row customHeight="1" ht="11.25">
      <c r="A39" s="7811" t="s">
        <v>2171</v>
      </c>
      <c r="B39" s="7811" t="s">
        <v>14</v>
      </c>
      <c r="C39" s="7811" t="s">
        <v>2315</v>
      </c>
      <c r="D39" s="7811" t="s">
        <v>2316</v>
      </c>
      <c r="E39" s="7811" t="s">
        <v>2317</v>
      </c>
      <c r="F39" s="7811" t="s">
        <v>2227</v>
      </c>
      <c r="G39" s="7811" t="s">
        <v>2318</v>
      </c>
      <c r="H39" s="7811" t="s">
        <v>24</v>
      </c>
      <c r="I39" s="7811" t="s">
        <v>723</v>
      </c>
    </row>
    <row customHeight="1" ht="11.25">
      <c r="A40" s="7811" t="s">
        <v>2171</v>
      </c>
      <c r="B40" s="7811" t="s">
        <v>14</v>
      </c>
      <c r="C40" s="7811" t="s">
        <v>2319</v>
      </c>
      <c r="D40" s="7811" t="s">
        <v>2320</v>
      </c>
      <c r="E40" s="7811" t="s">
        <v>2321</v>
      </c>
      <c r="F40" s="7811" t="s">
        <v>2288</v>
      </c>
      <c r="G40" s="7811" t="s">
        <v>2322</v>
      </c>
      <c r="H40" s="7811" t="s">
        <v>24</v>
      </c>
      <c r="I40" s="7811" t="s">
        <v>723</v>
      </c>
    </row>
    <row customHeight="1" ht="11.25">
      <c r="A41" s="7811" t="s">
        <v>2171</v>
      </c>
      <c r="B41" s="7811" t="s">
        <v>14</v>
      </c>
      <c r="C41" s="7811" t="s">
        <v>2323</v>
      </c>
      <c r="D41" s="7811" t="s">
        <v>2324</v>
      </c>
      <c r="E41" s="7811" t="s">
        <v>2325</v>
      </c>
      <c r="F41" s="7811" t="s">
        <v>2281</v>
      </c>
      <c r="G41" s="7811" t="s">
        <v>2326</v>
      </c>
      <c r="H41" s="7811" t="s">
        <v>24</v>
      </c>
      <c r="I41" s="7811" t="s">
        <v>723</v>
      </c>
    </row>
    <row customHeight="1" ht="11.25">
      <c r="A42" s="7811" t="s">
        <v>2171</v>
      </c>
      <c r="B42" s="7811" t="s">
        <v>14</v>
      </c>
      <c r="C42" s="7811" t="s">
        <v>2327</v>
      </c>
      <c r="D42" s="7811" t="s">
        <v>2328</v>
      </c>
      <c r="E42" s="7811" t="s">
        <v>2329</v>
      </c>
      <c r="F42" s="7811" t="s">
        <v>2227</v>
      </c>
      <c r="G42" s="7811" t="s">
        <v>24</v>
      </c>
      <c r="H42" s="7811" t="s">
        <v>24</v>
      </c>
      <c r="I42" s="7811" t="s">
        <v>723</v>
      </c>
    </row>
    <row customHeight="1" ht="11.25">
      <c r="A43" s="7811" t="s">
        <v>2171</v>
      </c>
      <c r="B43" s="7811" t="s">
        <v>14</v>
      </c>
      <c r="C43" s="7811" t="s">
        <v>2330</v>
      </c>
      <c r="D43" s="7811" t="s">
        <v>2331</v>
      </c>
      <c r="E43" s="7811" t="s">
        <v>2332</v>
      </c>
      <c r="F43" s="7811" t="s">
        <v>2333</v>
      </c>
      <c r="G43" s="7811" t="s">
        <v>24</v>
      </c>
      <c r="H43" s="7811" t="s">
        <v>2334</v>
      </c>
      <c r="I43" s="7811" t="s">
        <v>723</v>
      </c>
    </row>
    <row customHeight="1" ht="11.25">
      <c r="A44" s="7811" t="s">
        <v>2171</v>
      </c>
      <c r="B44" s="7811" t="s">
        <v>14</v>
      </c>
      <c r="C44" s="7811" t="s">
        <v>2335</v>
      </c>
      <c r="D44" s="7811" t="s">
        <v>2336</v>
      </c>
      <c r="E44" s="7811" t="s">
        <v>2337</v>
      </c>
      <c r="F44" s="7811" t="s">
        <v>2310</v>
      </c>
      <c r="G44" s="7811" t="s">
        <v>24</v>
      </c>
      <c r="H44" s="7811" t="s">
        <v>24</v>
      </c>
      <c r="I44" s="7811" t="s">
        <v>723</v>
      </c>
    </row>
    <row customHeight="1" ht="11.25">
      <c r="A45" s="7811" t="s">
        <v>2171</v>
      </c>
      <c r="B45" s="7811" t="s">
        <v>14</v>
      </c>
      <c r="C45" s="7811" t="s">
        <v>2338</v>
      </c>
      <c r="D45" s="7811" t="s">
        <v>2339</v>
      </c>
      <c r="E45" s="7811" t="s">
        <v>2340</v>
      </c>
      <c r="F45" s="7811" t="s">
        <v>2341</v>
      </c>
      <c r="G45" s="7811" t="s">
        <v>24</v>
      </c>
      <c r="H45" s="7811" t="s">
        <v>24</v>
      </c>
      <c r="I45" s="7811" t="s">
        <v>723</v>
      </c>
    </row>
    <row customHeight="1" ht="11.25">
      <c r="A46" s="7811" t="s">
        <v>2171</v>
      </c>
      <c r="B46" s="7811" t="s">
        <v>14</v>
      </c>
      <c r="C46" s="7811" t="s">
        <v>2342</v>
      </c>
      <c r="D46" s="7811" t="s">
        <v>2343</v>
      </c>
      <c r="E46" s="7811" t="s">
        <v>2344</v>
      </c>
      <c r="F46" s="7811" t="s">
        <v>2288</v>
      </c>
      <c r="G46" s="7811" t="s">
        <v>2345</v>
      </c>
      <c r="H46" s="7811" t="s">
        <v>24</v>
      </c>
      <c r="I46" s="7811" t="s">
        <v>723</v>
      </c>
    </row>
    <row customHeight="1" ht="11.25">
      <c r="A47" s="7811" t="s">
        <v>2171</v>
      </c>
      <c r="B47" s="7811" t="s">
        <v>14</v>
      </c>
      <c r="C47" s="7811" t="s">
        <v>2346</v>
      </c>
      <c r="D47" s="7811" t="s">
        <v>2347</v>
      </c>
      <c r="E47" s="7811" t="s">
        <v>2348</v>
      </c>
      <c r="F47" s="7811" t="s">
        <v>2349</v>
      </c>
      <c r="G47" s="7811" t="s">
        <v>24</v>
      </c>
      <c r="H47" s="7811" t="s">
        <v>24</v>
      </c>
      <c r="I47" s="7811" t="s">
        <v>723</v>
      </c>
    </row>
    <row customHeight="1" ht="11.25">
      <c r="A48" s="7811" t="s">
        <v>2171</v>
      </c>
      <c r="B48" s="7811" t="s">
        <v>14</v>
      </c>
      <c r="C48" s="7811" t="s">
        <v>2350</v>
      </c>
      <c r="D48" s="7811" t="s">
        <v>2351</v>
      </c>
      <c r="E48" s="7811" t="s">
        <v>2352</v>
      </c>
      <c r="F48" s="7811" t="s">
        <v>2341</v>
      </c>
      <c r="G48" s="7811" t="s">
        <v>2353</v>
      </c>
      <c r="H48" s="7811" t="s">
        <v>24</v>
      </c>
      <c r="I48" s="7811" t="s">
        <v>723</v>
      </c>
    </row>
    <row customHeight="1" ht="11.25">
      <c r="A49" s="7811" t="s">
        <v>2171</v>
      </c>
      <c r="B49" s="7811" t="s">
        <v>14</v>
      </c>
      <c r="C49" s="7811" t="s">
        <v>2354</v>
      </c>
      <c r="D49" s="7811" t="s">
        <v>2355</v>
      </c>
      <c r="E49" s="7811" t="s">
        <v>2356</v>
      </c>
      <c r="F49" s="7811" t="s">
        <v>2258</v>
      </c>
      <c r="G49" s="7811" t="s">
        <v>24</v>
      </c>
      <c r="H49" s="7811" t="s">
        <v>24</v>
      </c>
      <c r="I49" s="7811" t="s">
        <v>723</v>
      </c>
    </row>
    <row customHeight="1" ht="11.25">
      <c r="A50" s="7811" t="s">
        <v>2171</v>
      </c>
      <c r="B50" s="7811" t="s">
        <v>14</v>
      </c>
      <c r="C50" s="7811" t="s">
        <v>2357</v>
      </c>
      <c r="D50" s="7811" t="s">
        <v>2358</v>
      </c>
      <c r="E50" s="7811" t="s">
        <v>2359</v>
      </c>
      <c r="F50" s="7811" t="s">
        <v>2227</v>
      </c>
      <c r="G50" s="7811" t="s">
        <v>24</v>
      </c>
      <c r="H50" s="7811" t="s">
        <v>2360</v>
      </c>
      <c r="I50" s="7811" t="s">
        <v>723</v>
      </c>
    </row>
    <row customHeight="1" ht="11.25">
      <c r="A51" s="7811" t="s">
        <v>2171</v>
      </c>
      <c r="B51" s="7811" t="s">
        <v>14</v>
      </c>
      <c r="C51" s="7811" t="s">
        <v>2361</v>
      </c>
      <c r="D51" s="7811" t="s">
        <v>2362</v>
      </c>
      <c r="E51" s="7811" t="s">
        <v>2363</v>
      </c>
      <c r="F51" s="7811" t="s">
        <v>2364</v>
      </c>
      <c r="G51" s="7811" t="s">
        <v>24</v>
      </c>
      <c r="H51" s="7811" t="s">
        <v>24</v>
      </c>
      <c r="I51" s="7811" t="s">
        <v>723</v>
      </c>
    </row>
    <row customHeight="1" ht="11.25">
      <c r="A52" s="7811" t="s">
        <v>2171</v>
      </c>
      <c r="B52" s="7811" t="s">
        <v>14</v>
      </c>
      <c r="C52" s="7811" t="s">
        <v>2365</v>
      </c>
      <c r="D52" s="7811" t="s">
        <v>2366</v>
      </c>
      <c r="E52" s="7811" t="s">
        <v>2367</v>
      </c>
      <c r="F52" s="7811" t="s">
        <v>2310</v>
      </c>
      <c r="G52" s="7811" t="s">
        <v>2368</v>
      </c>
      <c r="H52" s="7811" t="s">
        <v>24</v>
      </c>
      <c r="I52" s="7811" t="s">
        <v>723</v>
      </c>
    </row>
    <row customHeight="1" ht="11.25">
      <c r="A53" s="7811" t="s">
        <v>2171</v>
      </c>
      <c r="B53" s="7811" t="s">
        <v>14</v>
      </c>
      <c r="C53" s="7811" t="s">
        <v>2369</v>
      </c>
      <c r="D53" s="7811" t="s">
        <v>2370</v>
      </c>
      <c r="E53" s="7811" t="s">
        <v>2371</v>
      </c>
      <c r="F53" s="7811" t="s">
        <v>2227</v>
      </c>
      <c r="G53" s="7811" t="s">
        <v>24</v>
      </c>
      <c r="H53" s="7811" t="s">
        <v>24</v>
      </c>
      <c r="I53" s="7811" t="s">
        <v>723</v>
      </c>
    </row>
    <row customHeight="1" ht="11.25">
      <c r="A54" s="7811" t="s">
        <v>2171</v>
      </c>
      <c r="B54" s="7811" t="s">
        <v>14</v>
      </c>
      <c r="C54" s="7811" t="s">
        <v>2372</v>
      </c>
      <c r="D54" s="7811" t="s">
        <v>2373</v>
      </c>
      <c r="E54" s="7811" t="s">
        <v>2374</v>
      </c>
      <c r="F54" s="7811" t="s">
        <v>2258</v>
      </c>
      <c r="G54" s="7811" t="s">
        <v>24</v>
      </c>
      <c r="H54" s="7811" t="s">
        <v>2375</v>
      </c>
      <c r="I54" s="7811" t="s">
        <v>723</v>
      </c>
    </row>
    <row customHeight="1" ht="11.25">
      <c r="A55" s="7811" t="s">
        <v>2171</v>
      </c>
      <c r="B55" s="7811" t="s">
        <v>14</v>
      </c>
      <c r="C55" s="7811" t="s">
        <v>2376</v>
      </c>
      <c r="D55" s="7811" t="s">
        <v>2377</v>
      </c>
      <c r="E55" s="7811" t="s">
        <v>2378</v>
      </c>
      <c r="F55" s="7811" t="s">
        <v>2379</v>
      </c>
      <c r="G55" s="7811" t="s">
        <v>24</v>
      </c>
      <c r="H55" s="7811" t="s">
        <v>24</v>
      </c>
      <c r="I55" s="7811" t="s">
        <v>723</v>
      </c>
    </row>
    <row customHeight="1" ht="11.25">
      <c r="A56" s="7811" t="s">
        <v>2171</v>
      </c>
      <c r="B56" s="7811" t="s">
        <v>14</v>
      </c>
      <c r="C56" s="7811" t="s">
        <v>2380</v>
      </c>
      <c r="D56" s="7811" t="s">
        <v>2381</v>
      </c>
      <c r="E56" s="7811" t="s">
        <v>2382</v>
      </c>
      <c r="F56" s="7811" t="s">
        <v>2383</v>
      </c>
      <c r="G56" s="7811" t="s">
        <v>24</v>
      </c>
      <c r="H56" s="7811" t="s">
        <v>24</v>
      </c>
      <c r="I56" s="7811" t="s">
        <v>723</v>
      </c>
    </row>
    <row customHeight="1" ht="11.25">
      <c r="A57" s="7811" t="s">
        <v>2171</v>
      </c>
      <c r="B57" s="7811" t="s">
        <v>14</v>
      </c>
      <c r="C57" s="7811" t="s">
        <v>2384</v>
      </c>
      <c r="D57" s="7811" t="s">
        <v>2385</v>
      </c>
      <c r="E57" s="7811" t="s">
        <v>2386</v>
      </c>
      <c r="F57" s="7811" t="s">
        <v>2227</v>
      </c>
      <c r="G57" s="7811" t="s">
        <v>24</v>
      </c>
      <c r="H57" s="7811" t="s">
        <v>24</v>
      </c>
      <c r="I57" s="7811" t="s">
        <v>723</v>
      </c>
    </row>
    <row customHeight="1" ht="11.25">
      <c r="A58" s="7811" t="s">
        <v>2171</v>
      </c>
      <c r="B58" s="7811" t="s">
        <v>14</v>
      </c>
      <c r="C58" s="7811" t="s">
        <v>2387</v>
      </c>
      <c r="D58" s="7811" t="s">
        <v>2388</v>
      </c>
      <c r="E58" s="7811" t="s">
        <v>2389</v>
      </c>
      <c r="F58" s="7811" t="s">
        <v>2227</v>
      </c>
      <c r="G58" s="7811" t="s">
        <v>24</v>
      </c>
      <c r="H58" s="7811" t="s">
        <v>24</v>
      </c>
      <c r="I58" s="7811" t="s">
        <v>723</v>
      </c>
    </row>
    <row customHeight="1" ht="11.25">
      <c r="A59" s="7811" t="s">
        <v>2171</v>
      </c>
      <c r="B59" s="7811" t="s">
        <v>14</v>
      </c>
      <c r="C59" s="7811" t="s">
        <v>2390</v>
      </c>
      <c r="D59" s="7811" t="s">
        <v>2391</v>
      </c>
      <c r="E59" s="7811" t="s">
        <v>2392</v>
      </c>
      <c r="F59" s="7811" t="s">
        <v>2213</v>
      </c>
      <c r="G59" s="7811" t="s">
        <v>24</v>
      </c>
      <c r="H59" s="7811" t="s">
        <v>24</v>
      </c>
      <c r="I59" s="7811" t="s">
        <v>723</v>
      </c>
    </row>
    <row customHeight="1" ht="11.25">
      <c r="A60" s="7811" t="s">
        <v>2171</v>
      </c>
      <c r="B60" s="7811" t="s">
        <v>14</v>
      </c>
      <c r="C60" s="7811" t="s">
        <v>2393</v>
      </c>
      <c r="D60" s="7811" t="s">
        <v>2394</v>
      </c>
      <c r="E60" s="7811" t="s">
        <v>2395</v>
      </c>
      <c r="F60" s="7811" t="s">
        <v>2396</v>
      </c>
      <c r="G60" s="7811" t="s">
        <v>24</v>
      </c>
      <c r="H60" s="7811" t="s">
        <v>24</v>
      </c>
      <c r="I60" s="7811" t="s">
        <v>723</v>
      </c>
    </row>
    <row customHeight="1" ht="11.25">
      <c r="A61" s="7811" t="s">
        <v>2171</v>
      </c>
      <c r="B61" s="7811" t="s">
        <v>14</v>
      </c>
      <c r="C61" s="7811" t="s">
        <v>2397</v>
      </c>
      <c r="D61" s="7811" t="s">
        <v>2398</v>
      </c>
      <c r="E61" s="7811" t="s">
        <v>2399</v>
      </c>
      <c r="F61" s="7811" t="s">
        <v>2400</v>
      </c>
      <c r="G61" s="7811" t="s">
        <v>24</v>
      </c>
      <c r="H61" s="7811" t="s">
        <v>24</v>
      </c>
      <c r="I61" s="7811" t="s">
        <v>723</v>
      </c>
    </row>
    <row customHeight="1" ht="11.25">
      <c r="A62" s="7811" t="s">
        <v>2171</v>
      </c>
      <c r="B62" s="7811" t="s">
        <v>14</v>
      </c>
      <c r="C62" s="7811" t="s">
        <v>2401</v>
      </c>
      <c r="D62" s="7811" t="s">
        <v>2402</v>
      </c>
      <c r="E62" s="7811" t="s">
        <v>2403</v>
      </c>
      <c r="F62" s="7811" t="s">
        <v>2404</v>
      </c>
      <c r="G62" s="7811" t="s">
        <v>24</v>
      </c>
      <c r="H62" s="7811" t="s">
        <v>2405</v>
      </c>
      <c r="I62" s="7811" t="s">
        <v>723</v>
      </c>
    </row>
    <row customHeight="1" ht="11.25">
      <c r="A63" s="7811" t="s">
        <v>2171</v>
      </c>
      <c r="B63" s="7811" t="s">
        <v>14</v>
      </c>
      <c r="C63" s="7811" t="s">
        <v>2406</v>
      </c>
      <c r="D63" s="7811" t="s">
        <v>2407</v>
      </c>
      <c r="E63" s="7811" t="s">
        <v>2408</v>
      </c>
      <c r="F63" s="7811" t="s">
        <v>2296</v>
      </c>
      <c r="G63" s="7811" t="s">
        <v>24</v>
      </c>
      <c r="H63" s="7811" t="s">
        <v>24</v>
      </c>
      <c r="I63" s="7811" t="s">
        <v>723</v>
      </c>
    </row>
    <row customHeight="1" ht="11.25">
      <c r="A64" s="7811" t="s">
        <v>2171</v>
      </c>
      <c r="B64" s="7811" t="s">
        <v>14</v>
      </c>
      <c r="C64" s="7811" t="s">
        <v>2409</v>
      </c>
      <c r="D64" s="7811" t="s">
        <v>2410</v>
      </c>
      <c r="E64" s="7811" t="s">
        <v>2411</v>
      </c>
      <c r="F64" s="7811" t="s">
        <v>2412</v>
      </c>
      <c r="G64" s="7811" t="s">
        <v>24</v>
      </c>
      <c r="H64" s="7811" t="s">
        <v>24</v>
      </c>
      <c r="I64" s="7811" t="s">
        <v>723</v>
      </c>
    </row>
    <row customHeight="1" ht="11.25">
      <c r="A65" s="7811" t="s">
        <v>2171</v>
      </c>
      <c r="B65" s="7811" t="s">
        <v>14</v>
      </c>
      <c r="C65" s="7811" t="s">
        <v>2413</v>
      </c>
      <c r="D65" s="7811" t="s">
        <v>2414</v>
      </c>
      <c r="E65" s="7811" t="s">
        <v>2415</v>
      </c>
      <c r="F65" s="7811" t="s">
        <v>2416</v>
      </c>
      <c r="G65" s="7811" t="s">
        <v>24</v>
      </c>
      <c r="H65" s="7811" t="s">
        <v>24</v>
      </c>
      <c r="I65" s="7811" t="s">
        <v>723</v>
      </c>
    </row>
    <row customHeight="1" ht="11.25">
      <c r="A66" s="7811" t="s">
        <v>2171</v>
      </c>
      <c r="B66" s="7811" t="s">
        <v>14</v>
      </c>
      <c r="C66" s="7811" t="s">
        <v>2417</v>
      </c>
      <c r="D66" s="7811" t="s">
        <v>2418</v>
      </c>
      <c r="E66" s="7811" t="s">
        <v>2419</v>
      </c>
      <c r="F66" s="7811" t="s">
        <v>2420</v>
      </c>
      <c r="G66" s="7811" t="s">
        <v>24</v>
      </c>
      <c r="H66" s="7811" t="s">
        <v>24</v>
      </c>
      <c r="I66" s="7811" t="s">
        <v>723</v>
      </c>
    </row>
    <row customHeight="1" ht="11.25">
      <c r="A67" s="7811" t="s">
        <v>2171</v>
      </c>
      <c r="B67" s="7811" t="s">
        <v>14</v>
      </c>
      <c r="C67" s="7811" t="s">
        <v>2421</v>
      </c>
      <c r="D67" s="7811" t="s">
        <v>2422</v>
      </c>
      <c r="E67" s="7811" t="s">
        <v>2423</v>
      </c>
      <c r="F67" s="7811" t="s">
        <v>2424</v>
      </c>
      <c r="G67" s="7811" t="s">
        <v>24</v>
      </c>
      <c r="H67" s="7811" t="s">
        <v>24</v>
      </c>
      <c r="I67" s="7811" t="s">
        <v>723</v>
      </c>
    </row>
    <row customHeight="1" ht="11.25">
      <c r="A68" s="7811" t="s">
        <v>2171</v>
      </c>
      <c r="B68" s="7811" t="s">
        <v>14</v>
      </c>
      <c r="C68" s="7811" t="s">
        <v>2425</v>
      </c>
      <c r="D68" s="7811" t="s">
        <v>2426</v>
      </c>
      <c r="E68" s="7811" t="s">
        <v>2427</v>
      </c>
      <c r="F68" s="7811" t="s">
        <v>2179</v>
      </c>
      <c r="G68" s="7811" t="s">
        <v>24</v>
      </c>
      <c r="H68" s="7811" t="s">
        <v>24</v>
      </c>
      <c r="I68" s="7811" t="s">
        <v>723</v>
      </c>
    </row>
    <row customHeight="1" ht="11.25">
      <c r="A69" s="7811" t="s">
        <v>2171</v>
      </c>
      <c r="B69" s="7811" t="s">
        <v>14</v>
      </c>
      <c r="C69" s="7811" t="s">
        <v>2428</v>
      </c>
      <c r="D69" s="7811" t="s">
        <v>2429</v>
      </c>
      <c r="E69" s="7811" t="s">
        <v>2430</v>
      </c>
      <c r="F69" s="7811" t="s">
        <v>2431</v>
      </c>
      <c r="G69" s="7811" t="s">
        <v>24</v>
      </c>
      <c r="H69" s="7811" t="s">
        <v>24</v>
      </c>
      <c r="I69" s="7811" t="s">
        <v>723</v>
      </c>
    </row>
    <row customHeight="1" ht="11.25">
      <c r="A70" s="7811" t="s">
        <v>2171</v>
      </c>
      <c r="B70" s="7811" t="s">
        <v>14</v>
      </c>
      <c r="C70" s="7811" t="s">
        <v>2432</v>
      </c>
      <c r="D70" s="7811" t="s">
        <v>2433</v>
      </c>
      <c r="E70" s="7811" t="s">
        <v>2434</v>
      </c>
      <c r="F70" s="7811" t="s">
        <v>2435</v>
      </c>
      <c r="G70" s="7811" t="s">
        <v>24</v>
      </c>
      <c r="H70" s="7811" t="s">
        <v>24</v>
      </c>
      <c r="I70" s="7811" t="s">
        <v>723</v>
      </c>
    </row>
    <row customHeight="1" ht="11.25">
      <c r="A71" s="7811" t="s">
        <v>2171</v>
      </c>
      <c r="B71" s="7811" t="s">
        <v>14</v>
      </c>
      <c r="C71" s="7811" t="s">
        <v>2436</v>
      </c>
      <c r="D71" s="7811" t="s">
        <v>2437</v>
      </c>
      <c r="E71" s="7811" t="s">
        <v>2438</v>
      </c>
      <c r="F71" s="7811" t="s">
        <v>2258</v>
      </c>
      <c r="G71" s="7811" t="s">
        <v>24</v>
      </c>
      <c r="H71" s="7811" t="s">
        <v>24</v>
      </c>
      <c r="I71" s="7811" t="s">
        <v>723</v>
      </c>
    </row>
    <row customHeight="1" ht="11.25">
      <c r="A72" s="7811" t="s">
        <v>2171</v>
      </c>
      <c r="B72" s="7811" t="s">
        <v>14</v>
      </c>
      <c r="C72" s="7811" t="s">
        <v>2439</v>
      </c>
      <c r="D72" s="7811" t="s">
        <v>2440</v>
      </c>
      <c r="E72" s="7811" t="s">
        <v>2441</v>
      </c>
      <c r="F72" s="7811" t="s">
        <v>2404</v>
      </c>
      <c r="G72" s="7811" t="s">
        <v>24</v>
      </c>
      <c r="H72" s="7811" t="s">
        <v>24</v>
      </c>
      <c r="I72" s="7811" t="s">
        <v>723</v>
      </c>
    </row>
    <row customHeight="1" ht="11.25">
      <c r="A73" s="7811" t="s">
        <v>2171</v>
      </c>
      <c r="B73" s="7811" t="s">
        <v>14</v>
      </c>
      <c r="C73" s="7811" t="s">
        <v>2442</v>
      </c>
      <c r="D73" s="7811" t="s">
        <v>2443</v>
      </c>
      <c r="E73" s="7811" t="s">
        <v>2444</v>
      </c>
      <c r="F73" s="7811" t="s">
        <v>2445</v>
      </c>
      <c r="G73" s="7811" t="s">
        <v>24</v>
      </c>
      <c r="H73" s="7811" t="s">
        <v>24</v>
      </c>
      <c r="I73" s="7811" t="s">
        <v>723</v>
      </c>
    </row>
    <row customHeight="1" ht="11.25">
      <c r="A74" s="7811" t="s">
        <v>2171</v>
      </c>
      <c r="B74" s="7811" t="s">
        <v>14</v>
      </c>
      <c r="C74" s="7811" t="s">
        <v>2446</v>
      </c>
      <c r="D74" s="7811" t="s">
        <v>2447</v>
      </c>
      <c r="E74" s="7811" t="s">
        <v>2448</v>
      </c>
      <c r="F74" s="7811" t="s">
        <v>2449</v>
      </c>
      <c r="G74" s="7811" t="s">
        <v>24</v>
      </c>
      <c r="H74" s="7811" t="s">
        <v>24</v>
      </c>
      <c r="I74" s="7811" t="s">
        <v>723</v>
      </c>
    </row>
    <row customHeight="1" ht="11.25">
      <c r="A75" s="7811" t="s">
        <v>2171</v>
      </c>
      <c r="B75" s="7811" t="s">
        <v>14</v>
      </c>
      <c r="C75" s="7811" t="s">
        <v>2450</v>
      </c>
      <c r="D75" s="7811" t="s">
        <v>2451</v>
      </c>
      <c r="E75" s="7811" t="s">
        <v>2452</v>
      </c>
      <c r="F75" s="7811" t="s">
        <v>2453</v>
      </c>
      <c r="G75" s="7811" t="s">
        <v>24</v>
      </c>
      <c r="H75" s="7811" t="s">
        <v>24</v>
      </c>
      <c r="I75" s="7811" t="s">
        <v>723</v>
      </c>
    </row>
    <row customHeight="1" ht="11.25">
      <c r="A76" s="7811" t="s">
        <v>2171</v>
      </c>
      <c r="B76" s="7811" t="s">
        <v>14</v>
      </c>
      <c r="C76" s="7811" t="s">
        <v>2454</v>
      </c>
      <c r="D76" s="7811" t="s">
        <v>2455</v>
      </c>
      <c r="E76" s="7811" t="s">
        <v>2456</v>
      </c>
      <c r="F76" s="7811" t="s">
        <v>2457</v>
      </c>
      <c r="G76" s="7811" t="s">
        <v>24</v>
      </c>
      <c r="H76" s="7811" t="s">
        <v>2458</v>
      </c>
      <c r="I76" s="7811" t="s">
        <v>723</v>
      </c>
    </row>
    <row customHeight="1" ht="11.25">
      <c r="A77" s="7811" t="s">
        <v>2171</v>
      </c>
      <c r="B77" s="7811" t="s">
        <v>14</v>
      </c>
      <c r="C77" s="7811" t="s">
        <v>2459</v>
      </c>
      <c r="D77" s="7811" t="s">
        <v>2460</v>
      </c>
      <c r="E77" s="7811" t="s">
        <v>2461</v>
      </c>
      <c r="F77" s="7811" t="s">
        <v>2462</v>
      </c>
      <c r="G77" s="7811" t="s">
        <v>24</v>
      </c>
      <c r="H77" s="7811" t="s">
        <v>24</v>
      </c>
      <c r="I77" s="7811" t="s">
        <v>723</v>
      </c>
    </row>
    <row customHeight="1" ht="11.25">
      <c r="A78" s="7811" t="s">
        <v>2171</v>
      </c>
      <c r="B78" s="7811" t="s">
        <v>14</v>
      </c>
      <c r="C78" s="7811" t="s">
        <v>2463</v>
      </c>
      <c r="D78" s="7811" t="s">
        <v>2464</v>
      </c>
      <c r="E78" s="7811" t="s">
        <v>2465</v>
      </c>
      <c r="F78" s="7811" t="s">
        <v>2466</v>
      </c>
      <c r="G78" s="7811" t="s">
        <v>24</v>
      </c>
      <c r="H78" s="7811" t="s">
        <v>2214</v>
      </c>
      <c r="I78" s="7811" t="s">
        <v>723</v>
      </c>
    </row>
    <row customHeight="1" ht="11.25">
      <c r="A79" s="7811" t="s">
        <v>2171</v>
      </c>
      <c r="B79" s="7811" t="s">
        <v>14</v>
      </c>
      <c r="C79" s="7811" t="s">
        <v>2467</v>
      </c>
      <c r="D79" s="7811" t="s">
        <v>2468</v>
      </c>
      <c r="E79" s="7811" t="s">
        <v>2469</v>
      </c>
      <c r="F79" s="7811" t="s">
        <v>2466</v>
      </c>
      <c r="G79" s="7811" t="s">
        <v>24</v>
      </c>
      <c r="H79" s="7811" t="s">
        <v>24</v>
      </c>
      <c r="I79" s="7811" t="s">
        <v>723</v>
      </c>
    </row>
    <row customHeight="1" ht="11.25">
      <c r="A80" s="7811" t="s">
        <v>2171</v>
      </c>
      <c r="B80" s="7811" t="s">
        <v>14</v>
      </c>
      <c r="C80" s="7811" t="s">
        <v>2470</v>
      </c>
      <c r="D80" s="7811" t="s">
        <v>2471</v>
      </c>
      <c r="E80" s="7811" t="s">
        <v>2472</v>
      </c>
      <c r="F80" s="7811" t="s">
        <v>2258</v>
      </c>
      <c r="G80" s="7811" t="s">
        <v>24</v>
      </c>
      <c r="H80" s="7811" t="s">
        <v>24</v>
      </c>
      <c r="I80" s="7811" t="s">
        <v>723</v>
      </c>
    </row>
    <row customHeight="1" ht="11.25">
      <c r="A81" s="7811" t="s">
        <v>2171</v>
      </c>
      <c r="B81" s="7811" t="s">
        <v>14</v>
      </c>
      <c r="C81" s="7811" t="s">
        <v>2473</v>
      </c>
      <c r="D81" s="7811" t="s">
        <v>2474</v>
      </c>
      <c r="E81" s="7811" t="s">
        <v>2475</v>
      </c>
      <c r="F81" s="7811" t="s">
        <v>2175</v>
      </c>
      <c r="G81" s="7811" t="s">
        <v>24</v>
      </c>
      <c r="H81" s="7811" t="s">
        <v>24</v>
      </c>
      <c r="I81" s="7811" t="s">
        <v>723</v>
      </c>
    </row>
    <row customHeight="1" ht="11.25">
      <c r="A82" s="7811" t="s">
        <v>2171</v>
      </c>
      <c r="B82" s="7811" t="s">
        <v>14</v>
      </c>
      <c r="C82" s="7811" t="s">
        <v>2476</v>
      </c>
      <c r="D82" s="7811" t="s">
        <v>2477</v>
      </c>
      <c r="E82" s="7811" t="s">
        <v>2478</v>
      </c>
      <c r="F82" s="7811" t="s">
        <v>2383</v>
      </c>
      <c r="G82" s="7811" t="s">
        <v>24</v>
      </c>
      <c r="H82" s="7811" t="s">
        <v>24</v>
      </c>
      <c r="I82" s="7811" t="s">
        <v>723</v>
      </c>
    </row>
    <row customHeight="1" ht="11.25">
      <c r="A83" s="7811" t="s">
        <v>2171</v>
      </c>
      <c r="B83" s="7811" t="s">
        <v>14</v>
      </c>
      <c r="C83" s="7811" t="s">
        <v>2479</v>
      </c>
      <c r="D83" s="7811" t="s">
        <v>2480</v>
      </c>
      <c r="E83" s="7811" t="s">
        <v>2481</v>
      </c>
      <c r="F83" s="7811" t="s">
        <v>2227</v>
      </c>
      <c r="G83" s="7811" t="s">
        <v>24</v>
      </c>
      <c r="H83" s="7811" t="s">
        <v>24</v>
      </c>
      <c r="I83" s="7811" t="s">
        <v>723</v>
      </c>
    </row>
    <row customHeight="1" ht="11.25">
      <c r="A84" s="7811" t="s">
        <v>2171</v>
      </c>
      <c r="B84" s="7811" t="s">
        <v>14</v>
      </c>
      <c r="C84" s="7811" t="s">
        <v>2482</v>
      </c>
      <c r="D84" s="7811" t="s">
        <v>2483</v>
      </c>
      <c r="E84" s="7811" t="s">
        <v>2484</v>
      </c>
      <c r="F84" s="7811" t="s">
        <v>49</v>
      </c>
      <c r="G84" s="7811" t="s">
        <v>24</v>
      </c>
      <c r="H84" s="7811" t="s">
        <v>24</v>
      </c>
      <c r="I84" s="7811" t="s">
        <v>723</v>
      </c>
    </row>
    <row customHeight="1" ht="11.25">
      <c r="A85" s="7811" t="s">
        <v>2171</v>
      </c>
      <c r="B85" s="7811" t="s">
        <v>14</v>
      </c>
      <c r="C85" s="7811" t="s">
        <v>2485</v>
      </c>
      <c r="D85" s="7811" t="s">
        <v>2486</v>
      </c>
      <c r="E85" s="7811" t="s">
        <v>2487</v>
      </c>
      <c r="F85" s="7811" t="s">
        <v>2488</v>
      </c>
      <c r="G85" s="7811" t="s">
        <v>2489</v>
      </c>
      <c r="H85" s="7811" t="s">
        <v>24</v>
      </c>
      <c r="I85" s="7811" t="s">
        <v>723</v>
      </c>
    </row>
    <row customHeight="1" ht="11.25">
      <c r="A86" s="7811" t="s">
        <v>2171</v>
      </c>
      <c r="B86" s="7811" t="s">
        <v>14</v>
      </c>
      <c r="C86" s="7811" t="s">
        <v>2490</v>
      </c>
      <c r="D86" s="7811" t="s">
        <v>2491</v>
      </c>
      <c r="E86" s="7811" t="s">
        <v>2492</v>
      </c>
      <c r="F86" s="7811" t="s">
        <v>2349</v>
      </c>
      <c r="G86" s="7811" t="s">
        <v>24</v>
      </c>
      <c r="H86" s="7811" t="s">
        <v>2360</v>
      </c>
      <c r="I86" s="7811" t="s">
        <v>723</v>
      </c>
    </row>
    <row customHeight="1" ht="11.25">
      <c r="A87" s="7811" t="s">
        <v>2171</v>
      </c>
      <c r="B87" s="7811" t="s">
        <v>14</v>
      </c>
      <c r="C87" s="7811" t="s">
        <v>2493</v>
      </c>
      <c r="D87" s="7811" t="s">
        <v>2494</v>
      </c>
      <c r="E87" s="7811" t="s">
        <v>2495</v>
      </c>
      <c r="F87" s="7811" t="s">
        <v>49</v>
      </c>
      <c r="G87" s="7811" t="s">
        <v>24</v>
      </c>
      <c r="H87" s="7811" t="s">
        <v>2496</v>
      </c>
      <c r="I87" s="7811" t="s">
        <v>723</v>
      </c>
    </row>
    <row customHeight="1" ht="11.25">
      <c r="A88" s="7811" t="s">
        <v>2171</v>
      </c>
      <c r="B88" s="7811" t="s">
        <v>14</v>
      </c>
      <c r="C88" s="7811" t="s">
        <v>2497</v>
      </c>
      <c r="D88" s="7811" t="s">
        <v>2498</v>
      </c>
      <c r="E88" s="7811" t="s">
        <v>2499</v>
      </c>
      <c r="F88" s="7811" t="s">
        <v>2288</v>
      </c>
      <c r="G88" s="7811" t="s">
        <v>24</v>
      </c>
      <c r="H88" s="7811" t="s">
        <v>2375</v>
      </c>
      <c r="I88" s="7811" t="s">
        <v>723</v>
      </c>
    </row>
    <row customHeight="1" ht="11.25">
      <c r="A89" s="7811" t="s">
        <v>2171</v>
      </c>
      <c r="B89" s="7811" t="s">
        <v>14</v>
      </c>
      <c r="C89" s="7811" t="s">
        <v>2500</v>
      </c>
      <c r="D89" s="7811" t="s">
        <v>2501</v>
      </c>
      <c r="E89" s="7811" t="s">
        <v>2502</v>
      </c>
      <c r="F89" s="7811" t="s">
        <v>2213</v>
      </c>
      <c r="G89" s="7811" t="s">
        <v>24</v>
      </c>
      <c r="H89" s="7811" t="s">
        <v>24</v>
      </c>
      <c r="I89" s="7811" t="s">
        <v>723</v>
      </c>
    </row>
    <row customHeight="1" ht="11.25">
      <c r="A90" s="7811" t="s">
        <v>2171</v>
      </c>
      <c r="B90" s="7811" t="s">
        <v>14</v>
      </c>
      <c r="C90" s="7811" t="s">
        <v>2503</v>
      </c>
      <c r="D90" s="7811" t="s">
        <v>2504</v>
      </c>
      <c r="E90" s="7811" t="s">
        <v>2505</v>
      </c>
      <c r="F90" s="7811" t="s">
        <v>2179</v>
      </c>
      <c r="G90" s="7811" t="s">
        <v>24</v>
      </c>
      <c r="H90" s="7811" t="s">
        <v>24</v>
      </c>
      <c r="I90" s="7811" t="s">
        <v>723</v>
      </c>
    </row>
    <row customHeight="1" ht="11.25">
      <c r="A91" s="7811" t="s">
        <v>2171</v>
      </c>
      <c r="B91" s="7811" t="s">
        <v>14</v>
      </c>
      <c r="C91" s="7811" t="s">
        <v>2506</v>
      </c>
      <c r="D91" s="7811" t="s">
        <v>2507</v>
      </c>
      <c r="E91" s="7811" t="s">
        <v>2508</v>
      </c>
      <c r="F91" s="7811" t="s">
        <v>2404</v>
      </c>
      <c r="G91" s="7811" t="s">
        <v>24</v>
      </c>
      <c r="H91" s="7811" t="s">
        <v>2509</v>
      </c>
      <c r="I91" s="7811" t="s">
        <v>723</v>
      </c>
    </row>
    <row customHeight="1" ht="11.25">
      <c r="A92" s="7811" t="s">
        <v>2171</v>
      </c>
      <c r="B92" s="7811" t="s">
        <v>14</v>
      </c>
      <c r="C92" s="7811" t="s">
        <v>2510</v>
      </c>
      <c r="D92" s="7811" t="s">
        <v>2511</v>
      </c>
      <c r="E92" s="7811" t="s">
        <v>2512</v>
      </c>
      <c r="F92" s="7811" t="s">
        <v>2453</v>
      </c>
      <c r="G92" s="7811" t="s">
        <v>24</v>
      </c>
      <c r="H92" s="7811" t="s">
        <v>2513</v>
      </c>
      <c r="I92" s="7811" t="s">
        <v>723</v>
      </c>
    </row>
    <row customHeight="1" ht="11.25">
      <c r="A93" s="7811" t="s">
        <v>2171</v>
      </c>
      <c r="B93" s="7811" t="s">
        <v>14</v>
      </c>
      <c r="C93" s="7811" t="s">
        <v>2514</v>
      </c>
      <c r="D93" s="7811" t="s">
        <v>2515</v>
      </c>
      <c r="E93" s="7811" t="s">
        <v>2516</v>
      </c>
      <c r="F93" s="7811" t="s">
        <v>2517</v>
      </c>
      <c r="G93" s="7811" t="s">
        <v>24</v>
      </c>
      <c r="H93" s="7811" t="s">
        <v>24</v>
      </c>
      <c r="I93" s="7811" t="s">
        <v>723</v>
      </c>
    </row>
    <row customHeight="1" ht="11.25">
      <c r="A94" s="7811" t="s">
        <v>2171</v>
      </c>
      <c r="B94" s="7811" t="s">
        <v>14</v>
      </c>
      <c r="C94" s="7811" t="s">
        <v>2518</v>
      </c>
      <c r="D94" s="7811" t="s">
        <v>2519</v>
      </c>
      <c r="E94" s="7811" t="s">
        <v>2520</v>
      </c>
      <c r="F94" s="7811" t="s">
        <v>2521</v>
      </c>
      <c r="G94" s="7811" t="s">
        <v>24</v>
      </c>
      <c r="H94" s="7811" t="s">
        <v>24</v>
      </c>
      <c r="I94" s="7811" t="s">
        <v>723</v>
      </c>
    </row>
    <row customHeight="1" ht="11.25">
      <c r="A95" s="7811" t="s">
        <v>2171</v>
      </c>
      <c r="B95" s="7811" t="s">
        <v>14</v>
      </c>
      <c r="C95" s="7811" t="s">
        <v>2522</v>
      </c>
      <c r="D95" s="7811" t="s">
        <v>2523</v>
      </c>
      <c r="E95" s="7811" t="s">
        <v>2524</v>
      </c>
      <c r="F95" s="7811" t="s">
        <v>2517</v>
      </c>
      <c r="G95" s="7811" t="s">
        <v>2458</v>
      </c>
      <c r="H95" s="7811" t="s">
        <v>2525</v>
      </c>
      <c r="I95" s="7811" t="s">
        <v>723</v>
      </c>
    </row>
    <row customHeight="1" ht="11.25">
      <c r="A96" s="7811" t="s">
        <v>2171</v>
      </c>
      <c r="B96" s="7811" t="s">
        <v>14</v>
      </c>
      <c r="C96" s="7811" t="s">
        <v>2526</v>
      </c>
      <c r="D96" s="7811" t="s">
        <v>2527</v>
      </c>
      <c r="E96" s="7811" t="s">
        <v>2528</v>
      </c>
      <c r="F96" s="7811" t="s">
        <v>2517</v>
      </c>
      <c r="G96" s="7811" t="s">
        <v>2529</v>
      </c>
      <c r="H96" s="7811" t="s">
        <v>24</v>
      </c>
      <c r="I96" s="7811" t="s">
        <v>723</v>
      </c>
    </row>
    <row customHeight="1" ht="11.25">
      <c r="A97" s="7811" t="s">
        <v>2171</v>
      </c>
      <c r="B97" s="7811" t="s">
        <v>14</v>
      </c>
      <c r="C97" s="7811" t="s">
        <v>2530</v>
      </c>
      <c r="D97" s="7811" t="s">
        <v>2531</v>
      </c>
      <c r="E97" s="7811" t="s">
        <v>2532</v>
      </c>
      <c r="F97" s="7811" t="s">
        <v>2453</v>
      </c>
      <c r="G97" s="7811" t="s">
        <v>2533</v>
      </c>
      <c r="H97" s="7811" t="s">
        <v>24</v>
      </c>
      <c r="I97" s="7811" t="s">
        <v>723</v>
      </c>
    </row>
    <row customHeight="1" ht="11.25">
      <c r="A98" s="7811" t="s">
        <v>2171</v>
      </c>
      <c r="B98" s="7811" t="s">
        <v>14</v>
      </c>
      <c r="C98" s="7811" t="s">
        <v>2534</v>
      </c>
      <c r="D98" s="7811" t="s">
        <v>2535</v>
      </c>
      <c r="E98" s="7811" t="s">
        <v>2536</v>
      </c>
      <c r="F98" s="7811" t="s">
        <v>2175</v>
      </c>
      <c r="G98" s="7811" t="s">
        <v>2537</v>
      </c>
      <c r="H98" s="7811" t="s">
        <v>24</v>
      </c>
      <c r="I98" s="7811" t="s">
        <v>723</v>
      </c>
    </row>
    <row customHeight="1" ht="11.25">
      <c r="A99" s="7811" t="s">
        <v>2171</v>
      </c>
      <c r="B99" s="7811" t="s">
        <v>14</v>
      </c>
      <c r="C99" s="7811" t="s">
        <v>2538</v>
      </c>
      <c r="D99" s="7811" t="s">
        <v>2539</v>
      </c>
      <c r="E99" s="7811" t="s">
        <v>2540</v>
      </c>
      <c r="F99" s="7811" t="s">
        <v>2466</v>
      </c>
      <c r="G99" s="7811" t="s">
        <v>24</v>
      </c>
      <c r="H99" s="7811" t="s">
        <v>2541</v>
      </c>
      <c r="I99" s="7811" t="s">
        <v>723</v>
      </c>
    </row>
    <row customHeight="1" ht="11.25">
      <c r="A100" s="7811" t="s">
        <v>2171</v>
      </c>
      <c r="B100" s="7811" t="s">
        <v>14</v>
      </c>
      <c r="C100" s="7811" t="s">
        <v>2542</v>
      </c>
      <c r="D100" s="7811" t="s">
        <v>2543</v>
      </c>
      <c r="E100" s="7811" t="s">
        <v>2544</v>
      </c>
      <c r="F100" s="7811" t="s">
        <v>2281</v>
      </c>
      <c r="G100" s="7811" t="s">
        <v>2545</v>
      </c>
      <c r="H100" s="7811" t="s">
        <v>24</v>
      </c>
      <c r="I100" s="7811" t="s">
        <v>723</v>
      </c>
    </row>
    <row customHeight="1" ht="11.25">
      <c r="A101" s="7811" t="s">
        <v>2171</v>
      </c>
      <c r="B101" s="7811" t="s">
        <v>14</v>
      </c>
      <c r="C101" s="7811" t="s">
        <v>2546</v>
      </c>
      <c r="D101" s="7811" t="s">
        <v>2547</v>
      </c>
      <c r="E101" s="7811" t="s">
        <v>2548</v>
      </c>
      <c r="F101" s="7811" t="s">
        <v>2281</v>
      </c>
      <c r="G101" s="7811" t="s">
        <v>2549</v>
      </c>
      <c r="H101" s="7811" t="s">
        <v>24</v>
      </c>
      <c r="I101" s="7811" t="s">
        <v>723</v>
      </c>
    </row>
    <row customHeight="1" ht="11.25">
      <c r="A102" s="7811" t="s">
        <v>2171</v>
      </c>
      <c r="B102" s="7811" t="s">
        <v>14</v>
      </c>
      <c r="C102" s="7811" t="s">
        <v>2550</v>
      </c>
      <c r="D102" s="7811" t="s">
        <v>2551</v>
      </c>
      <c r="E102" s="7811" t="s">
        <v>2552</v>
      </c>
      <c r="F102" s="7811" t="s">
        <v>2553</v>
      </c>
      <c r="G102" s="7811" t="s">
        <v>24</v>
      </c>
      <c r="H102" s="7811" t="s">
        <v>24</v>
      </c>
      <c r="I102" s="7811" t="s">
        <v>723</v>
      </c>
    </row>
    <row customHeight="1" ht="11.25">
      <c r="A103" s="7811" t="s">
        <v>2171</v>
      </c>
      <c r="B103" s="7811" t="s">
        <v>14</v>
      </c>
      <c r="C103" s="7811" t="s">
        <v>2554</v>
      </c>
      <c r="D103" s="7811" t="s">
        <v>2555</v>
      </c>
      <c r="E103" s="7811" t="s">
        <v>2556</v>
      </c>
      <c r="F103" s="7811" t="s">
        <v>2466</v>
      </c>
      <c r="G103" s="7811" t="s">
        <v>2214</v>
      </c>
      <c r="H103" s="7811" t="s">
        <v>24</v>
      </c>
      <c r="I103" s="7811" t="s">
        <v>723</v>
      </c>
    </row>
    <row customHeight="1" ht="11.25">
      <c r="A104" s="7811" t="s">
        <v>2171</v>
      </c>
      <c r="B104" s="7811" t="s">
        <v>14</v>
      </c>
      <c r="C104" s="7811" t="s">
        <v>2557</v>
      </c>
      <c r="D104" s="7811" t="s">
        <v>2558</v>
      </c>
      <c r="E104" s="7811" t="s">
        <v>2559</v>
      </c>
      <c r="F104" s="7811" t="s">
        <v>2560</v>
      </c>
      <c r="G104" s="7811" t="s">
        <v>24</v>
      </c>
      <c r="H104" s="7811" t="s">
        <v>2561</v>
      </c>
      <c r="I104" s="7811" t="s">
        <v>723</v>
      </c>
    </row>
    <row customHeight="1" ht="11.25">
      <c r="A105" s="7811" t="s">
        <v>2171</v>
      </c>
      <c r="B105" s="7811" t="s">
        <v>14</v>
      </c>
      <c r="C105" s="7811" t="s">
        <v>2562</v>
      </c>
      <c r="D105" s="7811" t="s">
        <v>2563</v>
      </c>
      <c r="E105" s="7811" t="s">
        <v>2564</v>
      </c>
      <c r="F105" s="7811" t="s">
        <v>2175</v>
      </c>
      <c r="G105" s="7811" t="s">
        <v>24</v>
      </c>
      <c r="H105" s="7811" t="s">
        <v>2565</v>
      </c>
      <c r="I105" s="7811" t="s">
        <v>723</v>
      </c>
    </row>
    <row customHeight="1" ht="11.25">
      <c r="A106" s="7811" t="s">
        <v>2171</v>
      </c>
      <c r="B106" s="7811" t="s">
        <v>14</v>
      </c>
      <c r="C106" s="7811" t="s">
        <v>2566</v>
      </c>
      <c r="D106" s="7811" t="s">
        <v>2567</v>
      </c>
      <c r="E106" s="7811" t="s">
        <v>2568</v>
      </c>
      <c r="F106" s="7811" t="s">
        <v>2310</v>
      </c>
      <c r="G106" s="7811" t="s">
        <v>24</v>
      </c>
      <c r="H106" s="7811" t="s">
        <v>2549</v>
      </c>
      <c r="I106" s="7811" t="s">
        <v>723</v>
      </c>
    </row>
    <row customHeight="1" ht="11.25">
      <c r="A107" s="7811" t="s">
        <v>2171</v>
      </c>
      <c r="B107" s="7811" t="s">
        <v>14</v>
      </c>
      <c r="C107" s="7811" t="s">
        <v>2569</v>
      </c>
      <c r="D107" s="7811" t="s">
        <v>2570</v>
      </c>
      <c r="E107" s="7811" t="s">
        <v>2571</v>
      </c>
      <c r="F107" s="7811" t="s">
        <v>2222</v>
      </c>
      <c r="G107" s="7811" t="s">
        <v>24</v>
      </c>
      <c r="H107" s="7811" t="s">
        <v>24</v>
      </c>
      <c r="I107" s="7811" t="s">
        <v>723</v>
      </c>
    </row>
    <row customHeight="1" ht="11.25">
      <c r="A108" s="7811" t="s">
        <v>2171</v>
      </c>
      <c r="B108" s="7811" t="s">
        <v>14</v>
      </c>
      <c r="C108" s="7811" t="s">
        <v>2572</v>
      </c>
      <c r="D108" s="7811" t="s">
        <v>2573</v>
      </c>
      <c r="E108" s="7811" t="s">
        <v>2574</v>
      </c>
      <c r="F108" s="7811" t="s">
        <v>2218</v>
      </c>
      <c r="G108" s="7811" t="s">
        <v>24</v>
      </c>
      <c r="H108" s="7811" t="s">
        <v>2575</v>
      </c>
      <c r="I108" s="7811" t="s">
        <v>723</v>
      </c>
    </row>
    <row customHeight="1" ht="11.25">
      <c r="A109" s="7811" t="s">
        <v>2171</v>
      </c>
      <c r="B109" s="7811" t="s">
        <v>14</v>
      </c>
      <c r="C109" s="7811" t="s">
        <v>2576</v>
      </c>
      <c r="D109" s="7811" t="s">
        <v>2577</v>
      </c>
      <c r="E109" s="7811" t="s">
        <v>2578</v>
      </c>
      <c r="F109" s="7811" t="s">
        <v>2236</v>
      </c>
      <c r="G109" s="7811" t="s">
        <v>24</v>
      </c>
      <c r="H109" s="7811" t="s">
        <v>24</v>
      </c>
      <c r="I109" s="7811" t="s">
        <v>723</v>
      </c>
    </row>
    <row customHeight="1" ht="11.25">
      <c r="A110" s="7811" t="s">
        <v>2171</v>
      </c>
      <c r="B110" s="7811" t="s">
        <v>14</v>
      </c>
      <c r="C110" s="7811" t="s">
        <v>2579</v>
      </c>
      <c r="D110" s="7811" t="s">
        <v>2580</v>
      </c>
      <c r="E110" s="7811" t="s">
        <v>2581</v>
      </c>
      <c r="F110" s="7811" t="s">
        <v>49</v>
      </c>
      <c r="G110" s="7811" t="s">
        <v>24</v>
      </c>
      <c r="H110" s="7811" t="s">
        <v>24</v>
      </c>
      <c r="I110" s="7811" t="s">
        <v>723</v>
      </c>
    </row>
    <row customHeight="1" ht="11.25">
      <c r="A111" s="7811" t="s">
        <v>2171</v>
      </c>
      <c r="B111" s="7811" t="s">
        <v>14</v>
      </c>
      <c r="C111" s="7811" t="s">
        <v>2582</v>
      </c>
      <c r="D111" s="7811" t="s">
        <v>2583</v>
      </c>
      <c r="E111" s="7811" t="s">
        <v>2584</v>
      </c>
      <c r="F111" s="7811" t="s">
        <v>2396</v>
      </c>
      <c r="G111" s="7811" t="s">
        <v>24</v>
      </c>
      <c r="H111" s="7811" t="s">
        <v>24</v>
      </c>
      <c r="I111" s="7811" t="s">
        <v>723</v>
      </c>
    </row>
    <row customHeight="1" ht="11.25">
      <c r="A112" s="7811" t="s">
        <v>2171</v>
      </c>
      <c r="B112" s="7811" t="s">
        <v>14</v>
      </c>
      <c r="C112" s="7811" t="s">
        <v>2585</v>
      </c>
      <c r="D112" s="7811" t="s">
        <v>2586</v>
      </c>
      <c r="E112" s="7811" t="s">
        <v>2587</v>
      </c>
      <c r="F112" s="7811" t="s">
        <v>2379</v>
      </c>
      <c r="G112" s="7811" t="s">
        <v>24</v>
      </c>
      <c r="H112" s="7811" t="s">
        <v>2588</v>
      </c>
      <c r="I112" s="7811" t="s">
        <v>723</v>
      </c>
    </row>
    <row customHeight="1" ht="11.25">
      <c r="A113" s="7811" t="s">
        <v>2171</v>
      </c>
      <c r="B113" s="7811" t="s">
        <v>14</v>
      </c>
      <c r="C113" s="7811" t="s">
        <v>2589</v>
      </c>
      <c r="D113" s="7811" t="s">
        <v>2590</v>
      </c>
      <c r="E113" s="7811" t="s">
        <v>2591</v>
      </c>
      <c r="F113" s="7811" t="s">
        <v>2521</v>
      </c>
      <c r="G113" s="7811" t="s">
        <v>2592</v>
      </c>
      <c r="H113" s="7811" t="s">
        <v>24</v>
      </c>
      <c r="I113" s="7811" t="s">
        <v>723</v>
      </c>
    </row>
    <row customHeight="1" ht="11.25">
      <c r="A114" s="7811" t="s">
        <v>2171</v>
      </c>
      <c r="B114" s="7811" t="s">
        <v>14</v>
      </c>
      <c r="C114" s="7811" t="s">
        <v>2593</v>
      </c>
      <c r="D114" s="7811" t="s">
        <v>2590</v>
      </c>
      <c r="E114" s="7811" t="s">
        <v>2594</v>
      </c>
      <c r="F114" s="7811" t="s">
        <v>2218</v>
      </c>
      <c r="G114" s="7811" t="s">
        <v>24</v>
      </c>
      <c r="H114" s="7811" t="s">
        <v>24</v>
      </c>
      <c r="I114" s="7811" t="s">
        <v>723</v>
      </c>
    </row>
    <row customHeight="1" ht="11.25">
      <c r="A115" s="7811" t="s">
        <v>2171</v>
      </c>
      <c r="B115" s="7811" t="s">
        <v>14</v>
      </c>
      <c r="C115" s="7811" t="s">
        <v>2595</v>
      </c>
      <c r="D115" s="7811" t="s">
        <v>2596</v>
      </c>
      <c r="E115" s="7811" t="s">
        <v>2597</v>
      </c>
      <c r="F115" s="7811" t="s">
        <v>2598</v>
      </c>
      <c r="G115" s="7811" t="s">
        <v>24</v>
      </c>
      <c r="H115" s="7811" t="s">
        <v>24</v>
      </c>
      <c r="I115" s="7811" t="s">
        <v>723</v>
      </c>
    </row>
    <row customHeight="1" ht="11.25">
      <c r="A116" s="7811" t="s">
        <v>2171</v>
      </c>
      <c r="B116" s="7811" t="s">
        <v>14</v>
      </c>
      <c r="C116" s="7811" t="s">
        <v>2599</v>
      </c>
      <c r="D116" s="7811" t="s">
        <v>2600</v>
      </c>
      <c r="E116" s="7811" t="s">
        <v>2601</v>
      </c>
      <c r="F116" s="7811" t="s">
        <v>2349</v>
      </c>
      <c r="G116" s="7811" t="s">
        <v>24</v>
      </c>
      <c r="H116" s="7811" t="s">
        <v>2602</v>
      </c>
      <c r="I116" s="7811" t="s">
        <v>723</v>
      </c>
    </row>
    <row customHeight="1" ht="11.25">
      <c r="A117" s="7811" t="s">
        <v>2171</v>
      </c>
      <c r="B117" s="7811" t="s">
        <v>14</v>
      </c>
      <c r="C117" s="7811" t="s">
        <v>2603</v>
      </c>
      <c r="D117" s="7811" t="s">
        <v>2604</v>
      </c>
      <c r="E117" s="7811" t="s">
        <v>2605</v>
      </c>
      <c r="F117" s="7811" t="s">
        <v>2227</v>
      </c>
      <c r="G117" s="7811" t="s">
        <v>24</v>
      </c>
      <c r="H117" s="7811" t="s">
        <v>24</v>
      </c>
      <c r="I117" s="7811" t="s">
        <v>723</v>
      </c>
    </row>
    <row customHeight="1" ht="11.25">
      <c r="A118" s="7811" t="s">
        <v>2171</v>
      </c>
      <c r="B118" s="7811" t="s">
        <v>14</v>
      </c>
      <c r="C118" s="7811" t="s">
        <v>2606</v>
      </c>
      <c r="D118" s="7811" t="s">
        <v>2607</v>
      </c>
      <c r="E118" s="7811" t="s">
        <v>2608</v>
      </c>
      <c r="F118" s="7811" t="s">
        <v>2609</v>
      </c>
      <c r="G118" s="7811" t="s">
        <v>24</v>
      </c>
      <c r="H118" s="7811" t="s">
        <v>24</v>
      </c>
      <c r="I118" s="7811" t="s">
        <v>723</v>
      </c>
    </row>
    <row customHeight="1" ht="11.25">
      <c r="A119" s="7811" t="s">
        <v>2171</v>
      </c>
      <c r="B119" s="7811" t="s">
        <v>14</v>
      </c>
      <c r="C119" s="7811" t="s">
        <v>2610</v>
      </c>
      <c r="D119" s="7811" t="s">
        <v>2611</v>
      </c>
      <c r="E119" s="7811" t="s">
        <v>2612</v>
      </c>
      <c r="F119" s="7811" t="s">
        <v>2613</v>
      </c>
      <c r="G119" s="7811" t="s">
        <v>2614</v>
      </c>
      <c r="H119" s="7811" t="s">
        <v>24</v>
      </c>
      <c r="I119" s="7811" t="s">
        <v>723</v>
      </c>
    </row>
    <row customHeight="1" ht="11.25">
      <c r="A120" s="7811" t="s">
        <v>2171</v>
      </c>
      <c r="B120" s="7811" t="s">
        <v>14</v>
      </c>
      <c r="C120" s="7811" t="s">
        <v>2615</v>
      </c>
      <c r="D120" s="7811" t="s">
        <v>2616</v>
      </c>
      <c r="E120" s="7811" t="s">
        <v>2617</v>
      </c>
      <c r="F120" s="7811" t="s">
        <v>2175</v>
      </c>
      <c r="G120" s="7811" t="s">
        <v>24</v>
      </c>
      <c r="H120" s="7811" t="s">
        <v>24</v>
      </c>
      <c r="I120" s="7811" t="s">
        <v>723</v>
      </c>
    </row>
    <row customHeight="1" ht="11.25">
      <c r="A121" s="7811" t="s">
        <v>2171</v>
      </c>
      <c r="B121" s="7811" t="s">
        <v>14</v>
      </c>
      <c r="C121" s="7811" t="s">
        <v>2618</v>
      </c>
      <c r="D121" s="7811" t="s">
        <v>2619</v>
      </c>
      <c r="E121" s="7811" t="s">
        <v>2620</v>
      </c>
      <c r="F121" s="7811" t="s">
        <v>2236</v>
      </c>
      <c r="G121" s="7811" t="s">
        <v>2621</v>
      </c>
      <c r="H121" s="7811" t="s">
        <v>24</v>
      </c>
      <c r="I121" s="7811" t="s">
        <v>723</v>
      </c>
    </row>
    <row customHeight="1" ht="11.25">
      <c r="A122" s="7811" t="s">
        <v>2171</v>
      </c>
      <c r="B122" s="7811" t="s">
        <v>14</v>
      </c>
      <c r="C122" s="7811" t="s">
        <v>2622</v>
      </c>
      <c r="D122" s="7811" t="s">
        <v>2623</v>
      </c>
      <c r="E122" s="7811" t="s">
        <v>2624</v>
      </c>
      <c r="F122" s="7811" t="s">
        <v>2183</v>
      </c>
      <c r="G122" s="7811" t="s">
        <v>2625</v>
      </c>
      <c r="H122" s="7811" t="s">
        <v>24</v>
      </c>
      <c r="I122" s="7811" t="s">
        <v>723</v>
      </c>
    </row>
    <row customHeight="1" ht="11.25">
      <c r="A123" s="7811" t="s">
        <v>2171</v>
      </c>
      <c r="B123" s="7811" t="s">
        <v>14</v>
      </c>
      <c r="C123" s="7811" t="s">
        <v>2626</v>
      </c>
      <c r="D123" s="7811" t="s">
        <v>2627</v>
      </c>
      <c r="E123" s="7811" t="s">
        <v>2628</v>
      </c>
      <c r="F123" s="7811" t="s">
        <v>2349</v>
      </c>
      <c r="G123" s="7811" t="s">
        <v>24</v>
      </c>
      <c r="H123" s="7811" t="s">
        <v>2629</v>
      </c>
      <c r="I123" s="7811" t="s">
        <v>723</v>
      </c>
    </row>
    <row customHeight="1" ht="11.25">
      <c r="A124" s="7811" t="s">
        <v>2171</v>
      </c>
      <c r="B124" s="7811" t="s">
        <v>14</v>
      </c>
      <c r="C124" s="7811" t="s">
        <v>2630</v>
      </c>
      <c r="D124" s="7811" t="s">
        <v>2631</v>
      </c>
      <c r="E124" s="7811" t="s">
        <v>2632</v>
      </c>
      <c r="F124" s="7811" t="s">
        <v>2517</v>
      </c>
      <c r="G124" s="7811" t="s">
        <v>24</v>
      </c>
      <c r="H124" s="7811" t="s">
        <v>2633</v>
      </c>
      <c r="I124" s="7811" t="s">
        <v>723</v>
      </c>
    </row>
    <row customHeight="1" ht="11.25">
      <c r="A125" s="7811" t="s">
        <v>2171</v>
      </c>
      <c r="B125" s="7811" t="s">
        <v>14</v>
      </c>
      <c r="C125" s="7811" t="s">
        <v>2634</v>
      </c>
      <c r="D125" s="7811" t="s">
        <v>2635</v>
      </c>
      <c r="E125" s="7811" t="s">
        <v>2636</v>
      </c>
      <c r="F125" s="7811" t="s">
        <v>2521</v>
      </c>
      <c r="G125" s="7811" t="s">
        <v>24</v>
      </c>
      <c r="H125" s="7811" t="s">
        <v>24</v>
      </c>
      <c r="I125" s="7811" t="s">
        <v>723</v>
      </c>
    </row>
    <row customHeight="1" ht="11.25">
      <c r="A126" s="7811" t="s">
        <v>2171</v>
      </c>
      <c r="B126" s="7811" t="s">
        <v>14</v>
      </c>
      <c r="C126" s="7811" t="s">
        <v>2637</v>
      </c>
      <c r="D126" s="7811" t="s">
        <v>2638</v>
      </c>
      <c r="E126" s="7811" t="s">
        <v>2639</v>
      </c>
      <c r="F126" s="7811" t="s">
        <v>2213</v>
      </c>
      <c r="G126" s="7811" t="s">
        <v>24</v>
      </c>
      <c r="H126" s="7811" t="s">
        <v>24</v>
      </c>
      <c r="I126" s="7811" t="s">
        <v>723</v>
      </c>
    </row>
    <row customHeight="1" ht="11.25">
      <c r="A127" s="7811" t="s">
        <v>2171</v>
      </c>
      <c r="B127" s="7811" t="s">
        <v>14</v>
      </c>
      <c r="C127" s="7811" t="s">
        <v>2640</v>
      </c>
      <c r="D127" s="7811" t="s">
        <v>2641</v>
      </c>
      <c r="E127" s="7811" t="s">
        <v>2642</v>
      </c>
      <c r="F127" s="7811" t="s">
        <v>2466</v>
      </c>
      <c r="G127" s="7811" t="s">
        <v>24</v>
      </c>
      <c r="H127" s="7811" t="s">
        <v>24</v>
      </c>
      <c r="I127" s="7811" t="s">
        <v>723</v>
      </c>
    </row>
    <row customHeight="1" ht="11.25">
      <c r="A128" s="7811" t="s">
        <v>2171</v>
      </c>
      <c r="B128" s="7811" t="s">
        <v>14</v>
      </c>
      <c r="C128" s="7811" t="s">
        <v>2643</v>
      </c>
      <c r="D128" s="7811" t="s">
        <v>2644</v>
      </c>
      <c r="E128" s="7811" t="s">
        <v>2645</v>
      </c>
      <c r="F128" s="7811" t="s">
        <v>2646</v>
      </c>
      <c r="G128" s="7811" t="s">
        <v>24</v>
      </c>
      <c r="H128" s="7811" t="s">
        <v>24</v>
      </c>
      <c r="I128" s="7811" t="s">
        <v>723</v>
      </c>
    </row>
    <row customHeight="1" ht="11.25">
      <c r="A129" s="7811" t="s">
        <v>2171</v>
      </c>
      <c r="B129" s="7811" t="s">
        <v>14</v>
      </c>
      <c r="C129" s="7811" t="s">
        <v>2647</v>
      </c>
      <c r="D129" s="7811" t="s">
        <v>2648</v>
      </c>
      <c r="E129" s="7811" t="s">
        <v>2645</v>
      </c>
      <c r="F129" s="7811" t="s">
        <v>2364</v>
      </c>
      <c r="G129" s="7811" t="s">
        <v>24</v>
      </c>
      <c r="H129" s="7811" t="s">
        <v>24</v>
      </c>
      <c r="I129" s="7811" t="s">
        <v>723</v>
      </c>
    </row>
    <row customHeight="1" ht="11.25">
      <c r="A130" s="7811" t="s">
        <v>2171</v>
      </c>
      <c r="B130" s="7811" t="s">
        <v>14</v>
      </c>
      <c r="C130" s="7811" t="s">
        <v>2649</v>
      </c>
      <c r="D130" s="7811" t="s">
        <v>2650</v>
      </c>
      <c r="E130" s="7811" t="s">
        <v>2645</v>
      </c>
      <c r="F130" s="7811" t="s">
        <v>2651</v>
      </c>
      <c r="G130" s="7811" t="s">
        <v>24</v>
      </c>
      <c r="H130" s="7811" t="s">
        <v>24</v>
      </c>
      <c r="I130" s="7811" t="s">
        <v>723</v>
      </c>
    </row>
    <row customHeight="1" ht="11.25">
      <c r="A131" s="7811" t="s">
        <v>2171</v>
      </c>
      <c r="B131" s="7811" t="s">
        <v>14</v>
      </c>
      <c r="C131" s="7811" t="s">
        <v>2652</v>
      </c>
      <c r="D131" s="7811" t="s">
        <v>2653</v>
      </c>
      <c r="E131" s="7811" t="s">
        <v>2645</v>
      </c>
      <c r="F131" s="7811" t="s">
        <v>2654</v>
      </c>
      <c r="G131" s="7811" t="s">
        <v>24</v>
      </c>
      <c r="H131" s="7811" t="s">
        <v>24</v>
      </c>
      <c r="I131" s="7811" t="s">
        <v>723</v>
      </c>
    </row>
    <row customHeight="1" ht="11.25">
      <c r="A132" s="7811" t="s">
        <v>2171</v>
      </c>
      <c r="B132" s="7811" t="s">
        <v>14</v>
      </c>
      <c r="C132" s="7811" t="s">
        <v>2655</v>
      </c>
      <c r="D132" s="7811" t="s">
        <v>2656</v>
      </c>
      <c r="E132" s="7811" t="s">
        <v>2645</v>
      </c>
      <c r="F132" s="7811" t="s">
        <v>2657</v>
      </c>
      <c r="G132" s="7811" t="s">
        <v>24</v>
      </c>
      <c r="H132" s="7811" t="s">
        <v>24</v>
      </c>
      <c r="I132" s="7811" t="s">
        <v>723</v>
      </c>
    </row>
    <row customHeight="1" ht="11.25">
      <c r="A133" s="7811" t="s">
        <v>2171</v>
      </c>
      <c r="B133" s="7811" t="s">
        <v>14</v>
      </c>
      <c r="C133" s="7811" t="s">
        <v>2658</v>
      </c>
      <c r="D133" s="7811" t="s">
        <v>2659</v>
      </c>
      <c r="E133" s="7811" t="s">
        <v>2645</v>
      </c>
      <c r="F133" s="7811" t="s">
        <v>2660</v>
      </c>
      <c r="G133" s="7811" t="s">
        <v>24</v>
      </c>
      <c r="H133" s="7811" t="s">
        <v>24</v>
      </c>
      <c r="I133" s="7811" t="s">
        <v>723</v>
      </c>
    </row>
    <row customHeight="1" ht="11.25">
      <c r="A134" s="7811" t="s">
        <v>2171</v>
      </c>
      <c r="B134" s="7811" t="s">
        <v>14</v>
      </c>
      <c r="C134" s="7811" t="s">
        <v>2661</v>
      </c>
      <c r="D134" s="7811" t="s">
        <v>2662</v>
      </c>
      <c r="E134" s="7811" t="s">
        <v>2645</v>
      </c>
      <c r="F134" s="7811" t="s">
        <v>2663</v>
      </c>
      <c r="G134" s="7811" t="s">
        <v>24</v>
      </c>
      <c r="H134" s="7811" t="s">
        <v>24</v>
      </c>
      <c r="I134" s="7811" t="s">
        <v>723</v>
      </c>
    </row>
    <row customHeight="1" ht="11.25">
      <c r="A135" s="7811" t="s">
        <v>2171</v>
      </c>
      <c r="B135" s="7811" t="s">
        <v>14</v>
      </c>
      <c r="C135" s="7811" t="s">
        <v>2664</v>
      </c>
      <c r="D135" s="7811" t="s">
        <v>2665</v>
      </c>
      <c r="E135" s="7811" t="s">
        <v>2645</v>
      </c>
      <c r="F135" s="7811" t="s">
        <v>2666</v>
      </c>
      <c r="G135" s="7811" t="s">
        <v>24</v>
      </c>
      <c r="H135" s="7811" t="s">
        <v>24</v>
      </c>
      <c r="I135" s="7811" t="s">
        <v>723</v>
      </c>
    </row>
    <row customHeight="1" ht="11.25">
      <c r="A136" s="7811" t="s">
        <v>2171</v>
      </c>
      <c r="B136" s="7811" t="s">
        <v>14</v>
      </c>
      <c r="C136" s="7811" t="s">
        <v>2667</v>
      </c>
      <c r="D136" s="7811" t="s">
        <v>2668</v>
      </c>
      <c r="E136" s="7811" t="s">
        <v>2669</v>
      </c>
      <c r="F136" s="7811" t="s">
        <v>2670</v>
      </c>
      <c r="G136" s="7811" t="s">
        <v>24</v>
      </c>
      <c r="H136" s="7811" t="s">
        <v>24</v>
      </c>
      <c r="I136" s="7811" t="s">
        <v>723</v>
      </c>
    </row>
    <row customHeight="1" ht="11.25">
      <c r="A137" s="7811" t="s">
        <v>2171</v>
      </c>
      <c r="B137" s="7811" t="s">
        <v>14</v>
      </c>
      <c r="C137" s="7811" t="s">
        <v>2671</v>
      </c>
      <c r="D137" s="7811" t="s">
        <v>2672</v>
      </c>
      <c r="E137" s="7811" t="s">
        <v>2673</v>
      </c>
      <c r="F137" s="7811" t="s">
        <v>2466</v>
      </c>
      <c r="G137" s="7811" t="s">
        <v>24</v>
      </c>
      <c r="H137" s="7811" t="s">
        <v>24</v>
      </c>
      <c r="I137" s="7811" t="s">
        <v>723</v>
      </c>
    </row>
    <row customHeight="1" ht="11.25">
      <c r="A138" s="7811" t="s">
        <v>2171</v>
      </c>
      <c r="B138" s="7811" t="s">
        <v>14</v>
      </c>
      <c r="C138" s="7811" t="s">
        <v>2674</v>
      </c>
      <c r="D138" s="7811" t="s">
        <v>2675</v>
      </c>
      <c r="E138" s="7811" t="s">
        <v>2676</v>
      </c>
      <c r="F138" s="7811" t="s">
        <v>2288</v>
      </c>
      <c r="G138" s="7811" t="s">
        <v>24</v>
      </c>
      <c r="H138" s="7811" t="s">
        <v>24</v>
      </c>
      <c r="I138" s="7811" t="s">
        <v>723</v>
      </c>
    </row>
    <row customHeight="1" ht="11.25">
      <c r="A139" s="7811" t="s">
        <v>2171</v>
      </c>
      <c r="B139" s="7811" t="s">
        <v>14</v>
      </c>
      <c r="C139" s="7811" t="s">
        <v>2677</v>
      </c>
      <c r="D139" s="7811" t="s">
        <v>2678</v>
      </c>
      <c r="E139" s="7811" t="s">
        <v>2679</v>
      </c>
      <c r="F139" s="7811" t="s">
        <v>2680</v>
      </c>
      <c r="G139" s="7811" t="s">
        <v>2681</v>
      </c>
      <c r="H139" s="7811" t="s">
        <v>24</v>
      </c>
      <c r="I139" s="7811" t="s">
        <v>723</v>
      </c>
    </row>
    <row customHeight="1" ht="11.25">
      <c r="A140" s="7811" t="s">
        <v>2171</v>
      </c>
      <c r="B140" s="7811" t="s">
        <v>14</v>
      </c>
      <c r="C140" s="7811" t="s">
        <v>2682</v>
      </c>
      <c r="D140" s="7811" t="s">
        <v>2683</v>
      </c>
      <c r="E140" s="7811" t="s">
        <v>2684</v>
      </c>
      <c r="F140" s="7811" t="s">
        <v>2685</v>
      </c>
      <c r="G140" s="7811" t="s">
        <v>24</v>
      </c>
      <c r="H140" s="7811" t="s">
        <v>24</v>
      </c>
      <c r="I140" s="7811" t="s">
        <v>723</v>
      </c>
    </row>
    <row customHeight="1" ht="11.25">
      <c r="A141" s="7811" t="s">
        <v>2171</v>
      </c>
      <c r="B141" s="7811" t="s">
        <v>14</v>
      </c>
      <c r="C141" s="7811" t="s">
        <v>2686</v>
      </c>
      <c r="D141" s="7811" t="s">
        <v>2687</v>
      </c>
      <c r="E141" s="7811" t="s">
        <v>2688</v>
      </c>
      <c r="F141" s="7811" t="s">
        <v>2213</v>
      </c>
      <c r="G141" s="7811" t="s">
        <v>24</v>
      </c>
      <c r="H141" s="7811" t="s">
        <v>2322</v>
      </c>
      <c r="I141" s="7811" t="s">
        <v>723</v>
      </c>
    </row>
    <row customHeight="1" ht="11.25">
      <c r="A142" s="7811" t="s">
        <v>2171</v>
      </c>
      <c r="B142" s="7811" t="s">
        <v>14</v>
      </c>
      <c r="C142" s="7811" t="s">
        <v>2689</v>
      </c>
      <c r="D142" s="7811" t="s">
        <v>2690</v>
      </c>
      <c r="E142" s="7811" t="s">
        <v>2691</v>
      </c>
      <c r="F142" s="7811" t="s">
        <v>2692</v>
      </c>
      <c r="G142" s="7811" t="s">
        <v>24</v>
      </c>
      <c r="H142" s="7811" t="s">
        <v>2633</v>
      </c>
      <c r="I142" s="7811" t="s">
        <v>723</v>
      </c>
    </row>
    <row customHeight="1" ht="11.25">
      <c r="A143" s="7811" t="s">
        <v>2171</v>
      </c>
      <c r="B143" s="7811" t="s">
        <v>14</v>
      </c>
      <c r="C143" s="7811" t="s">
        <v>2693</v>
      </c>
      <c r="D143" s="7811" t="s">
        <v>2694</v>
      </c>
      <c r="E143" s="7811" t="s">
        <v>2695</v>
      </c>
      <c r="F143" s="7811" t="s">
        <v>2696</v>
      </c>
      <c r="G143" s="7811" t="s">
        <v>2697</v>
      </c>
      <c r="H143" s="7811" t="s">
        <v>24</v>
      </c>
      <c r="I143" s="7811" t="s">
        <v>723</v>
      </c>
    </row>
    <row customHeight="1" ht="11.25">
      <c r="A144" s="7811" t="s">
        <v>2171</v>
      </c>
      <c r="B144" s="7811" t="s">
        <v>14</v>
      </c>
      <c r="C144" s="7811" t="s">
        <v>2698</v>
      </c>
      <c r="D144" s="7811" t="s">
        <v>2699</v>
      </c>
      <c r="E144" s="7811" t="s">
        <v>2700</v>
      </c>
      <c r="F144" s="7811" t="s">
        <v>2236</v>
      </c>
      <c r="G144" s="7811" t="s">
        <v>2701</v>
      </c>
      <c r="H144" s="7811" t="s">
        <v>24</v>
      </c>
      <c r="I144" s="7811" t="s">
        <v>723</v>
      </c>
    </row>
    <row customHeight="1" ht="11.25">
      <c r="A145" s="7811" t="s">
        <v>2171</v>
      </c>
      <c r="B145" s="7811" t="s">
        <v>14</v>
      </c>
      <c r="C145" s="7811" t="s">
        <v>2702</v>
      </c>
      <c r="D145" s="7811" t="s">
        <v>2703</v>
      </c>
      <c r="E145" s="7811" t="s">
        <v>2704</v>
      </c>
      <c r="F145" s="7811" t="s">
        <v>2705</v>
      </c>
      <c r="G145" s="7811" t="s">
        <v>2706</v>
      </c>
      <c r="H145" s="7811" t="s">
        <v>24</v>
      </c>
      <c r="I145" s="7811" t="s">
        <v>723</v>
      </c>
    </row>
    <row customHeight="1" ht="11.25">
      <c r="A146" s="7811" t="s">
        <v>2171</v>
      </c>
      <c r="B146" s="7811" t="s">
        <v>14</v>
      </c>
      <c r="C146" s="7811" t="s">
        <v>2707</v>
      </c>
      <c r="D146" s="7811" t="s">
        <v>2708</v>
      </c>
      <c r="E146" s="7811" t="s">
        <v>2709</v>
      </c>
      <c r="F146" s="7811" t="s">
        <v>2517</v>
      </c>
      <c r="G146" s="7811" t="s">
        <v>24</v>
      </c>
      <c r="H146" s="7811" t="s">
        <v>24</v>
      </c>
      <c r="I146" s="7811" t="s">
        <v>723</v>
      </c>
    </row>
    <row customHeight="1" ht="11.25">
      <c r="A147" s="7811" t="s">
        <v>2171</v>
      </c>
      <c r="B147" s="7811" t="s">
        <v>14</v>
      </c>
      <c r="C147" s="7811" t="s">
        <v>2710</v>
      </c>
      <c r="D147" s="7811" t="s">
        <v>2711</v>
      </c>
      <c r="E147" s="7811" t="s">
        <v>2712</v>
      </c>
      <c r="F147" s="7811" t="s">
        <v>2227</v>
      </c>
      <c r="G147" s="7811" t="s">
        <v>24</v>
      </c>
      <c r="H147" s="7811" t="s">
        <v>24</v>
      </c>
      <c r="I147" s="7811" t="s">
        <v>723</v>
      </c>
    </row>
    <row customHeight="1" ht="11.25">
      <c r="A148" s="7811" t="s">
        <v>2171</v>
      </c>
      <c r="B148" s="7811" t="s">
        <v>14</v>
      </c>
      <c r="C148" s="7811" t="s">
        <v>2713</v>
      </c>
      <c r="D148" s="7811" t="s">
        <v>2714</v>
      </c>
      <c r="E148" s="7811" t="s">
        <v>2715</v>
      </c>
      <c r="F148" s="7811" t="s">
        <v>2227</v>
      </c>
      <c r="G148" s="7811" t="s">
        <v>24</v>
      </c>
      <c r="H148" s="7811" t="s">
        <v>24</v>
      </c>
      <c r="I148" s="7811" t="s">
        <v>723</v>
      </c>
    </row>
    <row customHeight="1" ht="11.25">
      <c r="A149" s="7811" t="s">
        <v>2171</v>
      </c>
      <c r="B149" s="7811" t="s">
        <v>14</v>
      </c>
      <c r="C149" s="7811" t="s">
        <v>2716</v>
      </c>
      <c r="D149" s="7811" t="s">
        <v>2717</v>
      </c>
      <c r="E149" s="7811" t="s">
        <v>2718</v>
      </c>
      <c r="F149" s="7811" t="s">
        <v>2218</v>
      </c>
      <c r="G149" s="7811" t="s">
        <v>2719</v>
      </c>
      <c r="H149" s="7811" t="s">
        <v>2720</v>
      </c>
      <c r="I149" s="7811" t="s">
        <v>723</v>
      </c>
    </row>
    <row customHeight="1" ht="11.25">
      <c r="A150" s="7811" t="s">
        <v>2171</v>
      </c>
      <c r="B150" s="7811" t="s">
        <v>14</v>
      </c>
      <c r="C150" s="7811" t="s">
        <v>2721</v>
      </c>
      <c r="D150" s="7811" t="s">
        <v>2722</v>
      </c>
      <c r="E150" s="7811" t="s">
        <v>2723</v>
      </c>
      <c r="F150" s="7811" t="s">
        <v>2227</v>
      </c>
      <c r="G150" s="7811" t="s">
        <v>24</v>
      </c>
      <c r="H150" s="7811" t="s">
        <v>2375</v>
      </c>
      <c r="I150" s="7811" t="s">
        <v>723</v>
      </c>
    </row>
    <row customHeight="1" ht="11.25">
      <c r="A151" s="7811" t="s">
        <v>2171</v>
      </c>
      <c r="B151" s="7811" t="s">
        <v>14</v>
      </c>
      <c r="C151" s="7811" t="s">
        <v>2724</v>
      </c>
      <c r="D151" s="7811" t="s">
        <v>2725</v>
      </c>
      <c r="E151" s="7811" t="s">
        <v>2726</v>
      </c>
      <c r="F151" s="7811" t="s">
        <v>2727</v>
      </c>
      <c r="G151" s="7811" t="s">
        <v>24</v>
      </c>
      <c r="H151" s="7811" t="s">
        <v>24</v>
      </c>
      <c r="I151" s="7811" t="s">
        <v>723</v>
      </c>
    </row>
    <row customHeight="1" ht="11.25">
      <c r="A152" s="7811" t="s">
        <v>2171</v>
      </c>
      <c r="B152" s="7811" t="s">
        <v>14</v>
      </c>
      <c r="C152" s="7811" t="s">
        <v>2728</v>
      </c>
      <c r="D152" s="7811" t="s">
        <v>2729</v>
      </c>
      <c r="E152" s="7811" t="s">
        <v>2730</v>
      </c>
      <c r="F152" s="7811" t="s">
        <v>2236</v>
      </c>
      <c r="G152" s="7811" t="s">
        <v>24</v>
      </c>
      <c r="H152" s="7811" t="s">
        <v>2731</v>
      </c>
      <c r="I152" s="7811" t="s">
        <v>723</v>
      </c>
    </row>
    <row customHeight="1" ht="11.25">
      <c r="A153" s="7811" t="s">
        <v>2171</v>
      </c>
      <c r="B153" s="7811" t="s">
        <v>14</v>
      </c>
      <c r="C153" s="7811" t="s">
        <v>2732</v>
      </c>
      <c r="D153" s="7811" t="s">
        <v>2729</v>
      </c>
      <c r="E153" s="7811" t="s">
        <v>2733</v>
      </c>
      <c r="F153" s="7811" t="s">
        <v>2302</v>
      </c>
      <c r="G153" s="7811" t="s">
        <v>2734</v>
      </c>
      <c r="H153" s="7811" t="s">
        <v>24</v>
      </c>
      <c r="I153" s="7811" t="s">
        <v>723</v>
      </c>
    </row>
    <row customHeight="1" ht="11.25">
      <c r="A154" s="7811" t="s">
        <v>2171</v>
      </c>
      <c r="B154" s="7811" t="s">
        <v>14</v>
      </c>
      <c r="C154" s="7811" t="s">
        <v>2735</v>
      </c>
      <c r="D154" s="7811" t="s">
        <v>2736</v>
      </c>
      <c r="E154" s="7811" t="s">
        <v>2737</v>
      </c>
      <c r="F154" s="7811" t="s">
        <v>2453</v>
      </c>
      <c r="G154" s="7811" t="s">
        <v>24</v>
      </c>
      <c r="H154" s="7811" t="s">
        <v>2738</v>
      </c>
      <c r="I154" s="7811" t="s">
        <v>723</v>
      </c>
    </row>
    <row customHeight="1" ht="11.25">
      <c r="A155" s="7811" t="s">
        <v>2171</v>
      </c>
      <c r="B155" s="7811" t="s">
        <v>14</v>
      </c>
      <c r="C155" s="7811" t="s">
        <v>2739</v>
      </c>
      <c r="D155" s="7811" t="s">
        <v>2740</v>
      </c>
      <c r="E155" s="7811" t="s">
        <v>2741</v>
      </c>
      <c r="F155" s="7811" t="s">
        <v>2288</v>
      </c>
      <c r="G155" s="7811" t="s">
        <v>24</v>
      </c>
      <c r="H155" s="7811" t="s">
        <v>24</v>
      </c>
      <c r="I155" s="7811" t="s">
        <v>723</v>
      </c>
    </row>
    <row customHeight="1" ht="11.25">
      <c r="A156" s="7811" t="s">
        <v>2171</v>
      </c>
      <c r="B156" s="7811" t="s">
        <v>14</v>
      </c>
      <c r="C156" s="7811" t="s">
        <v>2742</v>
      </c>
      <c r="D156" s="7811" t="s">
        <v>2743</v>
      </c>
      <c r="E156" s="7811" t="s">
        <v>2744</v>
      </c>
      <c r="F156" s="7811" t="s">
        <v>2227</v>
      </c>
      <c r="G156" s="7811" t="s">
        <v>24</v>
      </c>
      <c r="H156" s="7811" t="s">
        <v>2745</v>
      </c>
      <c r="I156" s="7811" t="s">
        <v>723</v>
      </c>
    </row>
    <row customHeight="1" ht="11.25">
      <c r="A157" s="7811" t="s">
        <v>2171</v>
      </c>
      <c r="B157" s="7811" t="s">
        <v>14</v>
      </c>
      <c r="C157" s="7811" t="s">
        <v>2746</v>
      </c>
      <c r="D157" s="7811" t="s">
        <v>2747</v>
      </c>
      <c r="E157" s="7811" t="s">
        <v>2748</v>
      </c>
      <c r="F157" s="7811" t="s">
        <v>2258</v>
      </c>
      <c r="G157" s="7811" t="s">
        <v>2749</v>
      </c>
      <c r="H157" s="7811" t="s">
        <v>24</v>
      </c>
      <c r="I157" s="7811" t="s">
        <v>723</v>
      </c>
    </row>
    <row customHeight="1" ht="11.25">
      <c r="A158" s="7811" t="s">
        <v>2171</v>
      </c>
      <c r="B158" s="7811" t="s">
        <v>14</v>
      </c>
      <c r="C158" s="7811" t="s">
        <v>2750</v>
      </c>
      <c r="D158" s="7811" t="s">
        <v>2751</v>
      </c>
      <c r="E158" s="7811" t="s">
        <v>2752</v>
      </c>
      <c r="F158" s="7811" t="s">
        <v>2670</v>
      </c>
      <c r="G158" s="7811" t="s">
        <v>24</v>
      </c>
      <c r="H158" s="7811" t="s">
        <v>24</v>
      </c>
      <c r="I158" s="7811" t="s">
        <v>723</v>
      </c>
    </row>
    <row customHeight="1" ht="11.25">
      <c r="A159" s="7811" t="s">
        <v>2171</v>
      </c>
      <c r="B159" s="7811" t="s">
        <v>14</v>
      </c>
      <c r="C159" s="7811" t="s">
        <v>2753</v>
      </c>
      <c r="D159" s="7811" t="s">
        <v>2754</v>
      </c>
      <c r="E159" s="7811" t="s">
        <v>2755</v>
      </c>
      <c r="F159" s="7811" t="s">
        <v>2756</v>
      </c>
      <c r="G159" s="7811" t="s">
        <v>24</v>
      </c>
      <c r="H159" s="7811" t="s">
        <v>2757</v>
      </c>
      <c r="I159" s="7811" t="s">
        <v>723</v>
      </c>
    </row>
    <row customHeight="1" ht="11.25">
      <c r="A160" s="7811" t="s">
        <v>2171</v>
      </c>
      <c r="B160" s="7811" t="s">
        <v>14</v>
      </c>
      <c r="C160" s="7811" t="s">
        <v>2758</v>
      </c>
      <c r="D160" s="7811" t="s">
        <v>2759</v>
      </c>
      <c r="E160" s="7811" t="s">
        <v>2760</v>
      </c>
      <c r="F160" s="7811" t="s">
        <v>2727</v>
      </c>
      <c r="G160" s="7811" t="s">
        <v>24</v>
      </c>
      <c r="H160" s="7811" t="s">
        <v>24</v>
      </c>
      <c r="I160" s="7811" t="s">
        <v>723</v>
      </c>
    </row>
    <row customHeight="1" ht="11.25">
      <c r="A161" s="7811" t="s">
        <v>2171</v>
      </c>
      <c r="B161" s="7811" t="s">
        <v>14</v>
      </c>
      <c r="C161" s="7811" t="s">
        <v>2761</v>
      </c>
      <c r="D161" s="7811" t="s">
        <v>2762</v>
      </c>
      <c r="E161" s="7811" t="s">
        <v>2763</v>
      </c>
      <c r="F161" s="7811" t="s">
        <v>2764</v>
      </c>
      <c r="G161" s="7811" t="s">
        <v>24</v>
      </c>
      <c r="H161" s="7811" t="s">
        <v>24</v>
      </c>
      <c r="I161" s="7811" t="s">
        <v>723</v>
      </c>
    </row>
    <row customHeight="1" ht="11.25">
      <c r="A162" s="7811" t="s">
        <v>2171</v>
      </c>
      <c r="B162" s="7811" t="s">
        <v>14</v>
      </c>
      <c r="C162" s="7811" t="s">
        <v>2765</v>
      </c>
      <c r="D162" s="7811" t="s">
        <v>2766</v>
      </c>
      <c r="E162" s="7811" t="s">
        <v>2767</v>
      </c>
      <c r="F162" s="7811" t="s">
        <v>2258</v>
      </c>
      <c r="G162" s="7811" t="s">
        <v>24</v>
      </c>
      <c r="H162" s="7811" t="s">
        <v>24</v>
      </c>
      <c r="I162" s="7811" t="s">
        <v>723</v>
      </c>
    </row>
    <row customHeight="1" ht="11.25">
      <c r="A163" s="7811" t="s">
        <v>2171</v>
      </c>
      <c r="B163" s="7811" t="s">
        <v>14</v>
      </c>
      <c r="C163" s="7811" t="s">
        <v>2768</v>
      </c>
      <c r="D163" s="7811" t="s">
        <v>2769</v>
      </c>
      <c r="E163" s="7811" t="s">
        <v>2770</v>
      </c>
      <c r="F163" s="7811" t="s">
        <v>2453</v>
      </c>
      <c r="G163" s="7811" t="s">
        <v>24</v>
      </c>
      <c r="H163" s="7811" t="s">
        <v>24</v>
      </c>
      <c r="I163" s="7811" t="s">
        <v>723</v>
      </c>
    </row>
    <row customHeight="1" ht="11.25">
      <c r="A164" s="7811" t="s">
        <v>2171</v>
      </c>
      <c r="B164" s="7811" t="s">
        <v>14</v>
      </c>
      <c r="C164" s="7811" t="s">
        <v>2771</v>
      </c>
      <c r="D164" s="7811" t="s">
        <v>2772</v>
      </c>
      <c r="E164" s="7811" t="s">
        <v>2773</v>
      </c>
      <c r="F164" s="7811" t="s">
        <v>2240</v>
      </c>
      <c r="G164" s="7811" t="s">
        <v>24</v>
      </c>
      <c r="H164" s="7811" t="s">
        <v>24</v>
      </c>
      <c r="I164" s="7811" t="s">
        <v>723</v>
      </c>
    </row>
    <row customHeight="1" ht="11.25">
      <c r="A165" s="7811" t="s">
        <v>2171</v>
      </c>
      <c r="B165" s="7811" t="s">
        <v>14</v>
      </c>
      <c r="C165" s="7811" t="s">
        <v>2774</v>
      </c>
      <c r="D165" s="7811" t="s">
        <v>2775</v>
      </c>
      <c r="E165" s="7811" t="s">
        <v>2776</v>
      </c>
      <c r="F165" s="7811" t="s">
        <v>2777</v>
      </c>
      <c r="G165" s="7811" t="s">
        <v>24</v>
      </c>
      <c r="H165" s="7811" t="s">
        <v>24</v>
      </c>
      <c r="I165" s="7811" t="s">
        <v>723</v>
      </c>
    </row>
    <row customHeight="1" ht="11.25">
      <c r="A166" s="7811" t="s">
        <v>2171</v>
      </c>
      <c r="B166" s="7811" t="s">
        <v>14</v>
      </c>
      <c r="C166" s="7811" t="s">
        <v>2778</v>
      </c>
      <c r="D166" s="7811" t="s">
        <v>2779</v>
      </c>
      <c r="E166" s="7811" t="s">
        <v>2780</v>
      </c>
      <c r="F166" s="7811" t="s">
        <v>2670</v>
      </c>
      <c r="G166" s="7811" t="s">
        <v>24</v>
      </c>
      <c r="H166" s="7811" t="s">
        <v>24</v>
      </c>
      <c r="I166" s="7811" t="s">
        <v>723</v>
      </c>
    </row>
    <row customHeight="1" ht="11.25">
      <c r="A167" s="7811" t="s">
        <v>2171</v>
      </c>
      <c r="B167" s="7811" t="s">
        <v>14</v>
      </c>
      <c r="C167" s="7811" t="s">
        <v>2781</v>
      </c>
      <c r="D167" s="7811" t="s">
        <v>2782</v>
      </c>
      <c r="E167" s="7811" t="s">
        <v>2783</v>
      </c>
      <c r="F167" s="7811" t="s">
        <v>2404</v>
      </c>
      <c r="G167" s="7811" t="s">
        <v>24</v>
      </c>
      <c r="H167" s="7811" t="s">
        <v>24</v>
      </c>
      <c r="I167" s="7811" t="s">
        <v>723</v>
      </c>
    </row>
    <row customHeight="1" ht="11.25">
      <c r="A168" s="7811" t="s">
        <v>2171</v>
      </c>
      <c r="B168" s="7811" t="s">
        <v>14</v>
      </c>
      <c r="C168" s="7811" t="s">
        <v>2784</v>
      </c>
      <c r="D168" s="7811" t="s">
        <v>2785</v>
      </c>
      <c r="E168" s="7811" t="s">
        <v>2786</v>
      </c>
      <c r="F168" s="7811" t="s">
        <v>2435</v>
      </c>
      <c r="G168" s="7811" t="s">
        <v>24</v>
      </c>
      <c r="H168" s="7811" t="s">
        <v>24</v>
      </c>
      <c r="I168" s="7811" t="s">
        <v>723</v>
      </c>
    </row>
    <row customHeight="1" ht="11.25">
      <c r="A169" s="7811" t="s">
        <v>2171</v>
      </c>
      <c r="B169" s="7811" t="s">
        <v>14</v>
      </c>
      <c r="C169" s="7811" t="s">
        <v>2787</v>
      </c>
      <c r="D169" s="7811" t="s">
        <v>2788</v>
      </c>
      <c r="E169" s="7811" t="s">
        <v>2789</v>
      </c>
      <c r="F169" s="7811" t="s">
        <v>2258</v>
      </c>
      <c r="G169" s="7811" t="s">
        <v>2790</v>
      </c>
      <c r="H169" s="7811" t="s">
        <v>24</v>
      </c>
      <c r="I169" s="7811" t="s">
        <v>723</v>
      </c>
    </row>
    <row customHeight="1" ht="11.25">
      <c r="A170" s="7811" t="s">
        <v>2171</v>
      </c>
      <c r="B170" s="7811" t="s">
        <v>14</v>
      </c>
      <c r="C170" s="7811" t="s">
        <v>2791</v>
      </c>
      <c r="D170" s="7811" t="s">
        <v>2792</v>
      </c>
      <c r="E170" s="7811" t="s">
        <v>2793</v>
      </c>
      <c r="F170" s="7811" t="s">
        <v>2457</v>
      </c>
      <c r="G170" s="7811" t="s">
        <v>24</v>
      </c>
      <c r="H170" s="7811" t="s">
        <v>24</v>
      </c>
      <c r="I170" s="7811" t="s">
        <v>723</v>
      </c>
    </row>
    <row customHeight="1" ht="11.25">
      <c r="A171" s="7811" t="s">
        <v>2171</v>
      </c>
      <c r="B171" s="7811" t="s">
        <v>14</v>
      </c>
      <c r="C171" s="7811" t="s">
        <v>2794</v>
      </c>
      <c r="D171" s="7811" t="s">
        <v>2795</v>
      </c>
      <c r="E171" s="7811" t="s">
        <v>2190</v>
      </c>
      <c r="F171" s="7811" t="s">
        <v>2796</v>
      </c>
      <c r="G171" s="7811" t="s">
        <v>24</v>
      </c>
      <c r="H171" s="7811" t="s">
        <v>24</v>
      </c>
      <c r="I171" s="7811" t="s">
        <v>723</v>
      </c>
    </row>
    <row customHeight="1" ht="11.25">
      <c r="A172" s="7811" t="s">
        <v>2171</v>
      </c>
      <c r="B172" s="7811" t="s">
        <v>14</v>
      </c>
      <c r="C172" s="7811" t="s">
        <v>2797</v>
      </c>
      <c r="D172" s="7811" t="s">
        <v>2798</v>
      </c>
      <c r="E172" s="7811" t="s">
        <v>2799</v>
      </c>
      <c r="F172" s="7811" t="s">
        <v>2685</v>
      </c>
      <c r="G172" s="7811" t="s">
        <v>24</v>
      </c>
      <c r="H172" s="7811" t="s">
        <v>2360</v>
      </c>
      <c r="I172" s="7811" t="s">
        <v>723</v>
      </c>
    </row>
    <row customHeight="1" ht="11.25">
      <c r="A173" s="7811" t="s">
        <v>2171</v>
      </c>
      <c r="B173" s="7811" t="s">
        <v>14</v>
      </c>
      <c r="C173" s="7811" t="s">
        <v>2800</v>
      </c>
      <c r="D173" s="7811" t="s">
        <v>2801</v>
      </c>
      <c r="E173" s="7811" t="s">
        <v>2802</v>
      </c>
      <c r="F173" s="7811" t="s">
        <v>2227</v>
      </c>
      <c r="G173" s="7811" t="s">
        <v>24</v>
      </c>
      <c r="H173" s="7811" t="s">
        <v>24</v>
      </c>
      <c r="I173" s="7811" t="s">
        <v>723</v>
      </c>
    </row>
    <row customHeight="1" ht="11.25">
      <c r="A174" s="7811" t="s">
        <v>2171</v>
      </c>
      <c r="B174" s="7811" t="s">
        <v>14</v>
      </c>
      <c r="C174" s="7811" t="s">
        <v>2803</v>
      </c>
      <c r="D174" s="7811" t="s">
        <v>2804</v>
      </c>
      <c r="E174" s="7811" t="s">
        <v>2805</v>
      </c>
      <c r="F174" s="7811" t="s">
        <v>2806</v>
      </c>
      <c r="G174" s="7811" t="s">
        <v>24</v>
      </c>
      <c r="H174" s="7811" t="s">
        <v>24</v>
      </c>
      <c r="I174" s="7811" t="s">
        <v>723</v>
      </c>
    </row>
    <row customHeight="1" ht="11.25">
      <c r="A175" s="7811" t="s">
        <v>2171</v>
      </c>
      <c r="B175" s="7811" t="s">
        <v>14</v>
      </c>
      <c r="C175" s="7811" t="s">
        <v>2807</v>
      </c>
      <c r="D175" s="7811" t="s">
        <v>2808</v>
      </c>
      <c r="E175" s="7811" t="s">
        <v>2809</v>
      </c>
      <c r="F175" s="7811" t="s">
        <v>2236</v>
      </c>
      <c r="G175" s="7811" t="s">
        <v>24</v>
      </c>
      <c r="H175" s="7811" t="s">
        <v>2633</v>
      </c>
      <c r="I175" s="7811" t="s">
        <v>723</v>
      </c>
    </row>
    <row customHeight="1" ht="11.25">
      <c r="A176" s="7811" t="s">
        <v>2171</v>
      </c>
      <c r="B176" s="7811" t="s">
        <v>14</v>
      </c>
      <c r="C176" s="7811" t="s">
        <v>24</v>
      </c>
      <c r="D176" s="7811" t="s">
        <v>2810</v>
      </c>
      <c r="E176" s="7811" t="s">
        <v>2811</v>
      </c>
      <c r="F176" s="7811" t="s">
        <v>2453</v>
      </c>
      <c r="G176" s="7811" t="s">
        <v>24</v>
      </c>
      <c r="H176" s="7811" t="s">
        <v>24</v>
      </c>
      <c r="I176" s="7811" t="s">
        <v>723</v>
      </c>
    </row>
    <row customHeight="1" ht="11.25">
      <c r="A177" s="7811" t="s">
        <v>2171</v>
      </c>
      <c r="B177" s="7811" t="s">
        <v>14</v>
      </c>
      <c r="C177" s="7811" t="s">
        <v>2812</v>
      </c>
      <c r="D177" s="7811" t="s">
        <v>2813</v>
      </c>
      <c r="E177" s="7811" t="s">
        <v>2814</v>
      </c>
      <c r="F177" s="7811" t="s">
        <v>2815</v>
      </c>
      <c r="G177" s="7811" t="s">
        <v>24</v>
      </c>
      <c r="H177" s="7811" t="s">
        <v>24</v>
      </c>
      <c r="I177" s="7811" t="s">
        <v>723</v>
      </c>
    </row>
    <row customHeight="1" ht="11.25">
      <c r="A178" s="7811" t="s">
        <v>2171</v>
      </c>
      <c r="B178" s="7811" t="s">
        <v>14</v>
      </c>
      <c r="C178" s="7811" t="s">
        <v>2816</v>
      </c>
      <c r="D178" s="7811" t="s">
        <v>2817</v>
      </c>
      <c r="E178" s="7811" t="s">
        <v>2818</v>
      </c>
      <c r="F178" s="7811" t="s">
        <v>2213</v>
      </c>
      <c r="G178" s="7811" t="s">
        <v>24</v>
      </c>
      <c r="H178" s="7811" t="s">
        <v>24</v>
      </c>
      <c r="I178" s="7811" t="s">
        <v>723</v>
      </c>
    </row>
    <row customHeight="1" ht="11.25">
      <c r="A179" s="7811" t="s">
        <v>2171</v>
      </c>
      <c r="B179" s="7811" t="s">
        <v>14</v>
      </c>
      <c r="C179" s="7811" t="s">
        <v>2819</v>
      </c>
      <c r="D179" s="7811" t="s">
        <v>2820</v>
      </c>
      <c r="E179" s="7811" t="s">
        <v>2821</v>
      </c>
      <c r="F179" s="7811" t="s">
        <v>2822</v>
      </c>
      <c r="G179" s="7811" t="s">
        <v>24</v>
      </c>
      <c r="H179" s="7811" t="s">
        <v>2823</v>
      </c>
      <c r="I179" s="7811" t="s">
        <v>723</v>
      </c>
    </row>
    <row customHeight="1" ht="11.25">
      <c r="A180" s="7811" t="s">
        <v>2171</v>
      </c>
      <c r="B180" s="7811" t="s">
        <v>14</v>
      </c>
      <c r="C180" s="7811" t="s">
        <v>2824</v>
      </c>
      <c r="D180" s="7811" t="s">
        <v>2825</v>
      </c>
      <c r="E180" s="7811" t="s">
        <v>2814</v>
      </c>
      <c r="F180" s="7811" t="s">
        <v>2826</v>
      </c>
      <c r="G180" s="7811" t="s">
        <v>24</v>
      </c>
      <c r="H180" s="7811" t="s">
        <v>24</v>
      </c>
      <c r="I180" s="7811" t="s">
        <v>723</v>
      </c>
    </row>
    <row customHeight="1" ht="11.25">
      <c r="A181" s="7811" t="s">
        <v>2171</v>
      </c>
      <c r="B181" s="7811" t="s">
        <v>14</v>
      </c>
      <c r="C181" s="7811" t="s">
        <v>2827</v>
      </c>
      <c r="D181" s="7811" t="s">
        <v>2828</v>
      </c>
      <c r="E181" s="7811" t="s">
        <v>2829</v>
      </c>
      <c r="F181" s="7811" t="s">
        <v>2435</v>
      </c>
      <c r="G181" s="7811" t="s">
        <v>24</v>
      </c>
      <c r="H181" s="7811" t="s">
        <v>24</v>
      </c>
      <c r="I181" s="7811" t="s">
        <v>723</v>
      </c>
    </row>
    <row customHeight="1" ht="11.25">
      <c r="A182" s="7811" t="s">
        <v>2171</v>
      </c>
      <c r="B182" s="7811" t="s">
        <v>14</v>
      </c>
      <c r="C182" s="7811" t="s">
        <v>2830</v>
      </c>
      <c r="D182" s="7811" t="s">
        <v>2831</v>
      </c>
      <c r="E182" s="7811" t="s">
        <v>2832</v>
      </c>
      <c r="F182" s="7811" t="s">
        <v>2833</v>
      </c>
      <c r="G182" s="7811" t="s">
        <v>24</v>
      </c>
      <c r="H182" s="7811" t="s">
        <v>24</v>
      </c>
      <c r="I182" s="7811" t="s">
        <v>723</v>
      </c>
    </row>
    <row customHeight="1" ht="11.25">
      <c r="A183" s="7811" t="s">
        <v>2171</v>
      </c>
      <c r="B183" s="7811" t="s">
        <v>14</v>
      </c>
      <c r="C183" s="7811" t="s">
        <v>2834</v>
      </c>
      <c r="D183" s="7811" t="s">
        <v>2835</v>
      </c>
      <c r="E183" s="7811" t="s">
        <v>2836</v>
      </c>
      <c r="F183" s="7811" t="s">
        <v>2236</v>
      </c>
      <c r="G183" s="7811" t="s">
        <v>24</v>
      </c>
      <c r="H183" s="7811" t="s">
        <v>24</v>
      </c>
      <c r="I183" s="7811" t="s">
        <v>723</v>
      </c>
    </row>
    <row customHeight="1" ht="11.25">
      <c r="A184" s="7811" t="s">
        <v>2171</v>
      </c>
      <c r="B184" s="7811" t="s">
        <v>14</v>
      </c>
      <c r="C184" s="7811" t="s">
        <v>2837</v>
      </c>
      <c r="D184" s="7811" t="s">
        <v>2838</v>
      </c>
      <c r="E184" s="7811" t="s">
        <v>2839</v>
      </c>
      <c r="F184" s="7811" t="s">
        <v>2227</v>
      </c>
      <c r="G184" s="7811" t="s">
        <v>24</v>
      </c>
      <c r="H184" s="7811" t="s">
        <v>2840</v>
      </c>
      <c r="I184" s="7811" t="s">
        <v>723</v>
      </c>
    </row>
    <row customHeight="1" ht="11.25">
      <c r="A185" s="7811" t="s">
        <v>2171</v>
      </c>
      <c r="B185" s="7811" t="s">
        <v>14</v>
      </c>
      <c r="C185" s="7811" t="s">
        <v>2841</v>
      </c>
      <c r="D185" s="7811" t="s">
        <v>2842</v>
      </c>
      <c r="E185" s="7811" t="s">
        <v>2843</v>
      </c>
      <c r="F185" s="7811" t="s">
        <v>2404</v>
      </c>
      <c r="G185" s="7811" t="s">
        <v>24</v>
      </c>
      <c r="H185" s="7811" t="s">
        <v>24</v>
      </c>
      <c r="I185" s="7811" t="s">
        <v>723</v>
      </c>
    </row>
    <row customHeight="1" ht="11.25">
      <c r="A186" s="7811" t="s">
        <v>2171</v>
      </c>
      <c r="B186" s="7811" t="s">
        <v>14</v>
      </c>
      <c r="C186" s="7811" t="s">
        <v>2844</v>
      </c>
      <c r="D186" s="7811" t="s">
        <v>2845</v>
      </c>
      <c r="E186" s="7811" t="s">
        <v>2846</v>
      </c>
      <c r="F186" s="7811" t="s">
        <v>2404</v>
      </c>
      <c r="G186" s="7811" t="s">
        <v>24</v>
      </c>
      <c r="H186" s="7811" t="s">
        <v>24</v>
      </c>
      <c r="I186" s="7811" t="s">
        <v>723</v>
      </c>
    </row>
    <row customHeight="1" ht="11.25">
      <c r="A187" s="7811" t="s">
        <v>2171</v>
      </c>
      <c r="B187" s="7811" t="s">
        <v>14</v>
      </c>
      <c r="C187" s="7811" t="s">
        <v>2847</v>
      </c>
      <c r="D187" s="7811" t="s">
        <v>2848</v>
      </c>
      <c r="E187" s="7811" t="s">
        <v>2849</v>
      </c>
      <c r="F187" s="7811" t="s">
        <v>2756</v>
      </c>
      <c r="G187" s="7811" t="s">
        <v>24</v>
      </c>
      <c r="H187" s="7811" t="s">
        <v>24</v>
      </c>
      <c r="I187" s="7811" t="s">
        <v>723</v>
      </c>
    </row>
    <row customHeight="1" ht="11.25">
      <c r="A188" s="7811" t="s">
        <v>2171</v>
      </c>
      <c r="B188" s="7811" t="s">
        <v>14</v>
      </c>
      <c r="C188" s="7811" t="s">
        <v>2850</v>
      </c>
      <c r="D188" s="7811" t="s">
        <v>2851</v>
      </c>
      <c r="E188" s="7811" t="s">
        <v>2832</v>
      </c>
      <c r="F188" s="7811" t="s">
        <v>2852</v>
      </c>
      <c r="G188" s="7811" t="s">
        <v>24</v>
      </c>
      <c r="H188" s="7811" t="s">
        <v>24</v>
      </c>
      <c r="I188" s="7811" t="s">
        <v>723</v>
      </c>
    </row>
    <row customHeight="1" ht="11.25">
      <c r="A189" s="7811" t="s">
        <v>2171</v>
      </c>
      <c r="B189" s="7811" t="s">
        <v>14</v>
      </c>
      <c r="C189" s="7811" t="s">
        <v>2853</v>
      </c>
      <c r="D189" s="7811" t="s">
        <v>2854</v>
      </c>
      <c r="E189" s="7811" t="s">
        <v>2855</v>
      </c>
      <c r="F189" s="7811" t="s">
        <v>2856</v>
      </c>
      <c r="G189" s="7811" t="s">
        <v>24</v>
      </c>
      <c r="H189" s="7811" t="s">
        <v>24</v>
      </c>
      <c r="I189" s="7811" t="s">
        <v>723</v>
      </c>
    </row>
    <row customHeight="1" ht="11.25">
      <c r="A190" s="7811" t="s">
        <v>2171</v>
      </c>
      <c r="B190" s="7811" t="s">
        <v>14</v>
      </c>
      <c r="C190" s="7811" t="s">
        <v>2857</v>
      </c>
      <c r="D190" s="7811" t="s">
        <v>2858</v>
      </c>
      <c r="E190" s="7811" t="s">
        <v>2855</v>
      </c>
      <c r="F190" s="7811" t="s">
        <v>2859</v>
      </c>
      <c r="G190" s="7811" t="s">
        <v>2860</v>
      </c>
      <c r="H190" s="7811" t="s">
        <v>24</v>
      </c>
      <c r="I190" s="7811" t="s">
        <v>723</v>
      </c>
    </row>
    <row customHeight="1" ht="11.25">
      <c r="A191" s="7811" t="s">
        <v>2171</v>
      </c>
      <c r="B191" s="7811" t="s">
        <v>14</v>
      </c>
      <c r="C191" s="7811" t="s">
        <v>2861</v>
      </c>
      <c r="D191" s="7811" t="s">
        <v>2862</v>
      </c>
      <c r="E191" s="7811" t="s">
        <v>2863</v>
      </c>
      <c r="F191" s="7811" t="s">
        <v>2864</v>
      </c>
      <c r="G191" s="7811" t="s">
        <v>2865</v>
      </c>
      <c r="H191" s="7811" t="s">
        <v>24</v>
      </c>
      <c r="I191" s="7811" t="s">
        <v>723</v>
      </c>
    </row>
    <row customHeight="1" ht="11.25">
      <c r="A192" s="7811" t="s">
        <v>2171</v>
      </c>
      <c r="B192" s="7811" t="s">
        <v>14</v>
      </c>
      <c r="C192" s="7811" t="s">
        <v>2866</v>
      </c>
      <c r="D192" s="7811" t="s">
        <v>2867</v>
      </c>
      <c r="E192" s="7811" t="s">
        <v>2235</v>
      </c>
      <c r="F192" s="7811" t="s">
        <v>2852</v>
      </c>
      <c r="G192" s="7811" t="s">
        <v>24</v>
      </c>
      <c r="H192" s="7811" t="s">
        <v>24</v>
      </c>
      <c r="I192" s="7811" t="s">
        <v>723</v>
      </c>
    </row>
    <row customHeight="1" ht="11.25">
      <c r="A193" s="7811" t="s">
        <v>2171</v>
      </c>
      <c r="B193" s="7811" t="s">
        <v>14</v>
      </c>
      <c r="C193" s="7811" t="s">
        <v>2868</v>
      </c>
      <c r="D193" s="7811" t="s">
        <v>2869</v>
      </c>
      <c r="E193" s="7811" t="s">
        <v>2870</v>
      </c>
      <c r="F193" s="7811" t="s">
        <v>2871</v>
      </c>
      <c r="G193" s="7811" t="s">
        <v>24</v>
      </c>
      <c r="H193" s="7811" t="s">
        <v>24</v>
      </c>
      <c r="I193" s="7811" t="s">
        <v>723</v>
      </c>
    </row>
    <row customHeight="1" ht="11.25">
      <c r="A194" s="7811" t="s">
        <v>2171</v>
      </c>
      <c r="B194" s="7811" t="s">
        <v>14</v>
      </c>
      <c r="C194" s="7811" t="s">
        <v>2872</v>
      </c>
      <c r="D194" s="7811" t="s">
        <v>2873</v>
      </c>
      <c r="E194" s="7811" t="s">
        <v>2874</v>
      </c>
      <c r="F194" s="7811" t="s">
        <v>2859</v>
      </c>
      <c r="G194" s="7811" t="s">
        <v>24</v>
      </c>
      <c r="H194" s="7811" t="s">
        <v>2375</v>
      </c>
      <c r="I194" s="7811" t="s">
        <v>723</v>
      </c>
    </row>
    <row customHeight="1" ht="11.25">
      <c r="A195" s="7811" t="s">
        <v>2171</v>
      </c>
      <c r="B195" s="7811" t="s">
        <v>14</v>
      </c>
      <c r="C195" s="7811" t="s">
        <v>2875</v>
      </c>
      <c r="D195" s="7811" t="s">
        <v>2876</v>
      </c>
      <c r="E195" s="7811" t="s">
        <v>2877</v>
      </c>
      <c r="F195" s="7811" t="s">
        <v>2878</v>
      </c>
      <c r="G195" s="7811" t="s">
        <v>24</v>
      </c>
      <c r="H195" s="7811" t="s">
        <v>24</v>
      </c>
      <c r="I195" s="7811" t="s">
        <v>723</v>
      </c>
    </row>
    <row customHeight="1" ht="11.25">
      <c r="A196" s="7811" t="s">
        <v>2171</v>
      </c>
      <c r="B196" s="7811" t="s">
        <v>14</v>
      </c>
      <c r="C196" s="7811" t="s">
        <v>2879</v>
      </c>
      <c r="D196" s="7811" t="s">
        <v>2880</v>
      </c>
      <c r="E196" s="7811" t="s">
        <v>2881</v>
      </c>
      <c r="F196" s="7811" t="s">
        <v>2882</v>
      </c>
      <c r="G196" s="7811" t="s">
        <v>24</v>
      </c>
      <c r="H196" s="7811" t="s">
        <v>24</v>
      </c>
      <c r="I196" s="7811" t="s">
        <v>723</v>
      </c>
    </row>
    <row customHeight="1" ht="11.25">
      <c r="A197" s="7811" t="s">
        <v>2171</v>
      </c>
      <c r="B197" s="7811" t="s">
        <v>14</v>
      </c>
      <c r="C197" s="7811" t="s">
        <v>2883</v>
      </c>
      <c r="D197" s="7811" t="s">
        <v>2884</v>
      </c>
      <c r="E197" s="7811" t="s">
        <v>2885</v>
      </c>
      <c r="F197" s="7811" t="s">
        <v>2886</v>
      </c>
      <c r="G197" s="7811" t="s">
        <v>24</v>
      </c>
      <c r="H197" s="7811" t="s">
        <v>24</v>
      </c>
      <c r="I197" s="7811" t="s">
        <v>723</v>
      </c>
    </row>
    <row customHeight="1" ht="11.25">
      <c r="A198" s="7811" t="s">
        <v>2171</v>
      </c>
      <c r="B198" s="7811" t="s">
        <v>14</v>
      </c>
      <c r="C198" s="7811" t="s">
        <v>2887</v>
      </c>
      <c r="D198" s="7811" t="s">
        <v>2888</v>
      </c>
      <c r="E198" s="7811" t="s">
        <v>2805</v>
      </c>
      <c r="F198" s="7811" t="s">
        <v>2889</v>
      </c>
      <c r="G198" s="7811" t="s">
        <v>24</v>
      </c>
      <c r="H198" s="7811" t="s">
        <v>24</v>
      </c>
      <c r="I198" s="7811" t="s">
        <v>723</v>
      </c>
    </row>
    <row customHeight="1" ht="11.25">
      <c r="A199" s="7811" t="s">
        <v>2171</v>
      </c>
      <c r="B199" s="7811" t="s">
        <v>14</v>
      </c>
      <c r="C199" s="7811" t="s">
        <v>2890</v>
      </c>
      <c r="D199" s="7811" t="s">
        <v>2891</v>
      </c>
      <c r="E199" s="7811" t="s">
        <v>2892</v>
      </c>
      <c r="F199" s="7811" t="s">
        <v>2886</v>
      </c>
      <c r="G199" s="7811" t="s">
        <v>2865</v>
      </c>
      <c r="H199" s="7811" t="s">
        <v>24</v>
      </c>
      <c r="I199" s="7811" t="s">
        <v>723</v>
      </c>
    </row>
    <row customHeight="1" ht="11.25">
      <c r="A200" s="7811" t="s">
        <v>2171</v>
      </c>
      <c r="B200" s="7811" t="s">
        <v>14</v>
      </c>
      <c r="C200" s="7811" t="s">
        <v>2223</v>
      </c>
      <c r="D200" s="7811" t="s">
        <v>44</v>
      </c>
      <c r="E200" s="7811" t="s">
        <v>47</v>
      </c>
      <c r="F200" s="7811" t="s">
        <v>49</v>
      </c>
      <c r="G200" s="7811" t="s">
        <v>24</v>
      </c>
      <c r="H200" s="7811" t="s">
        <v>24</v>
      </c>
      <c r="I200" s="7811" t="s">
        <v>810</v>
      </c>
    </row>
    <row customHeight="1" ht="11.25">
      <c r="A201" s="7811" t="s">
        <v>2171</v>
      </c>
      <c r="B201" s="7811" t="s">
        <v>14</v>
      </c>
      <c r="C201" s="7811" t="s">
        <v>2224</v>
      </c>
      <c r="D201" s="7811" t="s">
        <v>2225</v>
      </c>
      <c r="E201" s="7811" t="s">
        <v>2226</v>
      </c>
      <c r="F201" s="7811" t="s">
        <v>2227</v>
      </c>
      <c r="G201" s="7811" t="s">
        <v>24</v>
      </c>
      <c r="H201" s="7811" t="s">
        <v>24</v>
      </c>
      <c r="I201" s="7811" t="s">
        <v>810</v>
      </c>
    </row>
    <row customHeight="1" ht="11.25">
      <c r="A202" s="7811" t="s">
        <v>2171</v>
      </c>
      <c r="B202" s="7811" t="s">
        <v>14</v>
      </c>
      <c r="C202" s="7811" t="s">
        <v>2233</v>
      </c>
      <c r="D202" s="7811" t="s">
        <v>2234</v>
      </c>
      <c r="E202" s="7811" t="s">
        <v>2235</v>
      </c>
      <c r="F202" s="7811" t="s">
        <v>2236</v>
      </c>
      <c r="G202" s="7811" t="s">
        <v>24</v>
      </c>
      <c r="H202" s="7811" t="s">
        <v>24</v>
      </c>
      <c r="I202" s="7811" t="s">
        <v>810</v>
      </c>
    </row>
    <row customHeight="1" ht="11.25">
      <c r="A203" s="7811" t="s">
        <v>2171</v>
      </c>
      <c r="B203" s="7811" t="s">
        <v>14</v>
      </c>
      <c r="C203" s="7811" t="s">
        <v>2259</v>
      </c>
      <c r="D203" s="7811" t="s">
        <v>2260</v>
      </c>
      <c r="E203" s="7811" t="s">
        <v>2261</v>
      </c>
      <c r="F203" s="7811" t="s">
        <v>2218</v>
      </c>
      <c r="G203" s="7811" t="s">
        <v>24</v>
      </c>
      <c r="H203" s="7811" t="s">
        <v>24</v>
      </c>
      <c r="I203" s="7811" t="s">
        <v>810</v>
      </c>
    </row>
    <row customHeight="1" ht="11.25">
      <c r="A204" s="7811" t="s">
        <v>2171</v>
      </c>
      <c r="B204" s="7811" t="s">
        <v>14</v>
      </c>
      <c r="C204" s="7811" t="s">
        <v>2262</v>
      </c>
      <c r="D204" s="7811" t="s">
        <v>2263</v>
      </c>
      <c r="E204" s="7811" t="s">
        <v>2264</v>
      </c>
      <c r="F204" s="7811" t="s">
        <v>2265</v>
      </c>
      <c r="G204" s="7811" t="s">
        <v>24</v>
      </c>
      <c r="H204" s="7811" t="s">
        <v>24</v>
      </c>
      <c r="I204" s="7811" t="s">
        <v>810</v>
      </c>
    </row>
    <row customHeight="1" ht="11.25">
      <c r="A205" s="7811" t="s">
        <v>2171</v>
      </c>
      <c r="B205" s="7811" t="s">
        <v>14</v>
      </c>
      <c r="C205" s="7811" t="s">
        <v>2299</v>
      </c>
      <c r="D205" s="7811" t="s">
        <v>2300</v>
      </c>
      <c r="E205" s="7811" t="s">
        <v>2301</v>
      </c>
      <c r="F205" s="7811" t="s">
        <v>2302</v>
      </c>
      <c r="G205" s="7811" t="s">
        <v>24</v>
      </c>
      <c r="H205" s="7811" t="s">
        <v>24</v>
      </c>
      <c r="I205" s="7811" t="s">
        <v>810</v>
      </c>
    </row>
    <row customHeight="1" ht="11.25">
      <c r="A206" s="7811" t="s">
        <v>2171</v>
      </c>
      <c r="B206" s="7811" t="s">
        <v>14</v>
      </c>
      <c r="C206" s="7811" t="s">
        <v>2303</v>
      </c>
      <c r="D206" s="7811" t="s">
        <v>2304</v>
      </c>
      <c r="E206" s="7811" t="s">
        <v>2305</v>
      </c>
      <c r="F206" s="7811" t="s">
        <v>2306</v>
      </c>
      <c r="G206" s="7811" t="s">
        <v>24</v>
      </c>
      <c r="H206" s="7811" t="s">
        <v>24</v>
      </c>
      <c r="I206" s="7811" t="s">
        <v>810</v>
      </c>
    </row>
    <row customHeight="1" ht="11.25">
      <c r="A207" s="7811" t="s">
        <v>2171</v>
      </c>
      <c r="B207" s="7811" t="s">
        <v>14</v>
      </c>
      <c r="C207" s="7811" t="s">
        <v>2307</v>
      </c>
      <c r="D207" s="7811" t="s">
        <v>2308</v>
      </c>
      <c r="E207" s="7811" t="s">
        <v>2309</v>
      </c>
      <c r="F207" s="7811" t="s">
        <v>2310</v>
      </c>
      <c r="G207" s="7811" t="s">
        <v>24</v>
      </c>
      <c r="H207" s="7811" t="s">
        <v>24</v>
      </c>
      <c r="I207" s="7811" t="s">
        <v>810</v>
      </c>
    </row>
    <row customHeight="1" ht="11.25">
      <c r="A208" s="7811" t="s">
        <v>2171</v>
      </c>
      <c r="B208" s="7811" t="s">
        <v>14</v>
      </c>
      <c r="C208" s="7811" t="s">
        <v>2315</v>
      </c>
      <c r="D208" s="7811" t="s">
        <v>2316</v>
      </c>
      <c r="E208" s="7811" t="s">
        <v>2317</v>
      </c>
      <c r="F208" s="7811" t="s">
        <v>2227</v>
      </c>
      <c r="G208" s="7811" t="s">
        <v>2318</v>
      </c>
      <c r="H208" s="7811" t="s">
        <v>24</v>
      </c>
      <c r="I208" s="7811" t="s">
        <v>810</v>
      </c>
    </row>
    <row customHeight="1" ht="11.25">
      <c r="A209" s="7811" t="s">
        <v>2171</v>
      </c>
      <c r="B209" s="7811" t="s">
        <v>14</v>
      </c>
      <c r="C209" s="7811" t="s">
        <v>2335</v>
      </c>
      <c r="D209" s="7811" t="s">
        <v>2336</v>
      </c>
      <c r="E209" s="7811" t="s">
        <v>2337</v>
      </c>
      <c r="F209" s="7811" t="s">
        <v>2310</v>
      </c>
      <c r="G209" s="7811" t="s">
        <v>24</v>
      </c>
      <c r="H209" s="7811" t="s">
        <v>24</v>
      </c>
      <c r="I209" s="7811" t="s">
        <v>810</v>
      </c>
    </row>
    <row customHeight="1" ht="11.25">
      <c r="A210" s="7811" t="s">
        <v>2171</v>
      </c>
      <c r="B210" s="7811" t="s">
        <v>14</v>
      </c>
      <c r="C210" s="7811" t="s">
        <v>2342</v>
      </c>
      <c r="D210" s="7811" t="s">
        <v>2343</v>
      </c>
      <c r="E210" s="7811" t="s">
        <v>2344</v>
      </c>
      <c r="F210" s="7811" t="s">
        <v>2288</v>
      </c>
      <c r="G210" s="7811" t="s">
        <v>2345</v>
      </c>
      <c r="H210" s="7811" t="s">
        <v>24</v>
      </c>
      <c r="I210" s="7811" t="s">
        <v>810</v>
      </c>
    </row>
    <row customHeight="1" ht="11.25">
      <c r="A211" s="7811" t="s">
        <v>2171</v>
      </c>
      <c r="B211" s="7811" t="s">
        <v>14</v>
      </c>
      <c r="C211" s="7811" t="s">
        <v>2346</v>
      </c>
      <c r="D211" s="7811" t="s">
        <v>2347</v>
      </c>
      <c r="E211" s="7811" t="s">
        <v>2348</v>
      </c>
      <c r="F211" s="7811" t="s">
        <v>2349</v>
      </c>
      <c r="G211" s="7811" t="s">
        <v>24</v>
      </c>
      <c r="H211" s="7811" t="s">
        <v>24</v>
      </c>
      <c r="I211" s="7811" t="s">
        <v>810</v>
      </c>
    </row>
    <row customHeight="1" ht="11.25">
      <c r="A212" s="7811" t="s">
        <v>2171</v>
      </c>
      <c r="B212" s="7811" t="s">
        <v>14</v>
      </c>
      <c r="C212" s="7811" t="s">
        <v>2354</v>
      </c>
      <c r="D212" s="7811" t="s">
        <v>2355</v>
      </c>
      <c r="E212" s="7811" t="s">
        <v>2356</v>
      </c>
      <c r="F212" s="7811" t="s">
        <v>2258</v>
      </c>
      <c r="G212" s="7811" t="s">
        <v>24</v>
      </c>
      <c r="H212" s="7811" t="s">
        <v>24</v>
      </c>
      <c r="I212" s="7811" t="s">
        <v>810</v>
      </c>
    </row>
    <row customHeight="1" ht="11.25">
      <c r="A213" s="7811" t="s">
        <v>2171</v>
      </c>
      <c r="B213" s="7811" t="s">
        <v>14</v>
      </c>
      <c r="C213" s="7811" t="s">
        <v>2365</v>
      </c>
      <c r="D213" s="7811" t="s">
        <v>2366</v>
      </c>
      <c r="E213" s="7811" t="s">
        <v>2367</v>
      </c>
      <c r="F213" s="7811" t="s">
        <v>2310</v>
      </c>
      <c r="G213" s="7811" t="s">
        <v>2368</v>
      </c>
      <c r="H213" s="7811" t="s">
        <v>24</v>
      </c>
      <c r="I213" s="7811" t="s">
        <v>810</v>
      </c>
    </row>
    <row customHeight="1" ht="11.25">
      <c r="A214" s="7811" t="s">
        <v>2171</v>
      </c>
      <c r="B214" s="7811" t="s">
        <v>14</v>
      </c>
      <c r="C214" s="7811" t="s">
        <v>2372</v>
      </c>
      <c r="D214" s="7811" t="s">
        <v>2373</v>
      </c>
      <c r="E214" s="7811" t="s">
        <v>2374</v>
      </c>
      <c r="F214" s="7811" t="s">
        <v>2258</v>
      </c>
      <c r="G214" s="7811" t="s">
        <v>24</v>
      </c>
      <c r="H214" s="7811" t="s">
        <v>2375</v>
      </c>
      <c r="I214" s="7811" t="s">
        <v>810</v>
      </c>
    </row>
    <row customHeight="1" ht="11.25">
      <c r="A215" s="7811" t="s">
        <v>2171</v>
      </c>
      <c r="B215" s="7811" t="s">
        <v>14</v>
      </c>
      <c r="C215" s="7811" t="s">
        <v>2376</v>
      </c>
      <c r="D215" s="7811" t="s">
        <v>2377</v>
      </c>
      <c r="E215" s="7811" t="s">
        <v>2378</v>
      </c>
      <c r="F215" s="7811" t="s">
        <v>2379</v>
      </c>
      <c r="G215" s="7811" t="s">
        <v>24</v>
      </c>
      <c r="H215" s="7811" t="s">
        <v>24</v>
      </c>
      <c r="I215" s="7811" t="s">
        <v>810</v>
      </c>
    </row>
    <row customHeight="1" ht="11.25">
      <c r="A216" s="7811" t="s">
        <v>2171</v>
      </c>
      <c r="B216" s="7811" t="s">
        <v>14</v>
      </c>
      <c r="C216" s="7811" t="s">
        <v>2390</v>
      </c>
      <c r="D216" s="7811" t="s">
        <v>2391</v>
      </c>
      <c r="E216" s="7811" t="s">
        <v>2392</v>
      </c>
      <c r="F216" s="7811" t="s">
        <v>2213</v>
      </c>
      <c r="G216" s="7811" t="s">
        <v>24</v>
      </c>
      <c r="H216" s="7811" t="s">
        <v>24</v>
      </c>
      <c r="I216" s="7811" t="s">
        <v>810</v>
      </c>
    </row>
    <row customHeight="1" ht="11.25">
      <c r="A217" s="7811" t="s">
        <v>2171</v>
      </c>
      <c r="B217" s="7811" t="s">
        <v>14</v>
      </c>
      <c r="C217" s="7811" t="s">
        <v>2421</v>
      </c>
      <c r="D217" s="7811" t="s">
        <v>2422</v>
      </c>
      <c r="E217" s="7811" t="s">
        <v>2423</v>
      </c>
      <c r="F217" s="7811" t="s">
        <v>2424</v>
      </c>
      <c r="G217" s="7811" t="s">
        <v>24</v>
      </c>
      <c r="H217" s="7811" t="s">
        <v>24</v>
      </c>
      <c r="I217" s="7811" t="s">
        <v>810</v>
      </c>
    </row>
    <row customHeight="1" ht="11.25">
      <c r="A218" s="7811" t="s">
        <v>2171</v>
      </c>
      <c r="B218" s="7811" t="s">
        <v>14</v>
      </c>
      <c r="C218" s="7811" t="s">
        <v>2425</v>
      </c>
      <c r="D218" s="7811" t="s">
        <v>2426</v>
      </c>
      <c r="E218" s="7811" t="s">
        <v>2427</v>
      </c>
      <c r="F218" s="7811" t="s">
        <v>2179</v>
      </c>
      <c r="G218" s="7811" t="s">
        <v>24</v>
      </c>
      <c r="H218" s="7811" t="s">
        <v>24</v>
      </c>
      <c r="I218" s="7811" t="s">
        <v>810</v>
      </c>
    </row>
    <row customHeight="1" ht="11.25">
      <c r="A219" s="7811" t="s">
        <v>2171</v>
      </c>
      <c r="B219" s="7811" t="s">
        <v>14</v>
      </c>
      <c r="C219" s="7811" t="s">
        <v>2428</v>
      </c>
      <c r="D219" s="7811" t="s">
        <v>2429</v>
      </c>
      <c r="E219" s="7811" t="s">
        <v>2430</v>
      </c>
      <c r="F219" s="7811" t="s">
        <v>2431</v>
      </c>
      <c r="G219" s="7811" t="s">
        <v>24</v>
      </c>
      <c r="H219" s="7811" t="s">
        <v>24</v>
      </c>
      <c r="I219" s="7811" t="s">
        <v>810</v>
      </c>
    </row>
    <row customHeight="1" ht="11.25">
      <c r="A220" s="7811" t="s">
        <v>2171</v>
      </c>
      <c r="B220" s="7811" t="s">
        <v>14</v>
      </c>
      <c r="C220" s="7811" t="s">
        <v>2893</v>
      </c>
      <c r="D220" s="7811" t="s">
        <v>2894</v>
      </c>
      <c r="E220" s="7811" t="s">
        <v>2430</v>
      </c>
      <c r="F220" s="7811" t="s">
        <v>2670</v>
      </c>
      <c r="G220" s="7811" t="s">
        <v>24</v>
      </c>
      <c r="H220" s="7811" t="s">
        <v>2633</v>
      </c>
      <c r="I220" s="7811" t="s">
        <v>810</v>
      </c>
    </row>
    <row customHeight="1" ht="11.25">
      <c r="A221" s="7811" t="s">
        <v>2171</v>
      </c>
      <c r="B221" s="7811" t="s">
        <v>14</v>
      </c>
      <c r="C221" s="7811" t="s">
        <v>2459</v>
      </c>
      <c r="D221" s="7811" t="s">
        <v>2460</v>
      </c>
      <c r="E221" s="7811" t="s">
        <v>2461</v>
      </c>
      <c r="F221" s="7811" t="s">
        <v>2462</v>
      </c>
      <c r="G221" s="7811" t="s">
        <v>24</v>
      </c>
      <c r="H221" s="7811" t="s">
        <v>24</v>
      </c>
      <c r="I221" s="7811" t="s">
        <v>810</v>
      </c>
    </row>
    <row customHeight="1" ht="11.25">
      <c r="A222" s="7811" t="s">
        <v>2171</v>
      </c>
      <c r="B222" s="7811" t="s">
        <v>14</v>
      </c>
      <c r="C222" s="7811" t="s">
        <v>2497</v>
      </c>
      <c r="D222" s="7811" t="s">
        <v>2498</v>
      </c>
      <c r="E222" s="7811" t="s">
        <v>2499</v>
      </c>
      <c r="F222" s="7811" t="s">
        <v>2288</v>
      </c>
      <c r="G222" s="7811" t="s">
        <v>24</v>
      </c>
      <c r="H222" s="7811" t="s">
        <v>2375</v>
      </c>
      <c r="I222" s="7811" t="s">
        <v>810</v>
      </c>
    </row>
    <row customHeight="1" ht="11.25">
      <c r="A223" s="7811" t="s">
        <v>2171</v>
      </c>
      <c r="B223" s="7811" t="s">
        <v>14</v>
      </c>
      <c r="C223" s="7811" t="s">
        <v>2514</v>
      </c>
      <c r="D223" s="7811" t="s">
        <v>2515</v>
      </c>
      <c r="E223" s="7811" t="s">
        <v>2516</v>
      </c>
      <c r="F223" s="7811" t="s">
        <v>2517</v>
      </c>
      <c r="G223" s="7811" t="s">
        <v>24</v>
      </c>
      <c r="H223" s="7811" t="s">
        <v>24</v>
      </c>
      <c r="I223" s="7811" t="s">
        <v>810</v>
      </c>
    </row>
    <row customHeight="1" ht="11.25">
      <c r="A224" s="7811" t="s">
        <v>2171</v>
      </c>
      <c r="B224" s="7811" t="s">
        <v>14</v>
      </c>
      <c r="C224" s="7811" t="s">
        <v>2526</v>
      </c>
      <c r="D224" s="7811" t="s">
        <v>2527</v>
      </c>
      <c r="E224" s="7811" t="s">
        <v>2528</v>
      </c>
      <c r="F224" s="7811" t="s">
        <v>2517</v>
      </c>
      <c r="G224" s="7811" t="s">
        <v>2529</v>
      </c>
      <c r="H224" s="7811" t="s">
        <v>24</v>
      </c>
      <c r="I224" s="7811" t="s">
        <v>810</v>
      </c>
    </row>
    <row customHeight="1" ht="11.25">
      <c r="A225" s="7811" t="s">
        <v>2171</v>
      </c>
      <c r="B225" s="7811" t="s">
        <v>14</v>
      </c>
      <c r="C225" s="7811" t="s">
        <v>2534</v>
      </c>
      <c r="D225" s="7811" t="s">
        <v>2535</v>
      </c>
      <c r="E225" s="7811" t="s">
        <v>2536</v>
      </c>
      <c r="F225" s="7811" t="s">
        <v>2175</v>
      </c>
      <c r="G225" s="7811" t="s">
        <v>2537</v>
      </c>
      <c r="H225" s="7811" t="s">
        <v>24</v>
      </c>
      <c r="I225" s="7811" t="s">
        <v>810</v>
      </c>
    </row>
    <row customHeight="1" ht="11.25">
      <c r="A226" s="7811" t="s">
        <v>2171</v>
      </c>
      <c r="B226" s="7811" t="s">
        <v>14</v>
      </c>
      <c r="C226" s="7811" t="s">
        <v>2542</v>
      </c>
      <c r="D226" s="7811" t="s">
        <v>2543</v>
      </c>
      <c r="E226" s="7811" t="s">
        <v>2544</v>
      </c>
      <c r="F226" s="7811" t="s">
        <v>2281</v>
      </c>
      <c r="G226" s="7811" t="s">
        <v>2545</v>
      </c>
      <c r="H226" s="7811" t="s">
        <v>24</v>
      </c>
      <c r="I226" s="7811" t="s">
        <v>810</v>
      </c>
    </row>
    <row customHeight="1" ht="11.25">
      <c r="A227" s="7811" t="s">
        <v>2171</v>
      </c>
      <c r="B227" s="7811" t="s">
        <v>14</v>
      </c>
      <c r="C227" s="7811" t="s">
        <v>2576</v>
      </c>
      <c r="D227" s="7811" t="s">
        <v>2577</v>
      </c>
      <c r="E227" s="7811" t="s">
        <v>2578</v>
      </c>
      <c r="F227" s="7811" t="s">
        <v>2236</v>
      </c>
      <c r="G227" s="7811" t="s">
        <v>24</v>
      </c>
      <c r="H227" s="7811" t="s">
        <v>24</v>
      </c>
      <c r="I227" s="7811" t="s">
        <v>810</v>
      </c>
    </row>
    <row customHeight="1" ht="11.25">
      <c r="A228" s="7811" t="s">
        <v>2171</v>
      </c>
      <c r="B228" s="7811" t="s">
        <v>14</v>
      </c>
      <c r="C228" s="7811" t="s">
        <v>2615</v>
      </c>
      <c r="D228" s="7811" t="s">
        <v>2616</v>
      </c>
      <c r="E228" s="7811" t="s">
        <v>2617</v>
      </c>
      <c r="F228" s="7811" t="s">
        <v>2175</v>
      </c>
      <c r="G228" s="7811" t="s">
        <v>24</v>
      </c>
      <c r="H228" s="7811" t="s">
        <v>24</v>
      </c>
      <c r="I228" s="7811" t="s">
        <v>810</v>
      </c>
    </row>
    <row customHeight="1" ht="11.25">
      <c r="A229" s="7811" t="s">
        <v>2171</v>
      </c>
      <c r="B229" s="7811" t="s">
        <v>14</v>
      </c>
      <c r="C229" s="7811" t="s">
        <v>2618</v>
      </c>
      <c r="D229" s="7811" t="s">
        <v>2619</v>
      </c>
      <c r="E229" s="7811" t="s">
        <v>2620</v>
      </c>
      <c r="F229" s="7811" t="s">
        <v>2236</v>
      </c>
      <c r="G229" s="7811" t="s">
        <v>2621</v>
      </c>
      <c r="H229" s="7811" t="s">
        <v>24</v>
      </c>
      <c r="I229" s="7811" t="s">
        <v>810</v>
      </c>
    </row>
    <row customHeight="1" ht="11.25">
      <c r="A230" s="7811" t="s">
        <v>2171</v>
      </c>
      <c r="B230" s="7811" t="s">
        <v>14</v>
      </c>
      <c r="C230" s="7811" t="s">
        <v>2622</v>
      </c>
      <c r="D230" s="7811" t="s">
        <v>2623</v>
      </c>
      <c r="E230" s="7811" t="s">
        <v>2624</v>
      </c>
      <c r="F230" s="7811" t="s">
        <v>2183</v>
      </c>
      <c r="G230" s="7811" t="s">
        <v>2625</v>
      </c>
      <c r="H230" s="7811" t="s">
        <v>24</v>
      </c>
      <c r="I230" s="7811" t="s">
        <v>810</v>
      </c>
    </row>
    <row customHeight="1" ht="11.25">
      <c r="A231" s="7811" t="s">
        <v>2171</v>
      </c>
      <c r="B231" s="7811" t="s">
        <v>14</v>
      </c>
      <c r="C231" s="7811" t="s">
        <v>2895</v>
      </c>
      <c r="D231" s="7811" t="s">
        <v>2896</v>
      </c>
      <c r="E231" s="7811" t="s">
        <v>2620</v>
      </c>
      <c r="F231" s="7811" t="s">
        <v>2521</v>
      </c>
      <c r="G231" s="7811" t="s">
        <v>2897</v>
      </c>
      <c r="H231" s="7811" t="s">
        <v>24</v>
      </c>
      <c r="I231" s="7811" t="s">
        <v>810</v>
      </c>
    </row>
    <row customHeight="1" ht="11.25">
      <c r="A232" s="7811" t="s">
        <v>2171</v>
      </c>
      <c r="B232" s="7811" t="s">
        <v>14</v>
      </c>
      <c r="C232" s="7811" t="s">
        <v>2640</v>
      </c>
      <c r="D232" s="7811" t="s">
        <v>2641</v>
      </c>
      <c r="E232" s="7811" t="s">
        <v>2642</v>
      </c>
      <c r="F232" s="7811" t="s">
        <v>2466</v>
      </c>
      <c r="G232" s="7811" t="s">
        <v>24</v>
      </c>
      <c r="H232" s="7811" t="s">
        <v>24</v>
      </c>
      <c r="I232" s="7811" t="s">
        <v>810</v>
      </c>
    </row>
    <row customHeight="1" ht="11.25">
      <c r="A233" s="7811" t="s">
        <v>2171</v>
      </c>
      <c r="B233" s="7811" t="s">
        <v>14</v>
      </c>
      <c r="C233" s="7811" t="s">
        <v>2652</v>
      </c>
      <c r="D233" s="7811" t="s">
        <v>2653</v>
      </c>
      <c r="E233" s="7811" t="s">
        <v>2645</v>
      </c>
      <c r="F233" s="7811" t="s">
        <v>2654</v>
      </c>
      <c r="G233" s="7811" t="s">
        <v>24</v>
      </c>
      <c r="H233" s="7811" t="s">
        <v>24</v>
      </c>
      <c r="I233" s="7811" t="s">
        <v>810</v>
      </c>
    </row>
    <row customHeight="1" ht="11.25">
      <c r="A234" s="7811" t="s">
        <v>2171</v>
      </c>
      <c r="B234" s="7811" t="s">
        <v>14</v>
      </c>
      <c r="C234" s="7811" t="s">
        <v>2686</v>
      </c>
      <c r="D234" s="7811" t="s">
        <v>2687</v>
      </c>
      <c r="E234" s="7811" t="s">
        <v>2688</v>
      </c>
      <c r="F234" s="7811" t="s">
        <v>2213</v>
      </c>
      <c r="G234" s="7811" t="s">
        <v>24</v>
      </c>
      <c r="H234" s="7811" t="s">
        <v>2322</v>
      </c>
      <c r="I234" s="7811" t="s">
        <v>810</v>
      </c>
    </row>
    <row customHeight="1" ht="11.25">
      <c r="A235" s="7811" t="s">
        <v>2171</v>
      </c>
      <c r="B235" s="7811" t="s">
        <v>14</v>
      </c>
      <c r="C235" s="7811" t="s">
        <v>2698</v>
      </c>
      <c r="D235" s="7811" t="s">
        <v>2699</v>
      </c>
      <c r="E235" s="7811" t="s">
        <v>2700</v>
      </c>
      <c r="F235" s="7811" t="s">
        <v>2236</v>
      </c>
      <c r="G235" s="7811" t="s">
        <v>2701</v>
      </c>
      <c r="H235" s="7811" t="s">
        <v>24</v>
      </c>
      <c r="I235" s="7811" t="s">
        <v>810</v>
      </c>
    </row>
    <row customHeight="1" ht="11.25">
      <c r="A236" s="7811" t="s">
        <v>2171</v>
      </c>
      <c r="B236" s="7811" t="s">
        <v>14</v>
      </c>
      <c r="C236" s="7811" t="s">
        <v>2707</v>
      </c>
      <c r="D236" s="7811" t="s">
        <v>2708</v>
      </c>
      <c r="E236" s="7811" t="s">
        <v>2709</v>
      </c>
      <c r="F236" s="7811" t="s">
        <v>2517</v>
      </c>
      <c r="G236" s="7811" t="s">
        <v>24</v>
      </c>
      <c r="H236" s="7811" t="s">
        <v>24</v>
      </c>
      <c r="I236" s="7811" t="s">
        <v>810</v>
      </c>
    </row>
    <row customHeight="1" ht="11.25">
      <c r="A237" s="7811" t="s">
        <v>2171</v>
      </c>
      <c r="B237" s="7811" t="s">
        <v>14</v>
      </c>
      <c r="C237" s="7811" t="s">
        <v>2721</v>
      </c>
      <c r="D237" s="7811" t="s">
        <v>2722</v>
      </c>
      <c r="E237" s="7811" t="s">
        <v>2723</v>
      </c>
      <c r="F237" s="7811" t="s">
        <v>2227</v>
      </c>
      <c r="G237" s="7811" t="s">
        <v>24</v>
      </c>
      <c r="H237" s="7811" t="s">
        <v>2375</v>
      </c>
      <c r="I237" s="7811" t="s">
        <v>810</v>
      </c>
    </row>
    <row customHeight="1" ht="11.25">
      <c r="A238" s="7811" t="s">
        <v>2171</v>
      </c>
      <c r="B238" s="7811" t="s">
        <v>14</v>
      </c>
      <c r="C238" s="7811" t="s">
        <v>2724</v>
      </c>
      <c r="D238" s="7811" t="s">
        <v>2725</v>
      </c>
      <c r="E238" s="7811" t="s">
        <v>2726</v>
      </c>
      <c r="F238" s="7811" t="s">
        <v>2727</v>
      </c>
      <c r="G238" s="7811" t="s">
        <v>24</v>
      </c>
      <c r="H238" s="7811" t="s">
        <v>24</v>
      </c>
      <c r="I238" s="7811" t="s">
        <v>810</v>
      </c>
    </row>
    <row customHeight="1" ht="11.25">
      <c r="A239" s="7811" t="s">
        <v>2171</v>
      </c>
      <c r="B239" s="7811" t="s">
        <v>14</v>
      </c>
      <c r="C239" s="7811" t="s">
        <v>2728</v>
      </c>
      <c r="D239" s="7811" t="s">
        <v>2729</v>
      </c>
      <c r="E239" s="7811" t="s">
        <v>2730</v>
      </c>
      <c r="F239" s="7811" t="s">
        <v>2236</v>
      </c>
      <c r="G239" s="7811" t="s">
        <v>24</v>
      </c>
      <c r="H239" s="7811" t="s">
        <v>2731</v>
      </c>
      <c r="I239" s="7811" t="s">
        <v>810</v>
      </c>
    </row>
    <row customHeight="1" ht="11.25">
      <c r="A240" s="7811" t="s">
        <v>2171</v>
      </c>
      <c r="B240" s="7811" t="s">
        <v>14</v>
      </c>
      <c r="C240" s="7811" t="s">
        <v>2732</v>
      </c>
      <c r="D240" s="7811" t="s">
        <v>2729</v>
      </c>
      <c r="E240" s="7811" t="s">
        <v>2733</v>
      </c>
      <c r="F240" s="7811" t="s">
        <v>2302</v>
      </c>
      <c r="G240" s="7811" t="s">
        <v>2734</v>
      </c>
      <c r="H240" s="7811" t="s">
        <v>24</v>
      </c>
      <c r="I240" s="7811" t="s">
        <v>810</v>
      </c>
    </row>
    <row customHeight="1" ht="11.25">
      <c r="A241" s="7811" t="s">
        <v>2171</v>
      </c>
      <c r="B241" s="7811" t="s">
        <v>14</v>
      </c>
      <c r="C241" s="7811" t="s">
        <v>2746</v>
      </c>
      <c r="D241" s="7811" t="s">
        <v>2747</v>
      </c>
      <c r="E241" s="7811" t="s">
        <v>2748</v>
      </c>
      <c r="F241" s="7811" t="s">
        <v>2258</v>
      </c>
      <c r="G241" s="7811" t="s">
        <v>2749</v>
      </c>
      <c r="H241" s="7811" t="s">
        <v>24</v>
      </c>
      <c r="I241" s="7811" t="s">
        <v>810</v>
      </c>
    </row>
    <row customHeight="1" ht="11.25">
      <c r="A242" s="7811" t="s">
        <v>2171</v>
      </c>
      <c r="B242" s="7811" t="s">
        <v>14</v>
      </c>
      <c r="C242" s="7811" t="s">
        <v>2758</v>
      </c>
      <c r="D242" s="7811" t="s">
        <v>2759</v>
      </c>
      <c r="E242" s="7811" t="s">
        <v>2760</v>
      </c>
      <c r="F242" s="7811" t="s">
        <v>2727</v>
      </c>
      <c r="G242" s="7811" t="s">
        <v>24</v>
      </c>
      <c r="H242" s="7811" t="s">
        <v>24</v>
      </c>
      <c r="I242" s="7811" t="s">
        <v>810</v>
      </c>
    </row>
    <row customHeight="1" ht="11.25">
      <c r="A243" s="7811" t="s">
        <v>2171</v>
      </c>
      <c r="B243" s="7811" t="s">
        <v>14</v>
      </c>
      <c r="C243" s="7811" t="s">
        <v>2761</v>
      </c>
      <c r="D243" s="7811" t="s">
        <v>2762</v>
      </c>
      <c r="E243" s="7811" t="s">
        <v>2763</v>
      </c>
      <c r="F243" s="7811" t="s">
        <v>2764</v>
      </c>
      <c r="G243" s="7811" t="s">
        <v>24</v>
      </c>
      <c r="H243" s="7811" t="s">
        <v>24</v>
      </c>
      <c r="I243" s="7811" t="s">
        <v>810</v>
      </c>
    </row>
    <row customHeight="1" ht="11.25">
      <c r="A244" s="7811" t="s">
        <v>2171</v>
      </c>
      <c r="B244" s="7811" t="s">
        <v>14</v>
      </c>
      <c r="C244" s="7811" t="s">
        <v>2771</v>
      </c>
      <c r="D244" s="7811" t="s">
        <v>2772</v>
      </c>
      <c r="E244" s="7811" t="s">
        <v>2773</v>
      </c>
      <c r="F244" s="7811" t="s">
        <v>2240</v>
      </c>
      <c r="G244" s="7811" t="s">
        <v>24</v>
      </c>
      <c r="H244" s="7811" t="s">
        <v>24</v>
      </c>
      <c r="I244" s="7811" t="s">
        <v>810</v>
      </c>
    </row>
    <row customHeight="1" ht="11.25">
      <c r="A245" s="7811" t="s">
        <v>2171</v>
      </c>
      <c r="B245" s="7811" t="s">
        <v>14</v>
      </c>
      <c r="C245" s="7811" t="s">
        <v>2774</v>
      </c>
      <c r="D245" s="7811" t="s">
        <v>2775</v>
      </c>
      <c r="E245" s="7811" t="s">
        <v>2776</v>
      </c>
      <c r="F245" s="7811" t="s">
        <v>2777</v>
      </c>
      <c r="G245" s="7811" t="s">
        <v>24</v>
      </c>
      <c r="H245" s="7811" t="s">
        <v>24</v>
      </c>
      <c r="I245" s="7811" t="s">
        <v>810</v>
      </c>
    </row>
    <row customHeight="1" ht="11.25">
      <c r="A246" s="7811" t="s">
        <v>2171</v>
      </c>
      <c r="B246" s="7811" t="s">
        <v>14</v>
      </c>
      <c r="C246" s="7811" t="s">
        <v>24</v>
      </c>
      <c r="D246" s="7811" t="s">
        <v>2810</v>
      </c>
      <c r="E246" s="7811" t="s">
        <v>2811</v>
      </c>
      <c r="F246" s="7811" t="s">
        <v>2453</v>
      </c>
      <c r="G246" s="7811" t="s">
        <v>24</v>
      </c>
      <c r="H246" s="7811" t="s">
        <v>24</v>
      </c>
      <c r="I246" s="7811" t="s">
        <v>810</v>
      </c>
    </row>
    <row customHeight="1" ht="11.25">
      <c r="A247" s="7811" t="s">
        <v>2171</v>
      </c>
      <c r="B247" s="7811" t="s">
        <v>14</v>
      </c>
      <c r="C247" s="7811" t="s">
        <v>2816</v>
      </c>
      <c r="D247" s="7811" t="s">
        <v>2817</v>
      </c>
      <c r="E247" s="7811" t="s">
        <v>2818</v>
      </c>
      <c r="F247" s="7811" t="s">
        <v>2213</v>
      </c>
      <c r="G247" s="7811" t="s">
        <v>24</v>
      </c>
      <c r="H247" s="7811" t="s">
        <v>24</v>
      </c>
      <c r="I247" s="7811" t="s">
        <v>810</v>
      </c>
    </row>
    <row customHeight="1" ht="11.25">
      <c r="A248" s="7811" t="s">
        <v>2171</v>
      </c>
      <c r="B248" s="7811" t="s">
        <v>14</v>
      </c>
      <c r="C248" s="7811" t="s">
        <v>2824</v>
      </c>
      <c r="D248" s="7811" t="s">
        <v>2825</v>
      </c>
      <c r="E248" s="7811" t="s">
        <v>2814</v>
      </c>
      <c r="F248" s="7811" t="s">
        <v>2826</v>
      </c>
      <c r="G248" s="7811" t="s">
        <v>24</v>
      </c>
      <c r="H248" s="7811" t="s">
        <v>24</v>
      </c>
      <c r="I248" s="7811" t="s">
        <v>810</v>
      </c>
    </row>
    <row customHeight="1" ht="11.25">
      <c r="A249" s="7811" t="s">
        <v>2171</v>
      </c>
      <c r="B249" s="7811" t="s">
        <v>14</v>
      </c>
      <c r="C249" s="7811" t="s">
        <v>2853</v>
      </c>
      <c r="D249" s="7811" t="s">
        <v>2854</v>
      </c>
      <c r="E249" s="7811" t="s">
        <v>2855</v>
      </c>
      <c r="F249" s="7811" t="s">
        <v>2856</v>
      </c>
      <c r="G249" s="7811" t="s">
        <v>24</v>
      </c>
      <c r="H249" s="7811" t="s">
        <v>24</v>
      </c>
      <c r="I249" s="7811" t="s">
        <v>810</v>
      </c>
    </row>
    <row customHeight="1" ht="11.25">
      <c r="A250" s="7811" t="s">
        <v>2171</v>
      </c>
      <c r="B250" s="7811" t="s">
        <v>14</v>
      </c>
      <c r="C250" s="7811" t="s">
        <v>2857</v>
      </c>
      <c r="D250" s="7811" t="s">
        <v>2858</v>
      </c>
      <c r="E250" s="7811" t="s">
        <v>2855</v>
      </c>
      <c r="F250" s="7811" t="s">
        <v>2859</v>
      </c>
      <c r="G250" s="7811" t="s">
        <v>2860</v>
      </c>
      <c r="H250" s="7811" t="s">
        <v>24</v>
      </c>
      <c r="I250" s="7811" t="s">
        <v>810</v>
      </c>
    </row>
    <row customHeight="1" ht="11.25">
      <c r="A251" s="7811" t="s">
        <v>2171</v>
      </c>
      <c r="B251" s="7811" t="s">
        <v>14</v>
      </c>
      <c r="C251" s="7811" t="s">
        <v>2866</v>
      </c>
      <c r="D251" s="7811" t="s">
        <v>2867</v>
      </c>
      <c r="E251" s="7811" t="s">
        <v>2235</v>
      </c>
      <c r="F251" s="7811" t="s">
        <v>2852</v>
      </c>
      <c r="G251" s="7811" t="s">
        <v>24</v>
      </c>
      <c r="H251" s="7811" t="s">
        <v>24</v>
      </c>
      <c r="I251" s="7811" t="s">
        <v>810</v>
      </c>
    </row>
    <row customHeight="1" ht="11.25">
      <c r="A252" s="7811" t="s">
        <v>2171</v>
      </c>
      <c r="B252" s="7811" t="s">
        <v>14</v>
      </c>
      <c r="C252" s="7811" t="s">
        <v>2872</v>
      </c>
      <c r="D252" s="7811" t="s">
        <v>2873</v>
      </c>
      <c r="E252" s="7811" t="s">
        <v>2874</v>
      </c>
      <c r="F252" s="7811" t="s">
        <v>2859</v>
      </c>
      <c r="G252" s="7811" t="s">
        <v>24</v>
      </c>
      <c r="H252" s="7811" t="s">
        <v>2375</v>
      </c>
      <c r="I252" s="7811" t="s">
        <v>810</v>
      </c>
    </row>
    <row customHeight="1" ht="11.25">
      <c r="A253" s="7811" t="s">
        <v>2171</v>
      </c>
      <c r="B253" s="7811" t="s">
        <v>14</v>
      </c>
      <c r="C253" s="7811" t="s">
        <v>2875</v>
      </c>
      <c r="D253" s="7811" t="s">
        <v>2876</v>
      </c>
      <c r="E253" s="7811" t="s">
        <v>2877</v>
      </c>
      <c r="F253" s="7811" t="s">
        <v>2878</v>
      </c>
      <c r="G253" s="7811" t="s">
        <v>24</v>
      </c>
      <c r="H253" s="7811" t="s">
        <v>24</v>
      </c>
      <c r="I253" s="7811" t="s">
        <v>810</v>
      </c>
    </row>
    <row customHeight="1" ht="11.25">
      <c r="A254" s="7811" t="s">
        <v>2171</v>
      </c>
      <c r="B254" s="7811" t="s">
        <v>14</v>
      </c>
      <c r="C254" s="7811" t="s">
        <v>2898</v>
      </c>
      <c r="D254" s="7811" t="s">
        <v>2899</v>
      </c>
      <c r="E254" s="7811" t="s">
        <v>2900</v>
      </c>
      <c r="F254" s="7811" t="s">
        <v>2901</v>
      </c>
      <c r="G254" s="7811" t="s">
        <v>24</v>
      </c>
      <c r="H254" s="7811" t="s">
        <v>2902</v>
      </c>
      <c r="I254" s="7811" t="s">
        <v>769</v>
      </c>
    </row>
    <row customHeight="1" ht="11.25">
      <c r="A255" s="7811" t="s">
        <v>2171</v>
      </c>
      <c r="B255" s="7811" t="s">
        <v>14</v>
      </c>
      <c r="C255" s="7811" t="s">
        <v>2903</v>
      </c>
      <c r="D255" s="7811" t="s">
        <v>2904</v>
      </c>
      <c r="E255" s="7811" t="s">
        <v>2905</v>
      </c>
      <c r="F255" s="7811" t="s">
        <v>2462</v>
      </c>
      <c r="G255" s="7811" t="s">
        <v>24</v>
      </c>
      <c r="H255" s="7811" t="s">
        <v>2375</v>
      </c>
      <c r="I255" s="7811" t="s">
        <v>769</v>
      </c>
    </row>
    <row customHeight="1" ht="11.25">
      <c r="A256" s="7811" t="s">
        <v>2171</v>
      </c>
      <c r="B256" s="7811" t="s">
        <v>14</v>
      </c>
      <c r="C256" s="7811" t="s">
        <v>2180</v>
      </c>
      <c r="D256" s="7811" t="s">
        <v>2181</v>
      </c>
      <c r="E256" s="7811" t="s">
        <v>2182</v>
      </c>
      <c r="F256" s="7811" t="s">
        <v>2183</v>
      </c>
      <c r="G256" s="7811" t="s">
        <v>24</v>
      </c>
      <c r="H256" s="7811" t="s">
        <v>24</v>
      </c>
      <c r="I256" s="7811" t="s">
        <v>769</v>
      </c>
    </row>
    <row customHeight="1" ht="11.25">
      <c r="A257" s="7811" t="s">
        <v>2171</v>
      </c>
      <c r="B257" s="7811" t="s">
        <v>14</v>
      </c>
      <c r="C257" s="7811" t="s">
        <v>2210</v>
      </c>
      <c r="D257" s="7811" t="s">
        <v>2211</v>
      </c>
      <c r="E257" s="7811" t="s">
        <v>2212</v>
      </c>
      <c r="F257" s="7811" t="s">
        <v>2213</v>
      </c>
      <c r="G257" s="7811" t="s">
        <v>2214</v>
      </c>
      <c r="H257" s="7811" t="s">
        <v>24</v>
      </c>
      <c r="I257" s="7811" t="s">
        <v>769</v>
      </c>
    </row>
    <row customHeight="1" ht="11.25">
      <c r="A258" s="7811" t="s">
        <v>2171</v>
      </c>
      <c r="B258" s="7811" t="s">
        <v>14</v>
      </c>
      <c r="C258" s="7811" t="s">
        <v>2906</v>
      </c>
      <c r="D258" s="7811" t="s">
        <v>2907</v>
      </c>
      <c r="E258" s="7811" t="s">
        <v>2908</v>
      </c>
      <c r="F258" s="7811" t="s">
        <v>49</v>
      </c>
      <c r="G258" s="7811" t="s">
        <v>24</v>
      </c>
      <c r="H258" s="7811" t="s">
        <v>24</v>
      </c>
      <c r="I258" s="7811" t="s">
        <v>769</v>
      </c>
    </row>
    <row customHeight="1" ht="11.25">
      <c r="A259" s="7811" t="s">
        <v>2171</v>
      </c>
      <c r="B259" s="7811" t="s">
        <v>14</v>
      </c>
      <c r="C259" s="7811" t="s">
        <v>2909</v>
      </c>
      <c r="D259" s="7811" t="s">
        <v>2910</v>
      </c>
      <c r="E259" s="7811" t="s">
        <v>2911</v>
      </c>
      <c r="F259" s="7811" t="s">
        <v>2912</v>
      </c>
      <c r="G259" s="7811" t="s">
        <v>24</v>
      </c>
      <c r="H259" s="7811" t="s">
        <v>24</v>
      </c>
      <c r="I259" s="7811" t="s">
        <v>769</v>
      </c>
    </row>
    <row customHeight="1" ht="11.25">
      <c r="A260" s="7811" t="s">
        <v>2171</v>
      </c>
      <c r="B260" s="7811" t="s">
        <v>14</v>
      </c>
      <c r="C260" s="7811" t="s">
        <v>2244</v>
      </c>
      <c r="D260" s="7811" t="s">
        <v>2245</v>
      </c>
      <c r="E260" s="7811" t="s">
        <v>2246</v>
      </c>
      <c r="F260" s="7811" t="s">
        <v>2247</v>
      </c>
      <c r="G260" s="7811" t="s">
        <v>24</v>
      </c>
      <c r="H260" s="7811" t="s">
        <v>24</v>
      </c>
      <c r="I260" s="7811" t="s">
        <v>769</v>
      </c>
    </row>
    <row customHeight="1" ht="11.25">
      <c r="A261" s="7811" t="s">
        <v>2171</v>
      </c>
      <c r="B261" s="7811" t="s">
        <v>14</v>
      </c>
      <c r="C261" s="7811" t="s">
        <v>2913</v>
      </c>
      <c r="D261" s="7811" t="s">
        <v>2914</v>
      </c>
      <c r="E261" s="7811" t="s">
        <v>2915</v>
      </c>
      <c r="F261" s="7811" t="s">
        <v>2453</v>
      </c>
      <c r="G261" s="7811" t="s">
        <v>2916</v>
      </c>
      <c r="H261" s="7811" t="s">
        <v>24</v>
      </c>
      <c r="I261" s="7811" t="s">
        <v>769</v>
      </c>
    </row>
    <row customHeight="1" ht="11.25">
      <c r="A262" s="7811" t="s">
        <v>2171</v>
      </c>
      <c r="B262" s="7811" t="s">
        <v>14</v>
      </c>
      <c r="C262" s="7811" t="s">
        <v>2917</v>
      </c>
      <c r="D262" s="7811" t="s">
        <v>2918</v>
      </c>
      <c r="E262" s="7811" t="s">
        <v>2919</v>
      </c>
      <c r="F262" s="7811" t="s">
        <v>2222</v>
      </c>
      <c r="G262" s="7811" t="s">
        <v>24</v>
      </c>
      <c r="H262" s="7811" t="s">
        <v>2920</v>
      </c>
      <c r="I262" s="7811" t="s">
        <v>769</v>
      </c>
    </row>
    <row customHeight="1" ht="11.25">
      <c r="A263" s="7811" t="s">
        <v>2171</v>
      </c>
      <c r="B263" s="7811" t="s">
        <v>14</v>
      </c>
      <c r="C263" s="7811" t="s">
        <v>2262</v>
      </c>
      <c r="D263" s="7811" t="s">
        <v>2263</v>
      </c>
      <c r="E263" s="7811" t="s">
        <v>2264</v>
      </c>
      <c r="F263" s="7811" t="s">
        <v>2265</v>
      </c>
      <c r="G263" s="7811" t="s">
        <v>24</v>
      </c>
      <c r="H263" s="7811" t="s">
        <v>24</v>
      </c>
      <c r="I263" s="7811" t="s">
        <v>769</v>
      </c>
    </row>
    <row customHeight="1" ht="11.25">
      <c r="A264" s="7811" t="s">
        <v>2171</v>
      </c>
      <c r="B264" s="7811" t="s">
        <v>14</v>
      </c>
      <c r="C264" s="7811" t="s">
        <v>2921</v>
      </c>
      <c r="D264" s="7811" t="s">
        <v>2922</v>
      </c>
      <c r="E264" s="7811" t="s">
        <v>2923</v>
      </c>
      <c r="F264" s="7811" t="s">
        <v>2453</v>
      </c>
      <c r="G264" s="7811" t="s">
        <v>2924</v>
      </c>
      <c r="H264" s="7811" t="s">
        <v>24</v>
      </c>
      <c r="I264" s="7811" t="s">
        <v>769</v>
      </c>
    </row>
    <row customHeight="1" ht="11.25">
      <c r="A265" s="7811" t="s">
        <v>2171</v>
      </c>
      <c r="B265" s="7811" t="s">
        <v>14</v>
      </c>
      <c r="C265" s="7811" t="s">
        <v>2925</v>
      </c>
      <c r="D265" s="7811" t="s">
        <v>2926</v>
      </c>
      <c r="E265" s="7811" t="s">
        <v>2927</v>
      </c>
      <c r="F265" s="7811" t="s">
        <v>2379</v>
      </c>
      <c r="G265" s="7811" t="s">
        <v>24</v>
      </c>
      <c r="H265" s="7811" t="s">
        <v>24</v>
      </c>
      <c r="I265" s="7811" t="s">
        <v>769</v>
      </c>
    </row>
    <row customHeight="1" ht="11.25">
      <c r="A266" s="7811" t="s">
        <v>2171</v>
      </c>
      <c r="B266" s="7811" t="s">
        <v>14</v>
      </c>
      <c r="C266" s="7811" t="s">
        <v>2928</v>
      </c>
      <c r="D266" s="7811" t="s">
        <v>2929</v>
      </c>
      <c r="E266" s="7811" t="s">
        <v>2930</v>
      </c>
      <c r="F266" s="7811" t="s">
        <v>2400</v>
      </c>
      <c r="G266" s="7811" t="s">
        <v>24</v>
      </c>
      <c r="H266" s="7811" t="s">
        <v>2931</v>
      </c>
      <c r="I266" s="7811" t="s">
        <v>769</v>
      </c>
    </row>
    <row customHeight="1" ht="11.25">
      <c r="A267" s="7811" t="s">
        <v>2171</v>
      </c>
      <c r="B267" s="7811" t="s">
        <v>14</v>
      </c>
      <c r="C267" s="7811" t="s">
        <v>2932</v>
      </c>
      <c r="D267" s="7811" t="s">
        <v>2933</v>
      </c>
      <c r="E267" s="7811" t="s">
        <v>2934</v>
      </c>
      <c r="F267" s="7811" t="s">
        <v>2400</v>
      </c>
      <c r="G267" s="7811" t="s">
        <v>24</v>
      </c>
      <c r="H267" s="7811" t="s">
        <v>2935</v>
      </c>
      <c r="I267" s="7811" t="s">
        <v>769</v>
      </c>
    </row>
    <row customHeight="1" ht="11.25">
      <c r="A268" s="7811" t="s">
        <v>2171</v>
      </c>
      <c r="B268" s="7811" t="s">
        <v>14</v>
      </c>
      <c r="C268" s="7811" t="s">
        <v>2936</v>
      </c>
      <c r="D268" s="7811" t="s">
        <v>2937</v>
      </c>
      <c r="E268" s="7811" t="s">
        <v>2938</v>
      </c>
      <c r="F268" s="7811" t="s">
        <v>576</v>
      </c>
      <c r="G268" s="7811" t="s">
        <v>24</v>
      </c>
      <c r="H268" s="7811" t="s">
        <v>24</v>
      </c>
      <c r="I268" s="7811" t="s">
        <v>769</v>
      </c>
    </row>
    <row customHeight="1" ht="11.25">
      <c r="A269" s="7811" t="s">
        <v>2171</v>
      </c>
      <c r="B269" s="7811" t="s">
        <v>14</v>
      </c>
      <c r="C269" s="7811" t="s">
        <v>2939</v>
      </c>
      <c r="D269" s="7811" t="s">
        <v>2940</v>
      </c>
      <c r="E269" s="7811" t="s">
        <v>2941</v>
      </c>
      <c r="F269" s="7811" t="s">
        <v>2696</v>
      </c>
      <c r="G269" s="7811" t="s">
        <v>24</v>
      </c>
      <c r="H269" s="7811" t="s">
        <v>2942</v>
      </c>
      <c r="I269" s="7811" t="s">
        <v>769</v>
      </c>
    </row>
    <row customHeight="1" ht="11.25">
      <c r="A270" s="7811" t="s">
        <v>2171</v>
      </c>
      <c r="B270" s="7811" t="s">
        <v>14</v>
      </c>
      <c r="C270" s="7811" t="s">
        <v>2943</v>
      </c>
      <c r="D270" s="7811" t="s">
        <v>2944</v>
      </c>
      <c r="E270" s="7811" t="s">
        <v>2945</v>
      </c>
      <c r="F270" s="7811" t="s">
        <v>2462</v>
      </c>
      <c r="G270" s="7811" t="s">
        <v>2946</v>
      </c>
      <c r="H270" s="7811" t="s">
        <v>24</v>
      </c>
      <c r="I270" s="7811" t="s">
        <v>769</v>
      </c>
    </row>
    <row customHeight="1" ht="11.25">
      <c r="A271" s="7811" t="s">
        <v>2171</v>
      </c>
      <c r="B271" s="7811" t="s">
        <v>14</v>
      </c>
      <c r="C271" s="7811" t="s">
        <v>2282</v>
      </c>
      <c r="D271" s="7811" t="s">
        <v>2283</v>
      </c>
      <c r="E271" s="7811" t="s">
        <v>2284</v>
      </c>
      <c r="F271" s="7811" t="s">
        <v>2179</v>
      </c>
      <c r="G271" s="7811" t="s">
        <v>24</v>
      </c>
      <c r="H271" s="7811" t="s">
        <v>24</v>
      </c>
      <c r="I271" s="7811" t="s">
        <v>769</v>
      </c>
    </row>
    <row customHeight="1" ht="11.25">
      <c r="A272" s="7811" t="s">
        <v>2171</v>
      </c>
      <c r="B272" s="7811" t="s">
        <v>14</v>
      </c>
      <c r="C272" s="7811" t="s">
        <v>2947</v>
      </c>
      <c r="D272" s="7811" t="s">
        <v>2948</v>
      </c>
      <c r="E272" s="7811" t="s">
        <v>2949</v>
      </c>
      <c r="F272" s="7811" t="s">
        <v>2950</v>
      </c>
      <c r="G272" s="7811" t="s">
        <v>24</v>
      </c>
      <c r="H272" s="7811" t="s">
        <v>24</v>
      </c>
      <c r="I272" s="7811" t="s">
        <v>769</v>
      </c>
    </row>
    <row customHeight="1" ht="11.25">
      <c r="A273" s="7811" t="s">
        <v>2171</v>
      </c>
      <c r="B273" s="7811" t="s">
        <v>14</v>
      </c>
      <c r="C273" s="7811" t="s">
        <v>2951</v>
      </c>
      <c r="D273" s="7811" t="s">
        <v>2952</v>
      </c>
      <c r="E273" s="7811" t="s">
        <v>2953</v>
      </c>
      <c r="F273" s="7811" t="s">
        <v>2281</v>
      </c>
      <c r="G273" s="7811" t="s">
        <v>2697</v>
      </c>
      <c r="H273" s="7811" t="s">
        <v>24</v>
      </c>
      <c r="I273" s="7811" t="s">
        <v>769</v>
      </c>
    </row>
    <row customHeight="1" ht="11.25">
      <c r="A274" s="7811" t="s">
        <v>2171</v>
      </c>
      <c r="B274" s="7811" t="s">
        <v>14</v>
      </c>
      <c r="C274" s="7811" t="s">
        <v>2954</v>
      </c>
      <c r="D274" s="7811" t="s">
        <v>2955</v>
      </c>
      <c r="E274" s="7811" t="s">
        <v>2956</v>
      </c>
      <c r="F274" s="7811" t="s">
        <v>2957</v>
      </c>
      <c r="G274" s="7811" t="s">
        <v>24</v>
      </c>
      <c r="H274" s="7811" t="s">
        <v>24</v>
      </c>
      <c r="I274" s="7811" t="s">
        <v>769</v>
      </c>
    </row>
    <row customHeight="1" ht="11.25">
      <c r="A275" s="7811" t="s">
        <v>2171</v>
      </c>
      <c r="B275" s="7811" t="s">
        <v>14</v>
      </c>
      <c r="C275" s="7811" t="s">
        <v>2303</v>
      </c>
      <c r="D275" s="7811" t="s">
        <v>2304</v>
      </c>
      <c r="E275" s="7811" t="s">
        <v>2305</v>
      </c>
      <c r="F275" s="7811" t="s">
        <v>2306</v>
      </c>
      <c r="G275" s="7811" t="s">
        <v>24</v>
      </c>
      <c r="H275" s="7811" t="s">
        <v>24</v>
      </c>
      <c r="I275" s="7811" t="s">
        <v>769</v>
      </c>
    </row>
    <row customHeight="1" ht="11.25">
      <c r="A276" s="7811" t="s">
        <v>2171</v>
      </c>
      <c r="B276" s="7811" t="s">
        <v>14</v>
      </c>
      <c r="C276" s="7811" t="s">
        <v>2958</v>
      </c>
      <c r="D276" s="7811" t="s">
        <v>2959</v>
      </c>
      <c r="E276" s="7811" t="s">
        <v>2960</v>
      </c>
      <c r="F276" s="7811" t="s">
        <v>2247</v>
      </c>
      <c r="G276" s="7811" t="s">
        <v>24</v>
      </c>
      <c r="H276" s="7811" t="s">
        <v>2549</v>
      </c>
      <c r="I276" s="7811" t="s">
        <v>769</v>
      </c>
    </row>
    <row customHeight="1" ht="11.25">
      <c r="A277" s="7811" t="s">
        <v>2171</v>
      </c>
      <c r="B277" s="7811" t="s">
        <v>14</v>
      </c>
      <c r="C277" s="7811" t="s">
        <v>2307</v>
      </c>
      <c r="D277" s="7811" t="s">
        <v>2308</v>
      </c>
      <c r="E277" s="7811" t="s">
        <v>2309</v>
      </c>
      <c r="F277" s="7811" t="s">
        <v>2310</v>
      </c>
      <c r="G277" s="7811" t="s">
        <v>24</v>
      </c>
      <c r="H277" s="7811" t="s">
        <v>24</v>
      </c>
      <c r="I277" s="7811" t="s">
        <v>769</v>
      </c>
    </row>
    <row customHeight="1" ht="11.25">
      <c r="A278" s="7811" t="s">
        <v>2171</v>
      </c>
      <c r="B278" s="7811" t="s">
        <v>14</v>
      </c>
      <c r="C278" s="7811" t="s">
        <v>2961</v>
      </c>
      <c r="D278" s="7811" t="s">
        <v>2962</v>
      </c>
      <c r="E278" s="7811" t="s">
        <v>2963</v>
      </c>
      <c r="F278" s="7811" t="s">
        <v>2416</v>
      </c>
      <c r="G278" s="7811" t="s">
        <v>24</v>
      </c>
      <c r="H278" s="7811" t="s">
        <v>24</v>
      </c>
      <c r="I278" s="7811" t="s">
        <v>769</v>
      </c>
    </row>
    <row customHeight="1" ht="11.25">
      <c r="A279" s="7811" t="s">
        <v>2171</v>
      </c>
      <c r="B279" s="7811" t="s">
        <v>14</v>
      </c>
      <c r="C279" s="7811" t="s">
        <v>2311</v>
      </c>
      <c r="D279" s="7811" t="s">
        <v>2312</v>
      </c>
      <c r="E279" s="7811" t="s">
        <v>2313</v>
      </c>
      <c r="F279" s="7811" t="s">
        <v>2314</v>
      </c>
      <c r="G279" s="7811" t="s">
        <v>24</v>
      </c>
      <c r="H279" s="7811" t="s">
        <v>24</v>
      </c>
      <c r="I279" s="7811" t="s">
        <v>769</v>
      </c>
    </row>
    <row customHeight="1" ht="11.25">
      <c r="A280" s="7811" t="s">
        <v>2171</v>
      </c>
      <c r="B280" s="7811" t="s">
        <v>14</v>
      </c>
      <c r="C280" s="7811" t="s">
        <v>2964</v>
      </c>
      <c r="D280" s="7811" t="s">
        <v>2965</v>
      </c>
      <c r="E280" s="7811" t="s">
        <v>2966</v>
      </c>
      <c r="F280" s="7811" t="s">
        <v>2379</v>
      </c>
      <c r="G280" s="7811" t="s">
        <v>2967</v>
      </c>
      <c r="H280" s="7811" t="s">
        <v>24</v>
      </c>
      <c r="I280" s="7811" t="s">
        <v>769</v>
      </c>
    </row>
    <row customHeight="1" ht="11.25">
      <c r="A281" s="7811" t="s">
        <v>2171</v>
      </c>
      <c r="B281" s="7811" t="s">
        <v>14</v>
      </c>
      <c r="C281" s="7811" t="s">
        <v>2968</v>
      </c>
      <c r="D281" s="7811" t="s">
        <v>2969</v>
      </c>
      <c r="E281" s="7811" t="s">
        <v>2970</v>
      </c>
      <c r="F281" s="7811" t="s">
        <v>2281</v>
      </c>
      <c r="G281" s="7811" t="s">
        <v>24</v>
      </c>
      <c r="H281" s="7811" t="s">
        <v>2971</v>
      </c>
      <c r="I281" s="7811" t="s">
        <v>769</v>
      </c>
    </row>
    <row customHeight="1" ht="11.25">
      <c r="A282" s="7811" t="s">
        <v>2171</v>
      </c>
      <c r="B282" s="7811" t="s">
        <v>14</v>
      </c>
      <c r="C282" s="7811" t="s">
        <v>2972</v>
      </c>
      <c r="D282" s="7811" t="s">
        <v>2969</v>
      </c>
      <c r="E282" s="7811" t="s">
        <v>2973</v>
      </c>
      <c r="F282" s="7811" t="s">
        <v>2696</v>
      </c>
      <c r="G282" s="7811" t="s">
        <v>2974</v>
      </c>
      <c r="H282" s="7811" t="s">
        <v>24</v>
      </c>
      <c r="I282" s="7811" t="s">
        <v>769</v>
      </c>
    </row>
    <row customHeight="1" ht="11.25">
      <c r="A283" s="7811" t="s">
        <v>2171</v>
      </c>
      <c r="B283" s="7811" t="s">
        <v>14</v>
      </c>
      <c r="C283" s="7811" t="s">
        <v>2975</v>
      </c>
      <c r="D283" s="7811" t="s">
        <v>2969</v>
      </c>
      <c r="E283" s="7811" t="s">
        <v>2976</v>
      </c>
      <c r="F283" s="7811" t="s">
        <v>2449</v>
      </c>
      <c r="G283" s="7811" t="s">
        <v>24</v>
      </c>
      <c r="H283" s="7811" t="s">
        <v>24</v>
      </c>
      <c r="I283" s="7811" t="s">
        <v>769</v>
      </c>
    </row>
    <row customHeight="1" ht="11.25">
      <c r="A284" s="7811" t="s">
        <v>2171</v>
      </c>
      <c r="B284" s="7811" t="s">
        <v>14</v>
      </c>
      <c r="C284" s="7811" t="s">
        <v>2977</v>
      </c>
      <c r="D284" s="7811" t="s">
        <v>2969</v>
      </c>
      <c r="E284" s="7811" t="s">
        <v>2978</v>
      </c>
      <c r="F284" s="7811" t="s">
        <v>2979</v>
      </c>
      <c r="G284" s="7811" t="s">
        <v>24</v>
      </c>
      <c r="H284" s="7811" t="s">
        <v>24</v>
      </c>
      <c r="I284" s="7811" t="s">
        <v>769</v>
      </c>
    </row>
    <row customHeight="1" ht="11.25">
      <c r="A285" s="7811" t="s">
        <v>2171</v>
      </c>
      <c r="B285" s="7811" t="s">
        <v>14</v>
      </c>
      <c r="C285" s="7811" t="s">
        <v>2980</v>
      </c>
      <c r="D285" s="7811" t="s">
        <v>2981</v>
      </c>
      <c r="E285" s="7811" t="s">
        <v>2982</v>
      </c>
      <c r="F285" s="7811" t="s">
        <v>2777</v>
      </c>
      <c r="G285" s="7811" t="s">
        <v>24</v>
      </c>
      <c r="H285" s="7811" t="s">
        <v>2983</v>
      </c>
      <c r="I285" s="7811" t="s">
        <v>769</v>
      </c>
    </row>
    <row customHeight="1" ht="11.25">
      <c r="A286" s="7811" t="s">
        <v>2171</v>
      </c>
      <c r="B286" s="7811" t="s">
        <v>14</v>
      </c>
      <c r="C286" s="7811" t="s">
        <v>2984</v>
      </c>
      <c r="D286" s="7811" t="s">
        <v>2985</v>
      </c>
      <c r="E286" s="7811" t="s">
        <v>2986</v>
      </c>
      <c r="F286" s="7811" t="s">
        <v>2777</v>
      </c>
      <c r="G286" s="7811" t="s">
        <v>24</v>
      </c>
      <c r="H286" s="7811" t="s">
        <v>2987</v>
      </c>
      <c r="I286" s="7811" t="s">
        <v>769</v>
      </c>
    </row>
    <row customHeight="1" ht="11.25">
      <c r="A287" s="7811" t="s">
        <v>2171</v>
      </c>
      <c r="B287" s="7811" t="s">
        <v>14</v>
      </c>
      <c r="C287" s="7811" t="s">
        <v>2988</v>
      </c>
      <c r="D287" s="7811" t="s">
        <v>2989</v>
      </c>
      <c r="E287" s="7811" t="s">
        <v>2990</v>
      </c>
      <c r="F287" s="7811" t="s">
        <v>2777</v>
      </c>
      <c r="G287" s="7811" t="s">
        <v>24</v>
      </c>
      <c r="H287" s="7811" t="s">
        <v>2991</v>
      </c>
      <c r="I287" s="7811" t="s">
        <v>769</v>
      </c>
    </row>
    <row customHeight="1" ht="11.25">
      <c r="A288" s="7811" t="s">
        <v>2171</v>
      </c>
      <c r="B288" s="7811" t="s">
        <v>14</v>
      </c>
      <c r="C288" s="7811" t="s">
        <v>2992</v>
      </c>
      <c r="D288" s="7811" t="s">
        <v>2993</v>
      </c>
      <c r="E288" s="7811" t="s">
        <v>2994</v>
      </c>
      <c r="F288" s="7811" t="s">
        <v>2258</v>
      </c>
      <c r="G288" s="7811" t="s">
        <v>24</v>
      </c>
      <c r="H288" s="7811" t="s">
        <v>24</v>
      </c>
      <c r="I288" s="7811" t="s">
        <v>769</v>
      </c>
    </row>
    <row customHeight="1" ht="11.25">
      <c r="A289" s="7811" t="s">
        <v>2171</v>
      </c>
      <c r="B289" s="7811" t="s">
        <v>14</v>
      </c>
      <c r="C289" s="7811" t="s">
        <v>2995</v>
      </c>
      <c r="D289" s="7811" t="s">
        <v>2996</v>
      </c>
      <c r="E289" s="7811" t="s">
        <v>2997</v>
      </c>
      <c r="F289" s="7811" t="s">
        <v>2777</v>
      </c>
      <c r="G289" s="7811" t="s">
        <v>24</v>
      </c>
      <c r="H289" s="7811" t="s">
        <v>2998</v>
      </c>
      <c r="I289" s="7811" t="s">
        <v>769</v>
      </c>
    </row>
    <row customHeight="1" ht="11.25">
      <c r="A290" s="7811" t="s">
        <v>2171</v>
      </c>
      <c r="B290" s="7811" t="s">
        <v>14</v>
      </c>
      <c r="C290" s="7811" t="s">
        <v>2999</v>
      </c>
      <c r="D290" s="7811" t="s">
        <v>3000</v>
      </c>
      <c r="E290" s="7811" t="s">
        <v>3001</v>
      </c>
      <c r="F290" s="7811" t="s">
        <v>2416</v>
      </c>
      <c r="G290" s="7811" t="s">
        <v>24</v>
      </c>
      <c r="H290" s="7811" t="s">
        <v>24</v>
      </c>
      <c r="I290" s="7811" t="s">
        <v>769</v>
      </c>
    </row>
    <row customHeight="1" ht="11.25">
      <c r="A291" s="7811" t="s">
        <v>2171</v>
      </c>
      <c r="B291" s="7811" t="s">
        <v>14</v>
      </c>
      <c r="C291" s="7811" t="s">
        <v>3002</v>
      </c>
      <c r="D291" s="7811" t="s">
        <v>3003</v>
      </c>
      <c r="E291" s="7811" t="s">
        <v>3004</v>
      </c>
      <c r="F291" s="7811" t="s">
        <v>2265</v>
      </c>
      <c r="G291" s="7811" t="s">
        <v>24</v>
      </c>
      <c r="H291" s="7811" t="s">
        <v>3005</v>
      </c>
      <c r="I291" s="7811" t="s">
        <v>769</v>
      </c>
    </row>
    <row customHeight="1" ht="11.25">
      <c r="A292" s="7811" t="s">
        <v>2171</v>
      </c>
      <c r="B292" s="7811" t="s">
        <v>14</v>
      </c>
      <c r="C292" s="7811" t="s">
        <v>3006</v>
      </c>
      <c r="D292" s="7811" t="s">
        <v>3007</v>
      </c>
      <c r="E292" s="7811" t="s">
        <v>3008</v>
      </c>
      <c r="F292" s="7811" t="s">
        <v>3009</v>
      </c>
      <c r="G292" s="7811" t="s">
        <v>3010</v>
      </c>
      <c r="H292" s="7811" t="s">
        <v>24</v>
      </c>
      <c r="I292" s="7811" t="s">
        <v>769</v>
      </c>
    </row>
    <row customHeight="1" ht="11.25">
      <c r="A293" s="7811" t="s">
        <v>2171</v>
      </c>
      <c r="B293" s="7811" t="s">
        <v>14</v>
      </c>
      <c r="C293" s="7811" t="s">
        <v>3011</v>
      </c>
      <c r="D293" s="7811" t="s">
        <v>3012</v>
      </c>
      <c r="E293" s="7811" t="s">
        <v>3013</v>
      </c>
      <c r="F293" s="7811" t="s">
        <v>2424</v>
      </c>
      <c r="G293" s="7811" t="s">
        <v>24</v>
      </c>
      <c r="H293" s="7811" t="s">
        <v>3014</v>
      </c>
      <c r="I293" s="7811" t="s">
        <v>769</v>
      </c>
    </row>
    <row customHeight="1" ht="11.25">
      <c r="A294" s="7811" t="s">
        <v>2171</v>
      </c>
      <c r="B294" s="7811" t="s">
        <v>14</v>
      </c>
      <c r="C294" s="7811" t="s">
        <v>3015</v>
      </c>
      <c r="D294" s="7811" t="s">
        <v>3016</v>
      </c>
      <c r="E294" s="7811" t="s">
        <v>3017</v>
      </c>
      <c r="F294" s="7811" t="s">
        <v>2680</v>
      </c>
      <c r="G294" s="7811" t="s">
        <v>24</v>
      </c>
      <c r="H294" s="7811" t="s">
        <v>24</v>
      </c>
      <c r="I294" s="7811" t="s">
        <v>769</v>
      </c>
    </row>
    <row customHeight="1" ht="11.25">
      <c r="A295" s="7811" t="s">
        <v>2171</v>
      </c>
      <c r="B295" s="7811" t="s">
        <v>14</v>
      </c>
      <c r="C295" s="7811" t="s">
        <v>3018</v>
      </c>
      <c r="D295" s="7811" t="s">
        <v>3019</v>
      </c>
      <c r="E295" s="7811" t="s">
        <v>3020</v>
      </c>
      <c r="F295" s="7811" t="s">
        <v>2680</v>
      </c>
      <c r="G295" s="7811" t="s">
        <v>24</v>
      </c>
      <c r="H295" s="7811" t="s">
        <v>2375</v>
      </c>
      <c r="I295" s="7811" t="s">
        <v>769</v>
      </c>
    </row>
    <row customHeight="1" ht="11.25">
      <c r="A296" s="7811" t="s">
        <v>2171</v>
      </c>
      <c r="B296" s="7811" t="s">
        <v>14</v>
      </c>
      <c r="C296" s="7811" t="s">
        <v>3021</v>
      </c>
      <c r="D296" s="7811" t="s">
        <v>3022</v>
      </c>
      <c r="E296" s="7811" t="s">
        <v>3023</v>
      </c>
      <c r="F296" s="7811" t="s">
        <v>2247</v>
      </c>
      <c r="G296" s="7811" t="s">
        <v>24</v>
      </c>
      <c r="H296" s="7811" t="s">
        <v>2549</v>
      </c>
      <c r="I296" s="7811" t="s">
        <v>769</v>
      </c>
    </row>
    <row customHeight="1" ht="11.25">
      <c r="A297" s="7811" t="s">
        <v>2171</v>
      </c>
      <c r="B297" s="7811" t="s">
        <v>14</v>
      </c>
      <c r="C297" s="7811" t="s">
        <v>3024</v>
      </c>
      <c r="D297" s="7811" t="s">
        <v>3025</v>
      </c>
      <c r="E297" s="7811" t="s">
        <v>3026</v>
      </c>
      <c r="F297" s="7811" t="s">
        <v>2281</v>
      </c>
      <c r="G297" s="7811" t="s">
        <v>24</v>
      </c>
      <c r="H297" s="7811" t="s">
        <v>24</v>
      </c>
      <c r="I297" s="7811" t="s">
        <v>769</v>
      </c>
    </row>
    <row customHeight="1" ht="11.25">
      <c r="A298" s="7811" t="s">
        <v>2171</v>
      </c>
      <c r="B298" s="7811" t="s">
        <v>14</v>
      </c>
      <c r="C298" s="7811" t="s">
        <v>3027</v>
      </c>
      <c r="D298" s="7811" t="s">
        <v>3028</v>
      </c>
      <c r="E298" s="7811" t="s">
        <v>3029</v>
      </c>
      <c r="F298" s="7811" t="s">
        <v>2396</v>
      </c>
      <c r="G298" s="7811" t="s">
        <v>3030</v>
      </c>
      <c r="H298" s="7811" t="s">
        <v>24</v>
      </c>
      <c r="I298" s="7811" t="s">
        <v>769</v>
      </c>
    </row>
    <row customHeight="1" ht="11.25">
      <c r="A299" s="7811" t="s">
        <v>2171</v>
      </c>
      <c r="B299" s="7811" t="s">
        <v>14</v>
      </c>
      <c r="C299" s="7811" t="s">
        <v>3031</v>
      </c>
      <c r="D299" s="7811" t="s">
        <v>3032</v>
      </c>
      <c r="E299" s="7811" t="s">
        <v>3033</v>
      </c>
      <c r="F299" s="7811" t="s">
        <v>2424</v>
      </c>
      <c r="G299" s="7811" t="s">
        <v>24</v>
      </c>
      <c r="H299" s="7811" t="s">
        <v>2360</v>
      </c>
      <c r="I299" s="7811" t="s">
        <v>769</v>
      </c>
    </row>
    <row customHeight="1" ht="11.25">
      <c r="A300" s="7811" t="s">
        <v>2171</v>
      </c>
      <c r="B300" s="7811" t="s">
        <v>14</v>
      </c>
      <c r="C300" s="7811" t="s">
        <v>3034</v>
      </c>
      <c r="D300" s="7811" t="s">
        <v>3035</v>
      </c>
      <c r="E300" s="7811" t="s">
        <v>3036</v>
      </c>
      <c r="F300" s="7811" t="s">
        <v>2777</v>
      </c>
      <c r="G300" s="7811" t="s">
        <v>24</v>
      </c>
      <c r="H300" s="7811" t="s">
        <v>3037</v>
      </c>
      <c r="I300" s="7811" t="s">
        <v>769</v>
      </c>
    </row>
    <row customHeight="1" ht="11.25">
      <c r="A301" s="7811" t="s">
        <v>2171</v>
      </c>
      <c r="B301" s="7811" t="s">
        <v>14</v>
      </c>
      <c r="C301" s="7811" t="s">
        <v>3038</v>
      </c>
      <c r="D301" s="7811" t="s">
        <v>3039</v>
      </c>
      <c r="E301" s="7811" t="s">
        <v>3040</v>
      </c>
      <c r="F301" s="7811" t="s">
        <v>2265</v>
      </c>
      <c r="G301" s="7811" t="s">
        <v>24</v>
      </c>
      <c r="H301" s="7811" t="s">
        <v>3041</v>
      </c>
      <c r="I301" s="7811" t="s">
        <v>769</v>
      </c>
    </row>
    <row customHeight="1" ht="11.25">
      <c r="A302" s="7811" t="s">
        <v>2171</v>
      </c>
      <c r="B302" s="7811" t="s">
        <v>14</v>
      </c>
      <c r="C302" s="7811" t="s">
        <v>3042</v>
      </c>
      <c r="D302" s="7811" t="s">
        <v>3039</v>
      </c>
      <c r="E302" s="7811" t="s">
        <v>3043</v>
      </c>
      <c r="F302" s="7811" t="s">
        <v>2424</v>
      </c>
      <c r="G302" s="7811" t="s">
        <v>24</v>
      </c>
      <c r="H302" s="7811" t="s">
        <v>24</v>
      </c>
      <c r="I302" s="7811" t="s">
        <v>769</v>
      </c>
    </row>
    <row customHeight="1" ht="11.25">
      <c r="A303" s="7811" t="s">
        <v>2171</v>
      </c>
      <c r="B303" s="7811" t="s">
        <v>14</v>
      </c>
      <c r="C303" s="7811" t="s">
        <v>3044</v>
      </c>
      <c r="D303" s="7811" t="s">
        <v>3045</v>
      </c>
      <c r="E303" s="7811" t="s">
        <v>3046</v>
      </c>
      <c r="F303" s="7811" t="s">
        <v>2598</v>
      </c>
      <c r="G303" s="7811" t="s">
        <v>3047</v>
      </c>
      <c r="H303" s="7811" t="s">
        <v>24</v>
      </c>
      <c r="I303" s="7811" t="s">
        <v>769</v>
      </c>
    </row>
    <row customHeight="1" ht="11.25">
      <c r="A304" s="7811" t="s">
        <v>2171</v>
      </c>
      <c r="B304" s="7811" t="s">
        <v>14</v>
      </c>
      <c r="C304" s="7811" t="s">
        <v>3048</v>
      </c>
      <c r="D304" s="7811" t="s">
        <v>3049</v>
      </c>
      <c r="E304" s="7811" t="s">
        <v>3050</v>
      </c>
      <c r="F304" s="7811" t="s">
        <v>2777</v>
      </c>
      <c r="G304" s="7811" t="s">
        <v>3051</v>
      </c>
      <c r="H304" s="7811" t="s">
        <v>24</v>
      </c>
      <c r="I304" s="7811" t="s">
        <v>769</v>
      </c>
    </row>
    <row customHeight="1" ht="11.25">
      <c r="A305" s="7811" t="s">
        <v>2171</v>
      </c>
      <c r="B305" s="7811" t="s">
        <v>14</v>
      </c>
      <c r="C305" s="7811" t="s">
        <v>2387</v>
      </c>
      <c r="D305" s="7811" t="s">
        <v>2388</v>
      </c>
      <c r="E305" s="7811" t="s">
        <v>2389</v>
      </c>
      <c r="F305" s="7811" t="s">
        <v>2227</v>
      </c>
      <c r="G305" s="7811" t="s">
        <v>24</v>
      </c>
      <c r="H305" s="7811" t="s">
        <v>24</v>
      </c>
      <c r="I305" s="7811" t="s">
        <v>769</v>
      </c>
    </row>
    <row customHeight="1" ht="11.25">
      <c r="A306" s="7811" t="s">
        <v>2171</v>
      </c>
      <c r="B306" s="7811" t="s">
        <v>14</v>
      </c>
      <c r="C306" s="7811" t="s">
        <v>3052</v>
      </c>
      <c r="D306" s="7811" t="s">
        <v>3053</v>
      </c>
      <c r="E306" s="7811" t="s">
        <v>3054</v>
      </c>
      <c r="F306" s="7811" t="s">
        <v>2333</v>
      </c>
      <c r="G306" s="7811" t="s">
        <v>24</v>
      </c>
      <c r="H306" s="7811" t="s">
        <v>3055</v>
      </c>
      <c r="I306" s="7811" t="s">
        <v>769</v>
      </c>
    </row>
    <row customHeight="1" ht="11.25">
      <c r="A307" s="7811" t="s">
        <v>2171</v>
      </c>
      <c r="B307" s="7811" t="s">
        <v>14</v>
      </c>
      <c r="C307" s="7811" t="s">
        <v>3056</v>
      </c>
      <c r="D307" s="7811" t="s">
        <v>3057</v>
      </c>
      <c r="E307" s="7811" t="s">
        <v>3058</v>
      </c>
      <c r="F307" s="7811" t="s">
        <v>2777</v>
      </c>
      <c r="G307" s="7811" t="s">
        <v>24</v>
      </c>
      <c r="H307" s="7811" t="s">
        <v>3059</v>
      </c>
      <c r="I307" s="7811" t="s">
        <v>769</v>
      </c>
    </row>
    <row customHeight="1" ht="11.25">
      <c r="A308" s="7811" t="s">
        <v>2171</v>
      </c>
      <c r="B308" s="7811" t="s">
        <v>14</v>
      </c>
      <c r="C308" s="7811" t="s">
        <v>3060</v>
      </c>
      <c r="D308" s="7811" t="s">
        <v>3061</v>
      </c>
      <c r="E308" s="7811" t="s">
        <v>3062</v>
      </c>
      <c r="F308" s="7811" t="s">
        <v>2424</v>
      </c>
      <c r="G308" s="7811" t="s">
        <v>24</v>
      </c>
      <c r="H308" s="7811" t="s">
        <v>24</v>
      </c>
      <c r="I308" s="7811" t="s">
        <v>769</v>
      </c>
    </row>
    <row customHeight="1" ht="11.25">
      <c r="A309" s="7811" t="s">
        <v>2171</v>
      </c>
      <c r="B309" s="7811" t="s">
        <v>14</v>
      </c>
      <c r="C309" s="7811" t="s">
        <v>2397</v>
      </c>
      <c r="D309" s="7811" t="s">
        <v>2398</v>
      </c>
      <c r="E309" s="7811" t="s">
        <v>2399</v>
      </c>
      <c r="F309" s="7811" t="s">
        <v>2400</v>
      </c>
      <c r="G309" s="7811" t="s">
        <v>24</v>
      </c>
      <c r="H309" s="7811" t="s">
        <v>24</v>
      </c>
      <c r="I309" s="7811" t="s">
        <v>769</v>
      </c>
    </row>
    <row customHeight="1" ht="11.25">
      <c r="A310" s="7811" t="s">
        <v>2171</v>
      </c>
      <c r="B310" s="7811" t="s">
        <v>14</v>
      </c>
      <c r="C310" s="7811" t="s">
        <v>3063</v>
      </c>
      <c r="D310" s="7811" t="s">
        <v>3064</v>
      </c>
      <c r="E310" s="7811" t="s">
        <v>3065</v>
      </c>
      <c r="F310" s="7811" t="s">
        <v>2292</v>
      </c>
      <c r="G310" s="7811" t="s">
        <v>24</v>
      </c>
      <c r="H310" s="7811" t="s">
        <v>24</v>
      </c>
      <c r="I310" s="7811" t="s">
        <v>769</v>
      </c>
    </row>
    <row customHeight="1" ht="11.25">
      <c r="A311" s="7811" t="s">
        <v>2171</v>
      </c>
      <c r="B311" s="7811" t="s">
        <v>14</v>
      </c>
      <c r="C311" s="7811" t="s">
        <v>3066</v>
      </c>
      <c r="D311" s="7811" t="s">
        <v>3067</v>
      </c>
      <c r="E311" s="7811" t="s">
        <v>3068</v>
      </c>
      <c r="F311" s="7811" t="s">
        <v>2292</v>
      </c>
      <c r="G311" s="7811" t="s">
        <v>3069</v>
      </c>
      <c r="H311" s="7811" t="s">
        <v>2549</v>
      </c>
      <c r="I311" s="7811" t="s">
        <v>769</v>
      </c>
    </row>
    <row customHeight="1" ht="11.25">
      <c r="A312" s="7811" t="s">
        <v>2171</v>
      </c>
      <c r="B312" s="7811" t="s">
        <v>14</v>
      </c>
      <c r="C312" s="7811" t="s">
        <v>3070</v>
      </c>
      <c r="D312" s="7811" t="s">
        <v>3071</v>
      </c>
      <c r="E312" s="7811" t="s">
        <v>3072</v>
      </c>
      <c r="F312" s="7811" t="s">
        <v>2756</v>
      </c>
      <c r="G312" s="7811" t="s">
        <v>3073</v>
      </c>
      <c r="H312" s="7811" t="s">
        <v>24</v>
      </c>
      <c r="I312" s="7811" t="s">
        <v>769</v>
      </c>
    </row>
    <row customHeight="1" ht="11.25">
      <c r="A313" s="7811" t="s">
        <v>2171</v>
      </c>
      <c r="B313" s="7811" t="s">
        <v>14</v>
      </c>
      <c r="C313" s="7811" t="s">
        <v>3074</v>
      </c>
      <c r="D313" s="7811" t="s">
        <v>3075</v>
      </c>
      <c r="E313" s="7811" t="s">
        <v>3076</v>
      </c>
      <c r="F313" s="7811" t="s">
        <v>2364</v>
      </c>
      <c r="G313" s="7811" t="s">
        <v>24</v>
      </c>
      <c r="H313" s="7811" t="s">
        <v>24</v>
      </c>
      <c r="I313" s="7811" t="s">
        <v>769</v>
      </c>
    </row>
    <row customHeight="1" ht="11.25">
      <c r="A314" s="7811" t="s">
        <v>2171</v>
      </c>
      <c r="B314" s="7811" t="s">
        <v>14</v>
      </c>
      <c r="C314" s="7811" t="s">
        <v>3077</v>
      </c>
      <c r="D314" s="7811" t="s">
        <v>3078</v>
      </c>
      <c r="E314" s="7811" t="s">
        <v>3079</v>
      </c>
      <c r="F314" s="7811" t="s">
        <v>2412</v>
      </c>
      <c r="G314" s="7811" t="s">
        <v>24</v>
      </c>
      <c r="H314" s="7811" t="s">
        <v>24</v>
      </c>
      <c r="I314" s="7811" t="s">
        <v>769</v>
      </c>
    </row>
    <row customHeight="1" ht="11.25">
      <c r="A315" s="7811" t="s">
        <v>2171</v>
      </c>
      <c r="B315" s="7811" t="s">
        <v>14</v>
      </c>
      <c r="C315" s="7811" t="s">
        <v>3080</v>
      </c>
      <c r="D315" s="7811" t="s">
        <v>3081</v>
      </c>
      <c r="E315" s="7811" t="s">
        <v>3082</v>
      </c>
      <c r="F315" s="7811" t="s">
        <v>3083</v>
      </c>
      <c r="G315" s="7811" t="s">
        <v>3084</v>
      </c>
      <c r="H315" s="7811" t="s">
        <v>24</v>
      </c>
      <c r="I315" s="7811" t="s">
        <v>769</v>
      </c>
    </row>
    <row customHeight="1" ht="11.25">
      <c r="A316" s="7811" t="s">
        <v>2171</v>
      </c>
      <c r="B316" s="7811" t="s">
        <v>14</v>
      </c>
      <c r="C316" s="7811" t="s">
        <v>3085</v>
      </c>
      <c r="D316" s="7811" t="s">
        <v>3086</v>
      </c>
      <c r="E316" s="7811" t="s">
        <v>3087</v>
      </c>
      <c r="F316" s="7811" t="s">
        <v>2333</v>
      </c>
      <c r="G316" s="7811" t="s">
        <v>24</v>
      </c>
      <c r="H316" s="7811" t="s">
        <v>24</v>
      </c>
      <c r="I316" s="7811" t="s">
        <v>769</v>
      </c>
    </row>
    <row customHeight="1" ht="11.25">
      <c r="A317" s="7811" t="s">
        <v>2171</v>
      </c>
      <c r="B317" s="7811" t="s">
        <v>14</v>
      </c>
      <c r="C317" s="7811" t="s">
        <v>3088</v>
      </c>
      <c r="D317" s="7811" t="s">
        <v>3089</v>
      </c>
      <c r="E317" s="7811" t="s">
        <v>3090</v>
      </c>
      <c r="F317" s="7811" t="s">
        <v>2462</v>
      </c>
      <c r="G317" s="7811" t="s">
        <v>3091</v>
      </c>
      <c r="H317" s="7811" t="s">
        <v>24</v>
      </c>
      <c r="I317" s="7811" t="s">
        <v>769</v>
      </c>
    </row>
    <row customHeight="1" ht="11.25">
      <c r="A318" s="7811" t="s">
        <v>2171</v>
      </c>
      <c r="B318" s="7811" t="s">
        <v>14</v>
      </c>
      <c r="C318" s="7811" t="s">
        <v>3092</v>
      </c>
      <c r="D318" s="7811" t="s">
        <v>3093</v>
      </c>
      <c r="E318" s="7811" t="s">
        <v>3094</v>
      </c>
      <c r="F318" s="7811" t="s">
        <v>2292</v>
      </c>
      <c r="G318" s="7811" t="s">
        <v>24</v>
      </c>
      <c r="H318" s="7811" t="s">
        <v>2549</v>
      </c>
      <c r="I318" s="7811" t="s">
        <v>769</v>
      </c>
    </row>
    <row customHeight="1" ht="11.25">
      <c r="A319" s="7811" t="s">
        <v>2171</v>
      </c>
      <c r="B319" s="7811" t="s">
        <v>14</v>
      </c>
      <c r="C319" s="7811" t="s">
        <v>2406</v>
      </c>
      <c r="D319" s="7811" t="s">
        <v>2407</v>
      </c>
      <c r="E319" s="7811" t="s">
        <v>2408</v>
      </c>
      <c r="F319" s="7811" t="s">
        <v>2296</v>
      </c>
      <c r="G319" s="7811" t="s">
        <v>24</v>
      </c>
      <c r="H319" s="7811" t="s">
        <v>24</v>
      </c>
      <c r="I319" s="7811" t="s">
        <v>769</v>
      </c>
    </row>
    <row customHeight="1" ht="11.25">
      <c r="A320" s="7811" t="s">
        <v>2171</v>
      </c>
      <c r="B320" s="7811" t="s">
        <v>14</v>
      </c>
      <c r="C320" s="7811" t="s">
        <v>3095</v>
      </c>
      <c r="D320" s="7811" t="s">
        <v>3096</v>
      </c>
      <c r="E320" s="7811" t="s">
        <v>3097</v>
      </c>
      <c r="F320" s="7811" t="s">
        <v>2462</v>
      </c>
      <c r="G320" s="7811" t="s">
        <v>24</v>
      </c>
      <c r="H320" s="7811" t="s">
        <v>2549</v>
      </c>
      <c r="I320" s="7811" t="s">
        <v>769</v>
      </c>
    </row>
    <row customHeight="1" ht="11.25">
      <c r="A321" s="7811" t="s">
        <v>2171</v>
      </c>
      <c r="B321" s="7811" t="s">
        <v>14</v>
      </c>
      <c r="C321" s="7811" t="s">
        <v>2417</v>
      </c>
      <c r="D321" s="7811" t="s">
        <v>2418</v>
      </c>
      <c r="E321" s="7811" t="s">
        <v>2419</v>
      </c>
      <c r="F321" s="7811" t="s">
        <v>2420</v>
      </c>
      <c r="G321" s="7811" t="s">
        <v>24</v>
      </c>
      <c r="H321" s="7811" t="s">
        <v>24</v>
      </c>
      <c r="I321" s="7811" t="s">
        <v>769</v>
      </c>
    </row>
    <row customHeight="1" ht="11.25">
      <c r="A322" s="7811" t="s">
        <v>2171</v>
      </c>
      <c r="B322" s="7811" t="s">
        <v>14</v>
      </c>
      <c r="C322" s="7811" t="s">
        <v>3098</v>
      </c>
      <c r="D322" s="7811" t="s">
        <v>3099</v>
      </c>
      <c r="E322" s="7811" t="s">
        <v>3100</v>
      </c>
      <c r="F322" s="7811" t="s">
        <v>2553</v>
      </c>
      <c r="G322" s="7811" t="s">
        <v>24</v>
      </c>
      <c r="H322" s="7811" t="s">
        <v>24</v>
      </c>
      <c r="I322" s="7811" t="s">
        <v>769</v>
      </c>
    </row>
    <row customHeight="1" ht="11.25">
      <c r="A323" s="7811" t="s">
        <v>2171</v>
      </c>
      <c r="B323" s="7811" t="s">
        <v>14</v>
      </c>
      <c r="C323" s="7811" t="s">
        <v>3101</v>
      </c>
      <c r="D323" s="7811" t="s">
        <v>3102</v>
      </c>
      <c r="E323" s="7811" t="s">
        <v>3103</v>
      </c>
      <c r="F323" s="7811" t="s">
        <v>3104</v>
      </c>
      <c r="G323" s="7811" t="s">
        <v>24</v>
      </c>
      <c r="H323" s="7811" t="s">
        <v>24</v>
      </c>
      <c r="I323" s="7811" t="s">
        <v>769</v>
      </c>
    </row>
    <row customHeight="1" ht="11.25">
      <c r="A324" s="7811" t="s">
        <v>2171</v>
      </c>
      <c r="B324" s="7811" t="s">
        <v>14</v>
      </c>
      <c r="C324" s="7811" t="s">
        <v>3105</v>
      </c>
      <c r="D324" s="7811" t="s">
        <v>3106</v>
      </c>
      <c r="E324" s="7811" t="s">
        <v>3107</v>
      </c>
      <c r="F324" s="7811" t="s">
        <v>2333</v>
      </c>
      <c r="G324" s="7811" t="s">
        <v>24</v>
      </c>
      <c r="H324" s="7811" t="s">
        <v>3055</v>
      </c>
      <c r="I324" s="7811" t="s">
        <v>769</v>
      </c>
    </row>
    <row customHeight="1" ht="11.25">
      <c r="A325" s="7811" t="s">
        <v>2171</v>
      </c>
      <c r="B325" s="7811" t="s">
        <v>14</v>
      </c>
      <c r="C325" s="7811" t="s">
        <v>3108</v>
      </c>
      <c r="D325" s="7811" t="s">
        <v>3109</v>
      </c>
      <c r="E325" s="7811" t="s">
        <v>3110</v>
      </c>
      <c r="F325" s="7811" t="s">
        <v>2333</v>
      </c>
      <c r="G325" s="7811" t="s">
        <v>24</v>
      </c>
      <c r="H325" s="7811" t="s">
        <v>2931</v>
      </c>
      <c r="I325" s="7811" t="s">
        <v>769</v>
      </c>
    </row>
    <row customHeight="1" ht="11.25">
      <c r="A326" s="7811" t="s">
        <v>2171</v>
      </c>
      <c r="B326" s="7811" t="s">
        <v>14</v>
      </c>
      <c r="C326" s="7811" t="s">
        <v>3111</v>
      </c>
      <c r="D326" s="7811" t="s">
        <v>3112</v>
      </c>
      <c r="E326" s="7811" t="s">
        <v>3113</v>
      </c>
      <c r="F326" s="7811" t="s">
        <v>2292</v>
      </c>
      <c r="G326" s="7811" t="s">
        <v>24</v>
      </c>
      <c r="H326" s="7811" t="s">
        <v>24</v>
      </c>
      <c r="I326" s="7811" t="s">
        <v>769</v>
      </c>
    </row>
    <row customHeight="1" ht="11.25">
      <c r="A327" s="7811" t="s">
        <v>2171</v>
      </c>
      <c r="B327" s="7811" t="s">
        <v>14</v>
      </c>
      <c r="C327" s="7811" t="s">
        <v>3114</v>
      </c>
      <c r="D327" s="7811" t="s">
        <v>3115</v>
      </c>
      <c r="E327" s="7811" t="s">
        <v>3116</v>
      </c>
      <c r="F327" s="7811" t="s">
        <v>2383</v>
      </c>
      <c r="G327" s="7811" t="s">
        <v>24</v>
      </c>
      <c r="H327" s="7811" t="s">
        <v>24</v>
      </c>
      <c r="I327" s="7811" t="s">
        <v>769</v>
      </c>
    </row>
    <row customHeight="1" ht="11.25">
      <c r="A328" s="7811" t="s">
        <v>2171</v>
      </c>
      <c r="B328" s="7811" t="s">
        <v>14</v>
      </c>
      <c r="C328" s="7811" t="s">
        <v>3117</v>
      </c>
      <c r="D328" s="7811" t="s">
        <v>3118</v>
      </c>
      <c r="E328" s="7811" t="s">
        <v>3119</v>
      </c>
      <c r="F328" s="7811" t="s">
        <v>2213</v>
      </c>
      <c r="G328" s="7811" t="s">
        <v>24</v>
      </c>
      <c r="H328" s="7811" t="s">
        <v>24</v>
      </c>
      <c r="I328" s="7811" t="s">
        <v>769</v>
      </c>
    </row>
    <row customHeight="1" ht="11.25">
      <c r="A329" s="7811" t="s">
        <v>2171</v>
      </c>
      <c r="B329" s="7811" t="s">
        <v>14</v>
      </c>
      <c r="C329" s="7811" t="s">
        <v>3120</v>
      </c>
      <c r="D329" s="7811" t="s">
        <v>3121</v>
      </c>
      <c r="E329" s="7811" t="s">
        <v>3122</v>
      </c>
      <c r="F329" s="7811" t="s">
        <v>2435</v>
      </c>
      <c r="G329" s="7811" t="s">
        <v>24</v>
      </c>
      <c r="H329" s="7811" t="s">
        <v>24</v>
      </c>
      <c r="I329" s="7811" t="s">
        <v>769</v>
      </c>
    </row>
    <row customHeight="1" ht="11.25">
      <c r="A330" s="7811" t="s">
        <v>2171</v>
      </c>
      <c r="B330" s="7811" t="s">
        <v>14</v>
      </c>
      <c r="C330" s="7811" t="s">
        <v>3123</v>
      </c>
      <c r="D330" s="7811" t="s">
        <v>3124</v>
      </c>
      <c r="E330" s="7811" t="s">
        <v>3125</v>
      </c>
      <c r="F330" s="7811" t="s">
        <v>2435</v>
      </c>
      <c r="G330" s="7811" t="s">
        <v>24</v>
      </c>
      <c r="H330" s="7811" t="s">
        <v>24</v>
      </c>
      <c r="I330" s="7811" t="s">
        <v>769</v>
      </c>
    </row>
    <row customHeight="1" ht="11.25">
      <c r="A331" s="7811" t="s">
        <v>2171</v>
      </c>
      <c r="B331" s="7811" t="s">
        <v>14</v>
      </c>
      <c r="C331" s="7811" t="s">
        <v>3126</v>
      </c>
      <c r="D331" s="7811" t="s">
        <v>3127</v>
      </c>
      <c r="E331" s="7811" t="s">
        <v>3128</v>
      </c>
      <c r="F331" s="7811" t="s">
        <v>2222</v>
      </c>
      <c r="G331" s="7811" t="s">
        <v>3129</v>
      </c>
      <c r="H331" s="7811" t="s">
        <v>24</v>
      </c>
      <c r="I331" s="7811" t="s">
        <v>769</v>
      </c>
    </row>
    <row customHeight="1" ht="11.25">
      <c r="A332" s="7811" t="s">
        <v>2171</v>
      </c>
      <c r="B332" s="7811" t="s">
        <v>14</v>
      </c>
      <c r="C332" s="7811" t="s">
        <v>3130</v>
      </c>
      <c r="D332" s="7811" t="s">
        <v>3131</v>
      </c>
      <c r="E332" s="7811" t="s">
        <v>3132</v>
      </c>
      <c r="F332" s="7811" t="s">
        <v>2288</v>
      </c>
      <c r="G332" s="7811" t="s">
        <v>24</v>
      </c>
      <c r="H332" s="7811" t="s">
        <v>3133</v>
      </c>
      <c r="I332" s="7811" t="s">
        <v>769</v>
      </c>
    </row>
    <row customHeight="1" ht="11.25">
      <c r="A333" s="7811" t="s">
        <v>2171</v>
      </c>
      <c r="B333" s="7811" t="s">
        <v>14</v>
      </c>
      <c r="C333" s="7811" t="s">
        <v>2454</v>
      </c>
      <c r="D333" s="7811" t="s">
        <v>2455</v>
      </c>
      <c r="E333" s="7811" t="s">
        <v>2456</v>
      </c>
      <c r="F333" s="7811" t="s">
        <v>2457</v>
      </c>
      <c r="G333" s="7811" t="s">
        <v>24</v>
      </c>
      <c r="H333" s="7811" t="s">
        <v>2458</v>
      </c>
      <c r="I333" s="7811" t="s">
        <v>769</v>
      </c>
    </row>
    <row customHeight="1" ht="11.25">
      <c r="A334" s="7811" t="s">
        <v>2171</v>
      </c>
      <c r="B334" s="7811" t="s">
        <v>14</v>
      </c>
      <c r="C334" s="7811" t="s">
        <v>3134</v>
      </c>
      <c r="D334" s="7811" t="s">
        <v>3135</v>
      </c>
      <c r="E334" s="7811" t="s">
        <v>3136</v>
      </c>
      <c r="F334" s="7811" t="s">
        <v>3009</v>
      </c>
      <c r="G334" s="7811" t="s">
        <v>3137</v>
      </c>
      <c r="H334" s="7811" t="s">
        <v>2375</v>
      </c>
      <c r="I334" s="7811" t="s">
        <v>769</v>
      </c>
    </row>
    <row customHeight="1" ht="11.25">
      <c r="A335" s="7811" t="s">
        <v>2171</v>
      </c>
      <c r="B335" s="7811" t="s">
        <v>14</v>
      </c>
      <c r="C335" s="7811" t="s">
        <v>3138</v>
      </c>
      <c r="D335" s="7811" t="s">
        <v>3135</v>
      </c>
      <c r="E335" s="7811" t="s">
        <v>3139</v>
      </c>
      <c r="F335" s="7811" t="s">
        <v>2310</v>
      </c>
      <c r="G335" s="7811" t="s">
        <v>24</v>
      </c>
      <c r="H335" s="7811" t="s">
        <v>24</v>
      </c>
      <c r="I335" s="7811" t="s">
        <v>769</v>
      </c>
    </row>
    <row customHeight="1" ht="11.25">
      <c r="A336" s="7811" t="s">
        <v>2171</v>
      </c>
      <c r="B336" s="7811" t="s">
        <v>14</v>
      </c>
      <c r="C336" s="7811" t="s">
        <v>2476</v>
      </c>
      <c r="D336" s="7811" t="s">
        <v>2477</v>
      </c>
      <c r="E336" s="7811" t="s">
        <v>2478</v>
      </c>
      <c r="F336" s="7811" t="s">
        <v>2383</v>
      </c>
      <c r="G336" s="7811" t="s">
        <v>24</v>
      </c>
      <c r="H336" s="7811" t="s">
        <v>24</v>
      </c>
      <c r="I336" s="7811" t="s">
        <v>769</v>
      </c>
    </row>
    <row customHeight="1" ht="11.25">
      <c r="A337" s="7811" t="s">
        <v>2171</v>
      </c>
      <c r="B337" s="7811" t="s">
        <v>14</v>
      </c>
      <c r="C337" s="7811" t="s">
        <v>3140</v>
      </c>
      <c r="D337" s="7811" t="s">
        <v>3141</v>
      </c>
      <c r="E337" s="7811" t="s">
        <v>3142</v>
      </c>
      <c r="F337" s="7811" t="s">
        <v>2288</v>
      </c>
      <c r="G337" s="7811" t="s">
        <v>24</v>
      </c>
      <c r="H337" s="7811" t="s">
        <v>24</v>
      </c>
      <c r="I337" s="7811" t="s">
        <v>769</v>
      </c>
    </row>
    <row customHeight="1" ht="11.25">
      <c r="A338" s="7811" t="s">
        <v>2171</v>
      </c>
      <c r="B338" s="7811" t="s">
        <v>14</v>
      </c>
      <c r="C338" s="7811" t="s">
        <v>3143</v>
      </c>
      <c r="D338" s="7811" t="s">
        <v>3144</v>
      </c>
      <c r="E338" s="7811" t="s">
        <v>3145</v>
      </c>
      <c r="F338" s="7811" t="s">
        <v>2213</v>
      </c>
      <c r="G338" s="7811" t="s">
        <v>3146</v>
      </c>
      <c r="H338" s="7811" t="s">
        <v>24</v>
      </c>
      <c r="I338" s="7811" t="s">
        <v>769</v>
      </c>
    </row>
    <row customHeight="1" ht="11.25">
      <c r="A339" s="7811" t="s">
        <v>2171</v>
      </c>
      <c r="B339" s="7811" t="s">
        <v>14</v>
      </c>
      <c r="C339" s="7811" t="s">
        <v>3147</v>
      </c>
      <c r="D339" s="7811" t="s">
        <v>3148</v>
      </c>
      <c r="E339" s="7811" t="s">
        <v>3149</v>
      </c>
      <c r="F339" s="7811" t="s">
        <v>2756</v>
      </c>
      <c r="G339" s="7811" t="s">
        <v>24</v>
      </c>
      <c r="H339" s="7811" t="s">
        <v>2549</v>
      </c>
      <c r="I339" s="7811" t="s">
        <v>769</v>
      </c>
    </row>
    <row customHeight="1" ht="11.25">
      <c r="A340" s="7811" t="s">
        <v>2171</v>
      </c>
      <c r="B340" s="7811" t="s">
        <v>14</v>
      </c>
      <c r="C340" s="7811" t="s">
        <v>3150</v>
      </c>
      <c r="D340" s="7811" t="s">
        <v>3151</v>
      </c>
      <c r="E340" s="7811" t="s">
        <v>3152</v>
      </c>
      <c r="F340" s="7811" t="s">
        <v>2756</v>
      </c>
      <c r="G340" s="7811" t="s">
        <v>24</v>
      </c>
      <c r="H340" s="7811" t="s">
        <v>24</v>
      </c>
      <c r="I340" s="7811" t="s">
        <v>769</v>
      </c>
    </row>
    <row customHeight="1" ht="11.25">
      <c r="A341" s="7811" t="s">
        <v>2171</v>
      </c>
      <c r="B341" s="7811" t="s">
        <v>14</v>
      </c>
      <c r="C341" s="7811" t="s">
        <v>3153</v>
      </c>
      <c r="D341" s="7811" t="s">
        <v>3154</v>
      </c>
      <c r="E341" s="7811" t="s">
        <v>3155</v>
      </c>
      <c r="F341" s="7811" t="s">
        <v>2727</v>
      </c>
      <c r="G341" s="7811" t="s">
        <v>24</v>
      </c>
      <c r="H341" s="7811" t="s">
        <v>24</v>
      </c>
      <c r="I341" s="7811" t="s">
        <v>769</v>
      </c>
    </row>
    <row customHeight="1" ht="11.25">
      <c r="A342" s="7811" t="s">
        <v>2171</v>
      </c>
      <c r="B342" s="7811" t="s">
        <v>14</v>
      </c>
      <c r="C342" s="7811" t="s">
        <v>3156</v>
      </c>
      <c r="D342" s="7811" t="s">
        <v>3157</v>
      </c>
      <c r="E342" s="7811" t="s">
        <v>3158</v>
      </c>
      <c r="F342" s="7811" t="s">
        <v>2349</v>
      </c>
      <c r="G342" s="7811" t="s">
        <v>24</v>
      </c>
      <c r="H342" s="7811" t="s">
        <v>2549</v>
      </c>
      <c r="I342" s="7811" t="s">
        <v>769</v>
      </c>
    </row>
    <row customHeight="1" ht="11.25">
      <c r="A343" s="7811" t="s">
        <v>2171</v>
      </c>
      <c r="B343" s="7811" t="s">
        <v>14</v>
      </c>
      <c r="C343" s="7811" t="s">
        <v>3159</v>
      </c>
      <c r="D343" s="7811" t="s">
        <v>3160</v>
      </c>
      <c r="E343" s="7811" t="s">
        <v>3161</v>
      </c>
      <c r="F343" s="7811" t="s">
        <v>2310</v>
      </c>
      <c r="G343" s="7811" t="s">
        <v>3162</v>
      </c>
      <c r="H343" s="7811" t="s">
        <v>24</v>
      </c>
      <c r="I343" s="7811" t="s">
        <v>769</v>
      </c>
    </row>
    <row customHeight="1" ht="11.25">
      <c r="A344" s="7811" t="s">
        <v>2171</v>
      </c>
      <c r="B344" s="7811" t="s">
        <v>14</v>
      </c>
      <c r="C344" s="7811" t="s">
        <v>3163</v>
      </c>
      <c r="D344" s="7811" t="s">
        <v>3164</v>
      </c>
      <c r="E344" s="7811" t="s">
        <v>3165</v>
      </c>
      <c r="F344" s="7811" t="s">
        <v>2306</v>
      </c>
      <c r="G344" s="7811" t="s">
        <v>24</v>
      </c>
      <c r="H344" s="7811" t="s">
        <v>24</v>
      </c>
      <c r="I344" s="7811" t="s">
        <v>769</v>
      </c>
    </row>
    <row customHeight="1" ht="11.25">
      <c r="A345" s="7811" t="s">
        <v>2171</v>
      </c>
      <c r="B345" s="7811" t="s">
        <v>14</v>
      </c>
      <c r="C345" s="7811" t="s">
        <v>3166</v>
      </c>
      <c r="D345" s="7811" t="s">
        <v>3167</v>
      </c>
      <c r="E345" s="7811" t="s">
        <v>3168</v>
      </c>
      <c r="F345" s="7811" t="s">
        <v>2400</v>
      </c>
      <c r="G345" s="7811" t="s">
        <v>24</v>
      </c>
      <c r="H345" s="7811" t="s">
        <v>24</v>
      </c>
      <c r="I345" s="7811" t="s">
        <v>769</v>
      </c>
    </row>
    <row customHeight="1" ht="11.25">
      <c r="A346" s="7811" t="s">
        <v>2171</v>
      </c>
      <c r="B346" s="7811" t="s">
        <v>14</v>
      </c>
      <c r="C346" s="7811" t="s">
        <v>3169</v>
      </c>
      <c r="D346" s="7811" t="s">
        <v>3170</v>
      </c>
      <c r="E346" s="7811" t="s">
        <v>3171</v>
      </c>
      <c r="F346" s="7811" t="s">
        <v>3172</v>
      </c>
      <c r="G346" s="7811" t="s">
        <v>24</v>
      </c>
      <c r="H346" s="7811" t="s">
        <v>24</v>
      </c>
      <c r="I346" s="7811" t="s">
        <v>769</v>
      </c>
    </row>
    <row customHeight="1" ht="11.25">
      <c r="A347" s="7811" t="s">
        <v>2171</v>
      </c>
      <c r="B347" s="7811" t="s">
        <v>14</v>
      </c>
      <c r="C347" s="7811" t="s">
        <v>2530</v>
      </c>
      <c r="D347" s="7811" t="s">
        <v>2531</v>
      </c>
      <c r="E347" s="7811" t="s">
        <v>2532</v>
      </c>
      <c r="F347" s="7811" t="s">
        <v>2453</v>
      </c>
      <c r="G347" s="7811" t="s">
        <v>2533</v>
      </c>
      <c r="H347" s="7811" t="s">
        <v>24</v>
      </c>
      <c r="I347" s="7811" t="s">
        <v>769</v>
      </c>
    </row>
    <row customHeight="1" ht="11.25">
      <c r="A348" s="7811" t="s">
        <v>2171</v>
      </c>
      <c r="B348" s="7811" t="s">
        <v>14</v>
      </c>
      <c r="C348" s="7811" t="s">
        <v>3173</v>
      </c>
      <c r="D348" s="7811" t="s">
        <v>3174</v>
      </c>
      <c r="E348" s="7811" t="s">
        <v>3175</v>
      </c>
      <c r="F348" s="7811" t="s">
        <v>2466</v>
      </c>
      <c r="G348" s="7811" t="s">
        <v>3176</v>
      </c>
      <c r="H348" s="7811" t="s">
        <v>2375</v>
      </c>
      <c r="I348" s="7811" t="s">
        <v>769</v>
      </c>
    </row>
    <row customHeight="1" ht="11.25">
      <c r="A349" s="7811" t="s">
        <v>2171</v>
      </c>
      <c r="B349" s="7811" t="s">
        <v>14</v>
      </c>
      <c r="C349" s="7811" t="s">
        <v>3177</v>
      </c>
      <c r="D349" s="7811" t="s">
        <v>3178</v>
      </c>
      <c r="E349" s="7811" t="s">
        <v>3179</v>
      </c>
      <c r="F349" s="7811" t="s">
        <v>2517</v>
      </c>
      <c r="G349" s="7811" t="s">
        <v>3180</v>
      </c>
      <c r="H349" s="7811" t="s">
        <v>3181</v>
      </c>
      <c r="I349" s="7811" t="s">
        <v>769</v>
      </c>
    </row>
    <row customHeight="1" ht="11.25">
      <c r="A350" s="7811" t="s">
        <v>2171</v>
      </c>
      <c r="B350" s="7811" t="s">
        <v>14</v>
      </c>
      <c r="C350" s="7811" t="s">
        <v>3182</v>
      </c>
      <c r="D350" s="7811" t="s">
        <v>3183</v>
      </c>
      <c r="E350" s="7811" t="s">
        <v>3184</v>
      </c>
      <c r="F350" s="7811" t="s">
        <v>2517</v>
      </c>
      <c r="G350" s="7811" t="s">
        <v>3185</v>
      </c>
      <c r="H350" s="7811" t="s">
        <v>3181</v>
      </c>
      <c r="I350" s="7811" t="s">
        <v>769</v>
      </c>
    </row>
    <row customHeight="1" ht="11.25">
      <c r="A351" s="7811" t="s">
        <v>2171</v>
      </c>
      <c r="B351" s="7811" t="s">
        <v>14</v>
      </c>
      <c r="C351" s="7811" t="s">
        <v>3186</v>
      </c>
      <c r="D351" s="7811" t="s">
        <v>3187</v>
      </c>
      <c r="E351" s="7811" t="s">
        <v>3188</v>
      </c>
      <c r="F351" s="7811" t="s">
        <v>3189</v>
      </c>
      <c r="G351" s="7811" t="s">
        <v>24</v>
      </c>
      <c r="H351" s="7811" t="s">
        <v>24</v>
      </c>
      <c r="I351" s="7811" t="s">
        <v>769</v>
      </c>
    </row>
    <row customHeight="1" ht="11.25">
      <c r="A352" s="7811" t="s">
        <v>2171</v>
      </c>
      <c r="B352" s="7811" t="s">
        <v>14</v>
      </c>
      <c r="C352" s="7811" t="s">
        <v>3190</v>
      </c>
      <c r="D352" s="7811" t="s">
        <v>3191</v>
      </c>
      <c r="E352" s="7811" t="s">
        <v>3192</v>
      </c>
      <c r="F352" s="7811" t="s">
        <v>2310</v>
      </c>
      <c r="G352" s="7811" t="s">
        <v>3193</v>
      </c>
      <c r="H352" s="7811" t="s">
        <v>24</v>
      </c>
      <c r="I352" s="7811" t="s">
        <v>769</v>
      </c>
    </row>
    <row customHeight="1" ht="11.25">
      <c r="A353" s="7811" t="s">
        <v>2171</v>
      </c>
      <c r="B353" s="7811" t="s">
        <v>14</v>
      </c>
      <c r="C353" s="7811" t="s">
        <v>2566</v>
      </c>
      <c r="D353" s="7811" t="s">
        <v>2567</v>
      </c>
      <c r="E353" s="7811" t="s">
        <v>2568</v>
      </c>
      <c r="F353" s="7811" t="s">
        <v>2310</v>
      </c>
      <c r="G353" s="7811" t="s">
        <v>24</v>
      </c>
      <c r="H353" s="7811" t="s">
        <v>2549</v>
      </c>
      <c r="I353" s="7811" t="s">
        <v>769</v>
      </c>
    </row>
    <row customHeight="1" ht="11.25">
      <c r="A354" s="7811" t="s">
        <v>2171</v>
      </c>
      <c r="B354" s="7811" t="s">
        <v>14</v>
      </c>
      <c r="C354" s="7811" t="s">
        <v>3194</v>
      </c>
      <c r="D354" s="7811" t="s">
        <v>3195</v>
      </c>
      <c r="E354" s="7811" t="s">
        <v>3196</v>
      </c>
      <c r="F354" s="7811" t="s">
        <v>2453</v>
      </c>
      <c r="G354" s="7811" t="s">
        <v>3197</v>
      </c>
      <c r="H354" s="7811" t="s">
        <v>24</v>
      </c>
      <c r="I354" s="7811" t="s">
        <v>769</v>
      </c>
    </row>
    <row customHeight="1" ht="11.25">
      <c r="A355" s="7811" t="s">
        <v>2171</v>
      </c>
      <c r="B355" s="7811" t="s">
        <v>14</v>
      </c>
      <c r="C355" s="7811" t="s">
        <v>3198</v>
      </c>
      <c r="D355" s="7811" t="s">
        <v>3199</v>
      </c>
      <c r="E355" s="7811" t="s">
        <v>3200</v>
      </c>
      <c r="F355" s="7811" t="s">
        <v>2457</v>
      </c>
      <c r="G355" s="7811" t="s">
        <v>24</v>
      </c>
      <c r="H355" s="7811" t="s">
        <v>3201</v>
      </c>
      <c r="I355" s="7811" t="s">
        <v>769</v>
      </c>
    </row>
    <row customHeight="1" ht="11.25">
      <c r="A356" s="7811" t="s">
        <v>2171</v>
      </c>
      <c r="B356" s="7811" t="s">
        <v>14</v>
      </c>
      <c r="C356" s="7811" t="s">
        <v>3202</v>
      </c>
      <c r="D356" s="7811" t="s">
        <v>3203</v>
      </c>
      <c r="E356" s="7811" t="s">
        <v>3204</v>
      </c>
      <c r="F356" s="7811" t="s">
        <v>2517</v>
      </c>
      <c r="G356" s="7811" t="s">
        <v>3205</v>
      </c>
      <c r="H356" s="7811" t="s">
        <v>3206</v>
      </c>
      <c r="I356" s="7811" t="s">
        <v>769</v>
      </c>
    </row>
    <row customHeight="1" ht="11.25">
      <c r="A357" s="7811" t="s">
        <v>2171</v>
      </c>
      <c r="B357" s="7811" t="s">
        <v>14</v>
      </c>
      <c r="C357" s="7811" t="s">
        <v>3207</v>
      </c>
      <c r="D357" s="7811" t="s">
        <v>3208</v>
      </c>
      <c r="E357" s="7811" t="s">
        <v>3209</v>
      </c>
      <c r="F357" s="7811" t="s">
        <v>2466</v>
      </c>
      <c r="G357" s="7811" t="s">
        <v>3210</v>
      </c>
      <c r="H357" s="7811" t="s">
        <v>24</v>
      </c>
      <c r="I357" s="7811" t="s">
        <v>769</v>
      </c>
    </row>
    <row customHeight="1" ht="11.25">
      <c r="A358" s="7811" t="s">
        <v>2171</v>
      </c>
      <c r="B358" s="7811" t="s">
        <v>14</v>
      </c>
      <c r="C358" s="7811" t="s">
        <v>2595</v>
      </c>
      <c r="D358" s="7811" t="s">
        <v>2596</v>
      </c>
      <c r="E358" s="7811" t="s">
        <v>2597</v>
      </c>
      <c r="F358" s="7811" t="s">
        <v>2598</v>
      </c>
      <c r="G358" s="7811" t="s">
        <v>24</v>
      </c>
      <c r="H358" s="7811" t="s">
        <v>24</v>
      </c>
      <c r="I358" s="7811" t="s">
        <v>769</v>
      </c>
    </row>
    <row customHeight="1" ht="11.25">
      <c r="A359" s="7811" t="s">
        <v>2171</v>
      </c>
      <c r="B359" s="7811" t="s">
        <v>14</v>
      </c>
      <c r="C359" s="7811" t="s">
        <v>3211</v>
      </c>
      <c r="D359" s="7811" t="s">
        <v>2600</v>
      </c>
      <c r="E359" s="7811" t="s">
        <v>3212</v>
      </c>
      <c r="F359" s="7811" t="s">
        <v>2383</v>
      </c>
      <c r="G359" s="7811" t="s">
        <v>24</v>
      </c>
      <c r="H359" s="7811" t="s">
        <v>2549</v>
      </c>
      <c r="I359" s="7811" t="s">
        <v>769</v>
      </c>
    </row>
    <row customHeight="1" ht="11.25">
      <c r="A360" s="7811" t="s">
        <v>2171</v>
      </c>
      <c r="B360" s="7811" t="s">
        <v>14</v>
      </c>
      <c r="C360" s="7811" t="s">
        <v>3213</v>
      </c>
      <c r="D360" s="7811" t="s">
        <v>3214</v>
      </c>
      <c r="E360" s="7811" t="s">
        <v>3215</v>
      </c>
      <c r="F360" s="7811" t="s">
        <v>2457</v>
      </c>
      <c r="G360" s="7811" t="s">
        <v>24</v>
      </c>
      <c r="H360" s="7811" t="s">
        <v>2458</v>
      </c>
      <c r="I360" s="7811" t="s">
        <v>769</v>
      </c>
    </row>
    <row customHeight="1" ht="11.25">
      <c r="A361" s="7811" t="s">
        <v>2171</v>
      </c>
      <c r="B361" s="7811" t="s">
        <v>14</v>
      </c>
      <c r="C361" s="7811" t="s">
        <v>3216</v>
      </c>
      <c r="D361" s="7811" t="s">
        <v>3217</v>
      </c>
      <c r="E361" s="7811" t="s">
        <v>3218</v>
      </c>
      <c r="F361" s="7811" t="s">
        <v>2517</v>
      </c>
      <c r="G361" s="7811" t="s">
        <v>3205</v>
      </c>
      <c r="H361" s="7811" t="s">
        <v>3219</v>
      </c>
      <c r="I361" s="7811" t="s">
        <v>769</v>
      </c>
    </row>
    <row customHeight="1" ht="11.25">
      <c r="A362" s="7811" t="s">
        <v>2171</v>
      </c>
      <c r="B362" s="7811" t="s">
        <v>14</v>
      </c>
      <c r="C362" s="7811" t="s">
        <v>3220</v>
      </c>
      <c r="D362" s="7811" t="s">
        <v>3221</v>
      </c>
      <c r="E362" s="7811" t="s">
        <v>3222</v>
      </c>
      <c r="F362" s="7811" t="s">
        <v>2349</v>
      </c>
      <c r="G362" s="7811" t="s">
        <v>24</v>
      </c>
      <c r="H362" s="7811" t="s">
        <v>3223</v>
      </c>
      <c r="I362" s="7811" t="s">
        <v>769</v>
      </c>
    </row>
    <row customHeight="1" ht="11.25">
      <c r="A363" s="7811" t="s">
        <v>2171</v>
      </c>
      <c r="B363" s="7811" t="s">
        <v>14</v>
      </c>
      <c r="C363" s="7811" t="s">
        <v>3224</v>
      </c>
      <c r="D363" s="7811" t="s">
        <v>3225</v>
      </c>
      <c r="E363" s="7811" t="s">
        <v>3226</v>
      </c>
      <c r="F363" s="7811" t="s">
        <v>2457</v>
      </c>
      <c r="G363" s="7811" t="s">
        <v>24</v>
      </c>
      <c r="H363" s="7811" t="s">
        <v>3227</v>
      </c>
      <c r="I363" s="7811" t="s">
        <v>769</v>
      </c>
    </row>
    <row customHeight="1" ht="11.25">
      <c r="A364" s="7811" t="s">
        <v>2171</v>
      </c>
      <c r="B364" s="7811" t="s">
        <v>14</v>
      </c>
      <c r="C364" s="7811" t="s">
        <v>3228</v>
      </c>
      <c r="D364" s="7811" t="s">
        <v>3229</v>
      </c>
      <c r="E364" s="7811" t="s">
        <v>3230</v>
      </c>
      <c r="F364" s="7811" t="s">
        <v>2383</v>
      </c>
      <c r="G364" s="7811" t="s">
        <v>24</v>
      </c>
      <c r="H364" s="7811" t="s">
        <v>2375</v>
      </c>
      <c r="I364" s="7811" t="s">
        <v>769</v>
      </c>
    </row>
    <row customHeight="1" ht="11.25">
      <c r="A365" s="7811" t="s">
        <v>2171</v>
      </c>
      <c r="B365" s="7811" t="s">
        <v>14</v>
      </c>
      <c r="C365" s="7811" t="s">
        <v>3231</v>
      </c>
      <c r="D365" s="7811" t="s">
        <v>3229</v>
      </c>
      <c r="E365" s="7811" t="s">
        <v>3232</v>
      </c>
      <c r="F365" s="7811" t="s">
        <v>2400</v>
      </c>
      <c r="G365" s="7811" t="s">
        <v>24</v>
      </c>
      <c r="H365" s="7811" t="s">
        <v>3233</v>
      </c>
      <c r="I365" s="7811" t="s">
        <v>769</v>
      </c>
    </row>
    <row customHeight="1" ht="11.25">
      <c r="A366" s="7811" t="s">
        <v>2171</v>
      </c>
      <c r="B366" s="7811" t="s">
        <v>14</v>
      </c>
      <c r="C366" s="7811" t="s">
        <v>3234</v>
      </c>
      <c r="D366" s="7811" t="s">
        <v>3235</v>
      </c>
      <c r="E366" s="7811" t="s">
        <v>3236</v>
      </c>
      <c r="F366" s="7811" t="s">
        <v>2213</v>
      </c>
      <c r="G366" s="7811" t="s">
        <v>24</v>
      </c>
      <c r="H366" s="7811" t="s">
        <v>24</v>
      </c>
      <c r="I366" s="7811" t="s">
        <v>769</v>
      </c>
    </row>
    <row customHeight="1" ht="11.25">
      <c r="A367" s="7811" t="s">
        <v>2171</v>
      </c>
      <c r="B367" s="7811" t="s">
        <v>14</v>
      </c>
      <c r="C367" s="7811" t="s">
        <v>3237</v>
      </c>
      <c r="D367" s="7811" t="s">
        <v>3238</v>
      </c>
      <c r="E367" s="7811" t="s">
        <v>3239</v>
      </c>
      <c r="F367" s="7811" t="s">
        <v>2288</v>
      </c>
      <c r="G367" s="7811" t="s">
        <v>3240</v>
      </c>
      <c r="H367" s="7811" t="s">
        <v>24</v>
      </c>
      <c r="I367" s="7811" t="s">
        <v>769</v>
      </c>
    </row>
    <row customHeight="1" ht="11.25">
      <c r="A368" s="7811" t="s">
        <v>2171</v>
      </c>
      <c r="B368" s="7811" t="s">
        <v>14</v>
      </c>
      <c r="C368" s="7811" t="s">
        <v>3241</v>
      </c>
      <c r="D368" s="7811" t="s">
        <v>3242</v>
      </c>
      <c r="E368" s="7811" t="s">
        <v>3243</v>
      </c>
      <c r="F368" s="7811" t="s">
        <v>2680</v>
      </c>
      <c r="G368" s="7811" t="s">
        <v>24</v>
      </c>
      <c r="H368" s="7811" t="s">
        <v>3244</v>
      </c>
      <c r="I368" s="7811" t="s">
        <v>769</v>
      </c>
    </row>
    <row customHeight="1" ht="11.25">
      <c r="A369" s="7811" t="s">
        <v>2171</v>
      </c>
      <c r="B369" s="7811" t="s">
        <v>14</v>
      </c>
      <c r="C369" s="7811" t="s">
        <v>3245</v>
      </c>
      <c r="D369" s="7811" t="s">
        <v>3246</v>
      </c>
      <c r="E369" s="7811" t="s">
        <v>3247</v>
      </c>
      <c r="F369" s="7811" t="s">
        <v>3248</v>
      </c>
      <c r="G369" s="7811" t="s">
        <v>24</v>
      </c>
      <c r="H369" s="7811" t="s">
        <v>24</v>
      </c>
      <c r="I369" s="7811" t="s">
        <v>769</v>
      </c>
    </row>
    <row customHeight="1" ht="11.25">
      <c r="A370" s="7811" t="s">
        <v>2171</v>
      </c>
      <c r="B370" s="7811" t="s">
        <v>14</v>
      </c>
      <c r="C370" s="7811" t="s">
        <v>3249</v>
      </c>
      <c r="D370" s="7811" t="s">
        <v>3250</v>
      </c>
      <c r="E370" s="7811" t="s">
        <v>3251</v>
      </c>
      <c r="F370" s="7811" t="s">
        <v>2517</v>
      </c>
      <c r="G370" s="7811" t="s">
        <v>3252</v>
      </c>
      <c r="H370" s="7811" t="s">
        <v>3253</v>
      </c>
      <c r="I370" s="7811" t="s">
        <v>769</v>
      </c>
    </row>
    <row customHeight="1" ht="11.25">
      <c r="A371" s="7811" t="s">
        <v>2171</v>
      </c>
      <c r="B371" s="7811" t="s">
        <v>14</v>
      </c>
      <c r="C371" s="7811" t="s">
        <v>3254</v>
      </c>
      <c r="D371" s="7811" t="s">
        <v>3255</v>
      </c>
      <c r="E371" s="7811" t="s">
        <v>3256</v>
      </c>
      <c r="F371" s="7811" t="s">
        <v>2517</v>
      </c>
      <c r="G371" s="7811" t="s">
        <v>3252</v>
      </c>
      <c r="H371" s="7811" t="s">
        <v>3257</v>
      </c>
      <c r="I371" s="7811" t="s">
        <v>769</v>
      </c>
    </row>
    <row customHeight="1" ht="11.25">
      <c r="A372" s="7811" t="s">
        <v>2171</v>
      </c>
      <c r="B372" s="7811" t="s">
        <v>14</v>
      </c>
      <c r="C372" s="7811" t="s">
        <v>3258</v>
      </c>
      <c r="D372" s="7811" t="s">
        <v>3259</v>
      </c>
      <c r="E372" s="7811" t="s">
        <v>3260</v>
      </c>
      <c r="F372" s="7811" t="s">
        <v>2670</v>
      </c>
      <c r="G372" s="7811" t="s">
        <v>24</v>
      </c>
      <c r="H372" s="7811" t="s">
        <v>24</v>
      </c>
      <c r="I372" s="7811" t="s">
        <v>769</v>
      </c>
    </row>
    <row customHeight="1" ht="11.25">
      <c r="A373" s="7811" t="s">
        <v>2171</v>
      </c>
      <c r="B373" s="7811" t="s">
        <v>14</v>
      </c>
      <c r="C373" s="7811" t="s">
        <v>3261</v>
      </c>
      <c r="D373" s="7811" t="s">
        <v>3262</v>
      </c>
      <c r="E373" s="7811" t="s">
        <v>3263</v>
      </c>
      <c r="F373" s="7811" t="s">
        <v>2727</v>
      </c>
      <c r="G373" s="7811" t="s">
        <v>24</v>
      </c>
      <c r="H373" s="7811" t="s">
        <v>24</v>
      </c>
      <c r="I373" s="7811" t="s">
        <v>769</v>
      </c>
    </row>
    <row customHeight="1" ht="11.25">
      <c r="A374" s="7811" t="s">
        <v>2171</v>
      </c>
      <c r="B374" s="7811" t="s">
        <v>14</v>
      </c>
      <c r="C374" s="7811" t="s">
        <v>3264</v>
      </c>
      <c r="D374" s="7811" t="s">
        <v>3265</v>
      </c>
      <c r="E374" s="7811" t="s">
        <v>3266</v>
      </c>
      <c r="F374" s="7811" t="s">
        <v>2379</v>
      </c>
      <c r="G374" s="7811" t="s">
        <v>3267</v>
      </c>
      <c r="H374" s="7811" t="s">
        <v>24</v>
      </c>
      <c r="I374" s="7811" t="s">
        <v>769</v>
      </c>
    </row>
    <row customHeight="1" ht="11.25">
      <c r="A375" s="7811" t="s">
        <v>2171</v>
      </c>
      <c r="B375" s="7811" t="s">
        <v>14</v>
      </c>
      <c r="C375" s="7811" t="s">
        <v>2791</v>
      </c>
      <c r="D375" s="7811" t="s">
        <v>2792</v>
      </c>
      <c r="E375" s="7811" t="s">
        <v>2793</v>
      </c>
      <c r="F375" s="7811" t="s">
        <v>2457</v>
      </c>
      <c r="G375" s="7811" t="s">
        <v>24</v>
      </c>
      <c r="H375" s="7811" t="s">
        <v>24</v>
      </c>
      <c r="I375" s="7811" t="s">
        <v>769</v>
      </c>
    </row>
    <row customHeight="1" ht="11.25">
      <c r="A376" s="7811" t="s">
        <v>2171</v>
      </c>
      <c r="B376" s="7811" t="s">
        <v>14</v>
      </c>
      <c r="C376" s="7811" t="s">
        <v>3268</v>
      </c>
      <c r="D376" s="7811" t="s">
        <v>3269</v>
      </c>
      <c r="E376" s="7811" t="s">
        <v>3270</v>
      </c>
      <c r="F376" s="7811" t="s">
        <v>2462</v>
      </c>
      <c r="G376" s="7811" t="s">
        <v>24</v>
      </c>
      <c r="H376" s="7811" t="s">
        <v>2549</v>
      </c>
      <c r="I376" s="7811" t="s">
        <v>769</v>
      </c>
    </row>
    <row customHeight="1" ht="11.25">
      <c r="A377" s="7811" t="s">
        <v>2171</v>
      </c>
      <c r="B377" s="7811" t="s">
        <v>14</v>
      </c>
      <c r="C377" s="7811" t="s">
        <v>3271</v>
      </c>
      <c r="D377" s="7811" t="s">
        <v>3272</v>
      </c>
      <c r="E377" s="7811" t="s">
        <v>3273</v>
      </c>
      <c r="F377" s="7811" t="s">
        <v>2258</v>
      </c>
      <c r="G377" s="7811" t="s">
        <v>24</v>
      </c>
      <c r="H377" s="7811" t="s">
        <v>24</v>
      </c>
      <c r="I377" s="7811" t="s">
        <v>769</v>
      </c>
    </row>
    <row customHeight="1" ht="11.25">
      <c r="A378" s="7811" t="s">
        <v>2171</v>
      </c>
      <c r="B378" s="7811" t="s">
        <v>14</v>
      </c>
      <c r="C378" s="7811" t="s">
        <v>3274</v>
      </c>
      <c r="D378" s="7811" t="s">
        <v>3275</v>
      </c>
      <c r="E378" s="7811" t="s">
        <v>3276</v>
      </c>
      <c r="F378" s="7811" t="s">
        <v>2856</v>
      </c>
      <c r="G378" s="7811" t="s">
        <v>3146</v>
      </c>
      <c r="H378" s="7811" t="s">
        <v>24</v>
      </c>
      <c r="I378" s="7811" t="s">
        <v>769</v>
      </c>
    </row>
    <row customHeight="1" ht="11.25">
      <c r="A379" s="7811" t="s">
        <v>2171</v>
      </c>
      <c r="B379" s="7811" t="s">
        <v>14</v>
      </c>
      <c r="C379" s="7811" t="s">
        <v>3277</v>
      </c>
      <c r="D379" s="7811" t="s">
        <v>3278</v>
      </c>
      <c r="E379" s="7811" t="s">
        <v>3279</v>
      </c>
      <c r="F379" s="7811" t="s">
        <v>2227</v>
      </c>
      <c r="G379" s="7811" t="s">
        <v>24</v>
      </c>
      <c r="H379" s="7811" t="s">
        <v>24</v>
      </c>
      <c r="I379" s="7811" t="s">
        <v>769</v>
      </c>
    </row>
    <row customHeight="1" ht="11.25">
      <c r="A380" s="7811" t="s">
        <v>2171</v>
      </c>
      <c r="B380" s="7811" t="s">
        <v>14</v>
      </c>
      <c r="C380" s="7811" t="s">
        <v>3280</v>
      </c>
      <c r="D380" s="7811" t="s">
        <v>3281</v>
      </c>
      <c r="E380" s="7811" t="s">
        <v>3282</v>
      </c>
      <c r="F380" s="7811" t="s">
        <v>2288</v>
      </c>
      <c r="G380" s="7811" t="s">
        <v>24</v>
      </c>
      <c r="H380" s="7811" t="s">
        <v>24</v>
      </c>
      <c r="I380" s="7811" t="s">
        <v>769</v>
      </c>
    </row>
    <row customHeight="1" ht="11.25">
      <c r="A381" s="7811" t="s">
        <v>2171</v>
      </c>
      <c r="B381" s="7811" t="s">
        <v>14</v>
      </c>
      <c r="C381" s="7811" t="s">
        <v>24</v>
      </c>
      <c r="D381" s="7811" t="s">
        <v>2810</v>
      </c>
      <c r="E381" s="7811" t="s">
        <v>2811</v>
      </c>
      <c r="F381" s="7811" t="s">
        <v>2453</v>
      </c>
      <c r="G381" s="7811" t="s">
        <v>24</v>
      </c>
      <c r="H381" s="7811" t="s">
        <v>24</v>
      </c>
      <c r="I381" s="7811" t="s">
        <v>769</v>
      </c>
    </row>
    <row customHeight="1" ht="11.25">
      <c r="A382" s="7811" t="s">
        <v>2171</v>
      </c>
      <c r="B382" s="7811" t="s">
        <v>14</v>
      </c>
      <c r="C382" s="7811" t="s">
        <v>3283</v>
      </c>
      <c r="D382" s="7811" t="s">
        <v>3284</v>
      </c>
      <c r="E382" s="7811" t="s">
        <v>3285</v>
      </c>
      <c r="F382" s="7811" t="s">
        <v>2288</v>
      </c>
      <c r="G382" s="7811" t="s">
        <v>24</v>
      </c>
      <c r="H382" s="7811" t="s">
        <v>3286</v>
      </c>
      <c r="I382" s="7811" t="s">
        <v>769</v>
      </c>
    </row>
    <row customHeight="1" ht="11.25">
      <c r="A383" s="7811" t="s">
        <v>2171</v>
      </c>
      <c r="B383" s="7811" t="s">
        <v>14</v>
      </c>
      <c r="C383" s="7811" t="s">
        <v>3287</v>
      </c>
      <c r="D383" s="7811" t="s">
        <v>3288</v>
      </c>
      <c r="E383" s="7811" t="s">
        <v>3289</v>
      </c>
      <c r="F383" s="7811" t="s">
        <v>2449</v>
      </c>
      <c r="G383" s="7811" t="s">
        <v>24</v>
      </c>
      <c r="H383" s="7811" t="s">
        <v>24</v>
      </c>
      <c r="I383" s="7811" t="s">
        <v>769</v>
      </c>
    </row>
    <row customHeight="1" ht="11.25">
      <c r="A384" s="7811" t="s">
        <v>2171</v>
      </c>
      <c r="B384" s="7811" t="s">
        <v>14</v>
      </c>
      <c r="C384" s="7811" t="s">
        <v>3290</v>
      </c>
      <c r="D384" s="7811" t="s">
        <v>3291</v>
      </c>
      <c r="E384" s="7811" t="s">
        <v>3292</v>
      </c>
      <c r="F384" s="7811" t="s">
        <v>2412</v>
      </c>
      <c r="G384" s="7811" t="s">
        <v>24</v>
      </c>
      <c r="H384" s="7811" t="s">
        <v>2549</v>
      </c>
      <c r="I384" s="7811" t="s">
        <v>769</v>
      </c>
    </row>
    <row customHeight="1" ht="11.25">
      <c r="A385" s="7811" t="s">
        <v>2171</v>
      </c>
      <c r="B385" s="7811" t="s">
        <v>14</v>
      </c>
      <c r="C385" s="7811" t="s">
        <v>3293</v>
      </c>
      <c r="D385" s="7811" t="s">
        <v>3294</v>
      </c>
      <c r="E385" s="7811" t="s">
        <v>3295</v>
      </c>
      <c r="F385" s="7811" t="s">
        <v>2379</v>
      </c>
      <c r="G385" s="7811" t="s">
        <v>24</v>
      </c>
      <c r="H385" s="7811" t="s">
        <v>2549</v>
      </c>
      <c r="I385" s="7811" t="s">
        <v>769</v>
      </c>
    </row>
    <row customHeight="1" ht="11.25">
      <c r="A386" s="7811" t="s">
        <v>2171</v>
      </c>
      <c r="B386" s="7811" t="s">
        <v>14</v>
      </c>
      <c r="C386" s="7811" t="s">
        <v>2824</v>
      </c>
      <c r="D386" s="7811" t="s">
        <v>2825</v>
      </c>
      <c r="E386" s="7811" t="s">
        <v>2814</v>
      </c>
      <c r="F386" s="7811" t="s">
        <v>2826</v>
      </c>
      <c r="G386" s="7811" t="s">
        <v>24</v>
      </c>
      <c r="H386" s="7811" t="s">
        <v>24</v>
      </c>
      <c r="I386" s="7811" t="s">
        <v>769</v>
      </c>
    </row>
    <row customHeight="1" ht="11.25">
      <c r="A387" s="7811" t="s">
        <v>2171</v>
      </c>
      <c r="B387" s="7811" t="s">
        <v>14</v>
      </c>
      <c r="C387" s="7811" t="s">
        <v>3296</v>
      </c>
      <c r="D387" s="7811" t="s">
        <v>3297</v>
      </c>
      <c r="E387" s="7811" t="s">
        <v>3298</v>
      </c>
      <c r="F387" s="7811" t="s">
        <v>2404</v>
      </c>
      <c r="G387" s="7811" t="s">
        <v>24</v>
      </c>
      <c r="H387" s="7811" t="s">
        <v>24</v>
      </c>
      <c r="I387" s="7811" t="s">
        <v>769</v>
      </c>
    </row>
    <row customHeight="1" ht="11.25">
      <c r="A388" s="7811" t="s">
        <v>2171</v>
      </c>
      <c r="B388" s="7811" t="s">
        <v>14</v>
      </c>
      <c r="C388" s="7811" t="s">
        <v>2841</v>
      </c>
      <c r="D388" s="7811" t="s">
        <v>2842</v>
      </c>
      <c r="E388" s="7811" t="s">
        <v>2843</v>
      </c>
      <c r="F388" s="7811" t="s">
        <v>2404</v>
      </c>
      <c r="G388" s="7811" t="s">
        <v>24</v>
      </c>
      <c r="H388" s="7811" t="s">
        <v>24</v>
      </c>
      <c r="I388" s="7811" t="s">
        <v>769</v>
      </c>
    </row>
    <row customHeight="1" ht="11.25">
      <c r="A389" s="7811" t="s">
        <v>2171</v>
      </c>
      <c r="B389" s="7811" t="s">
        <v>14</v>
      </c>
      <c r="C389" s="7811" t="s">
        <v>2844</v>
      </c>
      <c r="D389" s="7811" t="s">
        <v>2845</v>
      </c>
      <c r="E389" s="7811" t="s">
        <v>2846</v>
      </c>
      <c r="F389" s="7811" t="s">
        <v>2404</v>
      </c>
      <c r="G389" s="7811" t="s">
        <v>24</v>
      </c>
      <c r="H389" s="7811" t="s">
        <v>24</v>
      </c>
      <c r="I389" s="7811" t="s">
        <v>769</v>
      </c>
    </row>
    <row customHeight="1" ht="11.25">
      <c r="A390" s="7811" t="s">
        <v>2171</v>
      </c>
      <c r="B390" s="7811" t="s">
        <v>14</v>
      </c>
      <c r="C390" s="7811" t="s">
        <v>2847</v>
      </c>
      <c r="D390" s="7811" t="s">
        <v>2848</v>
      </c>
      <c r="E390" s="7811" t="s">
        <v>2849</v>
      </c>
      <c r="F390" s="7811" t="s">
        <v>2756</v>
      </c>
      <c r="G390" s="7811" t="s">
        <v>24</v>
      </c>
      <c r="H390" s="7811" t="s">
        <v>24</v>
      </c>
      <c r="I390" s="7811" t="s">
        <v>769</v>
      </c>
    </row>
    <row customHeight="1" ht="11.25">
      <c r="A391" s="7811" t="s">
        <v>2171</v>
      </c>
      <c r="B391" s="7811" t="s">
        <v>14</v>
      </c>
      <c r="C391" s="7811" t="s">
        <v>3299</v>
      </c>
      <c r="D391" s="7811" t="s">
        <v>3300</v>
      </c>
      <c r="E391" s="7811" t="s">
        <v>2900</v>
      </c>
      <c r="F391" s="7811" t="s">
        <v>2462</v>
      </c>
      <c r="G391" s="7811" t="s">
        <v>24</v>
      </c>
      <c r="H391" s="7811" t="s">
        <v>3301</v>
      </c>
      <c r="I391" s="7811" t="s">
        <v>769</v>
      </c>
    </row>
    <row customHeight="1" ht="11.25">
      <c r="A392" s="7811" t="s">
        <v>2171</v>
      </c>
      <c r="B392" s="7811" t="s">
        <v>14</v>
      </c>
      <c r="C392" s="7811" t="s">
        <v>2853</v>
      </c>
      <c r="D392" s="7811" t="s">
        <v>2854</v>
      </c>
      <c r="E392" s="7811" t="s">
        <v>2855</v>
      </c>
      <c r="F392" s="7811" t="s">
        <v>2856</v>
      </c>
      <c r="G392" s="7811" t="s">
        <v>24</v>
      </c>
      <c r="H392" s="7811" t="s">
        <v>24</v>
      </c>
      <c r="I392" s="7811" t="s">
        <v>769</v>
      </c>
    </row>
    <row customHeight="1" ht="11.25">
      <c r="A393" s="7811" t="s">
        <v>2171</v>
      </c>
      <c r="B393" s="7811" t="s">
        <v>14</v>
      </c>
      <c r="C393" s="7811" t="s">
        <v>2857</v>
      </c>
      <c r="D393" s="7811" t="s">
        <v>2858</v>
      </c>
      <c r="E393" s="7811" t="s">
        <v>2855</v>
      </c>
      <c r="F393" s="7811" t="s">
        <v>2859</v>
      </c>
      <c r="G393" s="7811" t="s">
        <v>2860</v>
      </c>
      <c r="H393" s="7811" t="s">
        <v>24</v>
      </c>
      <c r="I393" s="7811" t="s">
        <v>769</v>
      </c>
    </row>
    <row customHeight="1" ht="11.25">
      <c r="A394" s="7811" t="s">
        <v>2171</v>
      </c>
      <c r="B394" s="7811" t="s">
        <v>14</v>
      </c>
      <c r="C394" s="7811" t="s">
        <v>3302</v>
      </c>
      <c r="D394" s="7811" t="s">
        <v>3303</v>
      </c>
      <c r="E394" s="7811" t="s">
        <v>3304</v>
      </c>
      <c r="F394" s="7811" t="s">
        <v>3305</v>
      </c>
      <c r="G394" s="7811" t="s">
        <v>3306</v>
      </c>
      <c r="H394" s="7811" t="s">
        <v>2375</v>
      </c>
      <c r="I394" s="7811" t="s">
        <v>769</v>
      </c>
    </row>
    <row customHeight="1" ht="11.25">
      <c r="A395" s="7811" t="s">
        <v>2171</v>
      </c>
      <c r="B395" s="7811" t="s">
        <v>14</v>
      </c>
      <c r="C395" s="7811" t="s">
        <v>2875</v>
      </c>
      <c r="D395" s="7811" t="s">
        <v>2876</v>
      </c>
      <c r="E395" s="7811" t="s">
        <v>2877</v>
      </c>
      <c r="F395" s="7811" t="s">
        <v>2878</v>
      </c>
      <c r="G395" s="7811" t="s">
        <v>24</v>
      </c>
      <c r="H395" s="7811" t="s">
        <v>24</v>
      </c>
      <c r="I395" s="7811" t="s">
        <v>769</v>
      </c>
    </row>
    <row customHeight="1" ht="11.25">
      <c r="A396" s="7811" t="s">
        <v>2171</v>
      </c>
      <c r="B396" s="7811" t="s">
        <v>14</v>
      </c>
      <c r="C396" s="7811" t="s">
        <v>3307</v>
      </c>
      <c r="D396" s="7811" t="s">
        <v>3308</v>
      </c>
      <c r="E396" s="7811" t="s">
        <v>3309</v>
      </c>
      <c r="F396" s="7811" t="s">
        <v>2453</v>
      </c>
      <c r="G396" s="7811" t="s">
        <v>24</v>
      </c>
      <c r="H396" s="7811" t="s">
        <v>24</v>
      </c>
      <c r="I396" s="7811" t="s">
        <v>824</v>
      </c>
    </row>
    <row customHeight="1" ht="11.25">
      <c r="A397" s="7811" t="s">
        <v>2171</v>
      </c>
      <c r="B397" s="7811" t="s">
        <v>14</v>
      </c>
      <c r="C397" s="7811" t="s">
        <v>2210</v>
      </c>
      <c r="D397" s="7811" t="s">
        <v>2211</v>
      </c>
      <c r="E397" s="7811" t="s">
        <v>2212</v>
      </c>
      <c r="F397" s="7811" t="s">
        <v>2213</v>
      </c>
      <c r="G397" s="7811" t="s">
        <v>2214</v>
      </c>
      <c r="H397" s="7811" t="s">
        <v>24</v>
      </c>
      <c r="I397" s="7811" t="s">
        <v>824</v>
      </c>
    </row>
    <row customHeight="1" ht="11.25">
      <c r="A398" s="7811" t="s">
        <v>2171</v>
      </c>
      <c r="B398" s="7811" t="s">
        <v>14</v>
      </c>
      <c r="C398" s="7811" t="s">
        <v>2906</v>
      </c>
      <c r="D398" s="7811" t="s">
        <v>2907</v>
      </c>
      <c r="E398" s="7811" t="s">
        <v>2908</v>
      </c>
      <c r="F398" s="7811" t="s">
        <v>49</v>
      </c>
      <c r="G398" s="7811" t="s">
        <v>24</v>
      </c>
      <c r="H398" s="7811" t="s">
        <v>24</v>
      </c>
      <c r="I398" s="7811" t="s">
        <v>824</v>
      </c>
    </row>
    <row customHeight="1" ht="11.25">
      <c r="A399" s="7811" t="s">
        <v>2171</v>
      </c>
      <c r="B399" s="7811" t="s">
        <v>14</v>
      </c>
      <c r="C399" s="7811" t="s">
        <v>3310</v>
      </c>
      <c r="D399" s="7811" t="s">
        <v>3311</v>
      </c>
      <c r="E399" s="7811" t="s">
        <v>3312</v>
      </c>
      <c r="F399" s="7811" t="s">
        <v>2218</v>
      </c>
      <c r="G399" s="7811" t="s">
        <v>24</v>
      </c>
      <c r="H399" s="7811" t="s">
        <v>24</v>
      </c>
      <c r="I399" s="7811" t="s">
        <v>824</v>
      </c>
    </row>
    <row customHeight="1" ht="11.25">
      <c r="A400" s="7811" t="s">
        <v>2171</v>
      </c>
      <c r="B400" s="7811" t="s">
        <v>14</v>
      </c>
      <c r="C400" s="7811" t="s">
        <v>2913</v>
      </c>
      <c r="D400" s="7811" t="s">
        <v>2914</v>
      </c>
      <c r="E400" s="7811" t="s">
        <v>2915</v>
      </c>
      <c r="F400" s="7811" t="s">
        <v>2453</v>
      </c>
      <c r="G400" s="7811" t="s">
        <v>2916</v>
      </c>
      <c r="H400" s="7811" t="s">
        <v>24</v>
      </c>
      <c r="I400" s="7811" t="s">
        <v>824</v>
      </c>
    </row>
    <row customHeight="1" ht="11.25">
      <c r="A401" s="7811" t="s">
        <v>2171</v>
      </c>
      <c r="B401" s="7811" t="s">
        <v>14</v>
      </c>
      <c r="C401" s="7811" t="s">
        <v>2917</v>
      </c>
      <c r="D401" s="7811" t="s">
        <v>2918</v>
      </c>
      <c r="E401" s="7811" t="s">
        <v>2919</v>
      </c>
      <c r="F401" s="7811" t="s">
        <v>2222</v>
      </c>
      <c r="G401" s="7811" t="s">
        <v>24</v>
      </c>
      <c r="H401" s="7811" t="s">
        <v>2920</v>
      </c>
      <c r="I401" s="7811" t="s">
        <v>824</v>
      </c>
    </row>
    <row customHeight="1" ht="11.25">
      <c r="A402" s="7811" t="s">
        <v>2171</v>
      </c>
      <c r="B402" s="7811" t="s">
        <v>14</v>
      </c>
      <c r="C402" s="7811" t="s">
        <v>2262</v>
      </c>
      <c r="D402" s="7811" t="s">
        <v>2263</v>
      </c>
      <c r="E402" s="7811" t="s">
        <v>2264</v>
      </c>
      <c r="F402" s="7811" t="s">
        <v>2265</v>
      </c>
      <c r="G402" s="7811" t="s">
        <v>24</v>
      </c>
      <c r="H402" s="7811" t="s">
        <v>24</v>
      </c>
      <c r="I402" s="7811" t="s">
        <v>824</v>
      </c>
    </row>
    <row customHeight="1" ht="11.25">
      <c r="A403" s="7811" t="s">
        <v>2171</v>
      </c>
      <c r="B403" s="7811" t="s">
        <v>14</v>
      </c>
      <c r="C403" s="7811" t="s">
        <v>2921</v>
      </c>
      <c r="D403" s="7811" t="s">
        <v>2922</v>
      </c>
      <c r="E403" s="7811" t="s">
        <v>2923</v>
      </c>
      <c r="F403" s="7811" t="s">
        <v>2453</v>
      </c>
      <c r="G403" s="7811" t="s">
        <v>2924</v>
      </c>
      <c r="H403" s="7811" t="s">
        <v>24</v>
      </c>
      <c r="I403" s="7811" t="s">
        <v>824</v>
      </c>
    </row>
    <row customHeight="1" ht="11.25">
      <c r="A404" s="7811" t="s">
        <v>2171</v>
      </c>
      <c r="B404" s="7811" t="s">
        <v>14</v>
      </c>
      <c r="C404" s="7811" t="s">
        <v>2282</v>
      </c>
      <c r="D404" s="7811" t="s">
        <v>2283</v>
      </c>
      <c r="E404" s="7811" t="s">
        <v>2284</v>
      </c>
      <c r="F404" s="7811" t="s">
        <v>2179</v>
      </c>
      <c r="G404" s="7811" t="s">
        <v>24</v>
      </c>
      <c r="H404" s="7811" t="s">
        <v>24</v>
      </c>
      <c r="I404" s="7811" t="s">
        <v>824</v>
      </c>
    </row>
    <row customHeight="1" ht="11.25">
      <c r="A405" s="7811" t="s">
        <v>2171</v>
      </c>
      <c r="B405" s="7811" t="s">
        <v>14</v>
      </c>
      <c r="C405" s="7811" t="s">
        <v>3313</v>
      </c>
      <c r="D405" s="7811" t="s">
        <v>3314</v>
      </c>
      <c r="E405" s="7811" t="s">
        <v>3315</v>
      </c>
      <c r="F405" s="7811" t="s">
        <v>2727</v>
      </c>
      <c r="G405" s="7811" t="s">
        <v>3316</v>
      </c>
      <c r="H405" s="7811" t="s">
        <v>24</v>
      </c>
      <c r="I405" s="7811" t="s">
        <v>824</v>
      </c>
    </row>
    <row customHeight="1" ht="11.25">
      <c r="A406" s="7811" t="s">
        <v>2171</v>
      </c>
      <c r="B406" s="7811" t="s">
        <v>14</v>
      </c>
      <c r="C406" s="7811" t="s">
        <v>2951</v>
      </c>
      <c r="D406" s="7811" t="s">
        <v>2952</v>
      </c>
      <c r="E406" s="7811" t="s">
        <v>2953</v>
      </c>
      <c r="F406" s="7811" t="s">
        <v>2281</v>
      </c>
      <c r="G406" s="7811" t="s">
        <v>2697</v>
      </c>
      <c r="H406" s="7811" t="s">
        <v>24</v>
      </c>
      <c r="I406" s="7811" t="s">
        <v>824</v>
      </c>
    </row>
    <row customHeight="1" ht="11.25">
      <c r="A407" s="7811" t="s">
        <v>2171</v>
      </c>
      <c r="B407" s="7811" t="s">
        <v>14</v>
      </c>
      <c r="C407" s="7811" t="s">
        <v>2307</v>
      </c>
      <c r="D407" s="7811" t="s">
        <v>2308</v>
      </c>
      <c r="E407" s="7811" t="s">
        <v>2309</v>
      </c>
      <c r="F407" s="7811" t="s">
        <v>2310</v>
      </c>
      <c r="G407" s="7811" t="s">
        <v>24</v>
      </c>
      <c r="H407" s="7811" t="s">
        <v>24</v>
      </c>
      <c r="I407" s="7811" t="s">
        <v>824</v>
      </c>
    </row>
    <row customHeight="1" ht="11.25">
      <c r="A408" s="7811" t="s">
        <v>2171</v>
      </c>
      <c r="B408" s="7811" t="s">
        <v>14</v>
      </c>
      <c r="C408" s="7811" t="s">
        <v>2961</v>
      </c>
      <c r="D408" s="7811" t="s">
        <v>2962</v>
      </c>
      <c r="E408" s="7811" t="s">
        <v>2963</v>
      </c>
      <c r="F408" s="7811" t="s">
        <v>2416</v>
      </c>
      <c r="G408" s="7811" t="s">
        <v>24</v>
      </c>
      <c r="H408" s="7811" t="s">
        <v>24</v>
      </c>
      <c r="I408" s="7811" t="s">
        <v>824</v>
      </c>
    </row>
    <row customHeight="1" ht="11.25">
      <c r="A409" s="7811" t="s">
        <v>2171</v>
      </c>
      <c r="B409" s="7811" t="s">
        <v>14</v>
      </c>
      <c r="C409" s="7811" t="s">
        <v>2968</v>
      </c>
      <c r="D409" s="7811" t="s">
        <v>2969</v>
      </c>
      <c r="E409" s="7811" t="s">
        <v>2970</v>
      </c>
      <c r="F409" s="7811" t="s">
        <v>2281</v>
      </c>
      <c r="G409" s="7811" t="s">
        <v>24</v>
      </c>
      <c r="H409" s="7811" t="s">
        <v>2971</v>
      </c>
      <c r="I409" s="7811" t="s">
        <v>824</v>
      </c>
    </row>
    <row customHeight="1" ht="11.25">
      <c r="A410" s="7811" t="s">
        <v>2171</v>
      </c>
      <c r="B410" s="7811" t="s">
        <v>14</v>
      </c>
      <c r="C410" s="7811" t="s">
        <v>2977</v>
      </c>
      <c r="D410" s="7811" t="s">
        <v>2969</v>
      </c>
      <c r="E410" s="7811" t="s">
        <v>2978</v>
      </c>
      <c r="F410" s="7811" t="s">
        <v>2979</v>
      </c>
      <c r="G410" s="7811" t="s">
        <v>24</v>
      </c>
      <c r="H410" s="7811" t="s">
        <v>24</v>
      </c>
      <c r="I410" s="7811" t="s">
        <v>824</v>
      </c>
    </row>
    <row customHeight="1" ht="11.25">
      <c r="A411" s="7811" t="s">
        <v>2171</v>
      </c>
      <c r="B411" s="7811" t="s">
        <v>14</v>
      </c>
      <c r="C411" s="7811" t="s">
        <v>2992</v>
      </c>
      <c r="D411" s="7811" t="s">
        <v>2993</v>
      </c>
      <c r="E411" s="7811" t="s">
        <v>2994</v>
      </c>
      <c r="F411" s="7811" t="s">
        <v>2258</v>
      </c>
      <c r="G411" s="7811" t="s">
        <v>24</v>
      </c>
      <c r="H411" s="7811" t="s">
        <v>24</v>
      </c>
      <c r="I411" s="7811" t="s">
        <v>824</v>
      </c>
    </row>
    <row customHeight="1" ht="11.25">
      <c r="A412" s="7811" t="s">
        <v>2171</v>
      </c>
      <c r="B412" s="7811" t="s">
        <v>14</v>
      </c>
      <c r="C412" s="7811" t="s">
        <v>2999</v>
      </c>
      <c r="D412" s="7811" t="s">
        <v>3000</v>
      </c>
      <c r="E412" s="7811" t="s">
        <v>3001</v>
      </c>
      <c r="F412" s="7811" t="s">
        <v>2416</v>
      </c>
      <c r="G412" s="7811" t="s">
        <v>24</v>
      </c>
      <c r="H412" s="7811" t="s">
        <v>24</v>
      </c>
      <c r="I412" s="7811" t="s">
        <v>824</v>
      </c>
    </row>
    <row customHeight="1" ht="11.25">
      <c r="A413" s="7811" t="s">
        <v>2171</v>
      </c>
      <c r="B413" s="7811" t="s">
        <v>14</v>
      </c>
      <c r="C413" s="7811" t="s">
        <v>3006</v>
      </c>
      <c r="D413" s="7811" t="s">
        <v>3007</v>
      </c>
      <c r="E413" s="7811" t="s">
        <v>3008</v>
      </c>
      <c r="F413" s="7811" t="s">
        <v>3009</v>
      </c>
      <c r="G413" s="7811" t="s">
        <v>3010</v>
      </c>
      <c r="H413" s="7811" t="s">
        <v>24</v>
      </c>
      <c r="I413" s="7811" t="s">
        <v>824</v>
      </c>
    </row>
    <row customHeight="1" ht="11.25">
      <c r="A414" s="7811" t="s">
        <v>2171</v>
      </c>
      <c r="B414" s="7811" t="s">
        <v>14</v>
      </c>
      <c r="C414" s="7811" t="s">
        <v>3015</v>
      </c>
      <c r="D414" s="7811" t="s">
        <v>3016</v>
      </c>
      <c r="E414" s="7811" t="s">
        <v>3017</v>
      </c>
      <c r="F414" s="7811" t="s">
        <v>2680</v>
      </c>
      <c r="G414" s="7811" t="s">
        <v>24</v>
      </c>
      <c r="H414" s="7811" t="s">
        <v>24</v>
      </c>
      <c r="I414" s="7811" t="s">
        <v>824</v>
      </c>
    </row>
    <row customHeight="1" ht="11.25">
      <c r="A415" s="7811" t="s">
        <v>2171</v>
      </c>
      <c r="B415" s="7811" t="s">
        <v>14</v>
      </c>
      <c r="C415" s="7811" t="s">
        <v>3018</v>
      </c>
      <c r="D415" s="7811" t="s">
        <v>3019</v>
      </c>
      <c r="E415" s="7811" t="s">
        <v>3020</v>
      </c>
      <c r="F415" s="7811" t="s">
        <v>2680</v>
      </c>
      <c r="G415" s="7811" t="s">
        <v>24</v>
      </c>
      <c r="H415" s="7811" t="s">
        <v>2375</v>
      </c>
      <c r="I415" s="7811" t="s">
        <v>824</v>
      </c>
    </row>
    <row customHeight="1" ht="11.25">
      <c r="A416" s="7811" t="s">
        <v>2171</v>
      </c>
      <c r="B416" s="7811" t="s">
        <v>14</v>
      </c>
      <c r="C416" s="7811" t="s">
        <v>3027</v>
      </c>
      <c r="D416" s="7811" t="s">
        <v>3028</v>
      </c>
      <c r="E416" s="7811" t="s">
        <v>3029</v>
      </c>
      <c r="F416" s="7811" t="s">
        <v>2396</v>
      </c>
      <c r="G416" s="7811" t="s">
        <v>3030</v>
      </c>
      <c r="H416" s="7811" t="s">
        <v>24</v>
      </c>
      <c r="I416" s="7811" t="s">
        <v>824</v>
      </c>
    </row>
    <row customHeight="1" ht="11.25">
      <c r="A417" s="7811" t="s">
        <v>2171</v>
      </c>
      <c r="B417" s="7811" t="s">
        <v>14</v>
      </c>
      <c r="C417" s="7811" t="s">
        <v>2387</v>
      </c>
      <c r="D417" s="7811" t="s">
        <v>2388</v>
      </c>
      <c r="E417" s="7811" t="s">
        <v>2389</v>
      </c>
      <c r="F417" s="7811" t="s">
        <v>2227</v>
      </c>
      <c r="G417" s="7811" t="s">
        <v>24</v>
      </c>
      <c r="H417" s="7811" t="s">
        <v>24</v>
      </c>
      <c r="I417" s="7811" t="s">
        <v>824</v>
      </c>
    </row>
    <row customHeight="1" ht="11.25">
      <c r="A418" s="7811" t="s">
        <v>2171</v>
      </c>
      <c r="B418" s="7811" t="s">
        <v>14</v>
      </c>
      <c r="C418" s="7811" t="s">
        <v>3060</v>
      </c>
      <c r="D418" s="7811" t="s">
        <v>3061</v>
      </c>
      <c r="E418" s="7811" t="s">
        <v>3062</v>
      </c>
      <c r="F418" s="7811" t="s">
        <v>2424</v>
      </c>
      <c r="G418" s="7811" t="s">
        <v>24</v>
      </c>
      <c r="H418" s="7811" t="s">
        <v>24</v>
      </c>
      <c r="I418" s="7811" t="s">
        <v>824</v>
      </c>
    </row>
    <row customHeight="1" ht="11.25">
      <c r="A419" s="7811" t="s">
        <v>2171</v>
      </c>
      <c r="B419" s="7811" t="s">
        <v>14</v>
      </c>
      <c r="C419" s="7811" t="s">
        <v>2397</v>
      </c>
      <c r="D419" s="7811" t="s">
        <v>2398</v>
      </c>
      <c r="E419" s="7811" t="s">
        <v>2399</v>
      </c>
      <c r="F419" s="7811" t="s">
        <v>2400</v>
      </c>
      <c r="G419" s="7811" t="s">
        <v>24</v>
      </c>
      <c r="H419" s="7811" t="s">
        <v>24</v>
      </c>
      <c r="I419" s="7811" t="s">
        <v>824</v>
      </c>
    </row>
    <row customHeight="1" ht="11.25">
      <c r="A420" s="7811" t="s">
        <v>2171</v>
      </c>
      <c r="B420" s="7811" t="s">
        <v>14</v>
      </c>
      <c r="C420" s="7811" t="s">
        <v>3070</v>
      </c>
      <c r="D420" s="7811" t="s">
        <v>3071</v>
      </c>
      <c r="E420" s="7811" t="s">
        <v>3072</v>
      </c>
      <c r="F420" s="7811" t="s">
        <v>2756</v>
      </c>
      <c r="G420" s="7811" t="s">
        <v>3073</v>
      </c>
      <c r="H420" s="7811" t="s">
        <v>24</v>
      </c>
      <c r="I420" s="7811" t="s">
        <v>824</v>
      </c>
    </row>
    <row customHeight="1" ht="11.25">
      <c r="A421" s="7811" t="s">
        <v>2171</v>
      </c>
      <c r="B421" s="7811" t="s">
        <v>14</v>
      </c>
      <c r="C421" s="7811" t="s">
        <v>3077</v>
      </c>
      <c r="D421" s="7811" t="s">
        <v>3078</v>
      </c>
      <c r="E421" s="7811" t="s">
        <v>3079</v>
      </c>
      <c r="F421" s="7811" t="s">
        <v>2412</v>
      </c>
      <c r="G421" s="7811" t="s">
        <v>24</v>
      </c>
      <c r="H421" s="7811" t="s">
        <v>24</v>
      </c>
      <c r="I421" s="7811" t="s">
        <v>824</v>
      </c>
    </row>
    <row customHeight="1" ht="11.25">
      <c r="A422" s="7811" t="s">
        <v>2171</v>
      </c>
      <c r="B422" s="7811" t="s">
        <v>14</v>
      </c>
      <c r="C422" s="7811" t="s">
        <v>3080</v>
      </c>
      <c r="D422" s="7811" t="s">
        <v>3081</v>
      </c>
      <c r="E422" s="7811" t="s">
        <v>3082</v>
      </c>
      <c r="F422" s="7811" t="s">
        <v>3083</v>
      </c>
      <c r="G422" s="7811" t="s">
        <v>3084</v>
      </c>
      <c r="H422" s="7811" t="s">
        <v>24</v>
      </c>
      <c r="I422" s="7811" t="s">
        <v>824</v>
      </c>
    </row>
    <row customHeight="1" ht="11.25">
      <c r="A423" s="7811" t="s">
        <v>2171</v>
      </c>
      <c r="B423" s="7811" t="s">
        <v>14</v>
      </c>
      <c r="C423" s="7811" t="s">
        <v>3088</v>
      </c>
      <c r="D423" s="7811" t="s">
        <v>3089</v>
      </c>
      <c r="E423" s="7811" t="s">
        <v>3090</v>
      </c>
      <c r="F423" s="7811" t="s">
        <v>2462</v>
      </c>
      <c r="G423" s="7811" t="s">
        <v>3091</v>
      </c>
      <c r="H423" s="7811" t="s">
        <v>24</v>
      </c>
      <c r="I423" s="7811" t="s">
        <v>824</v>
      </c>
    </row>
    <row customHeight="1" ht="11.25">
      <c r="A424" s="7811" t="s">
        <v>2171</v>
      </c>
      <c r="B424" s="7811" t="s">
        <v>14</v>
      </c>
      <c r="C424" s="7811" t="s">
        <v>2406</v>
      </c>
      <c r="D424" s="7811" t="s">
        <v>2407</v>
      </c>
      <c r="E424" s="7811" t="s">
        <v>2408</v>
      </c>
      <c r="F424" s="7811" t="s">
        <v>2296</v>
      </c>
      <c r="G424" s="7811" t="s">
        <v>24</v>
      </c>
      <c r="H424" s="7811" t="s">
        <v>24</v>
      </c>
      <c r="I424" s="7811" t="s">
        <v>824</v>
      </c>
    </row>
    <row customHeight="1" ht="11.25">
      <c r="A425" s="7811" t="s">
        <v>2171</v>
      </c>
      <c r="B425" s="7811" t="s">
        <v>14</v>
      </c>
      <c r="C425" s="7811" t="s">
        <v>3317</v>
      </c>
      <c r="D425" s="7811" t="s">
        <v>3318</v>
      </c>
      <c r="E425" s="7811" t="s">
        <v>3319</v>
      </c>
      <c r="F425" s="7811" t="s">
        <v>2240</v>
      </c>
      <c r="G425" s="7811" t="s">
        <v>24</v>
      </c>
      <c r="H425" s="7811" t="s">
        <v>3320</v>
      </c>
      <c r="I425" s="7811" t="s">
        <v>824</v>
      </c>
    </row>
    <row customHeight="1" ht="11.25">
      <c r="A426" s="7811" t="s">
        <v>2171</v>
      </c>
      <c r="B426" s="7811" t="s">
        <v>14</v>
      </c>
      <c r="C426" s="7811" t="s">
        <v>3111</v>
      </c>
      <c r="D426" s="7811" t="s">
        <v>3112</v>
      </c>
      <c r="E426" s="7811" t="s">
        <v>3113</v>
      </c>
      <c r="F426" s="7811" t="s">
        <v>2292</v>
      </c>
      <c r="G426" s="7811" t="s">
        <v>24</v>
      </c>
      <c r="H426" s="7811" t="s">
        <v>24</v>
      </c>
      <c r="I426" s="7811" t="s">
        <v>824</v>
      </c>
    </row>
    <row customHeight="1" ht="11.25">
      <c r="A427" s="7811" t="s">
        <v>2171</v>
      </c>
      <c r="B427" s="7811" t="s">
        <v>14</v>
      </c>
      <c r="C427" s="7811" t="s">
        <v>3114</v>
      </c>
      <c r="D427" s="7811" t="s">
        <v>3115</v>
      </c>
      <c r="E427" s="7811" t="s">
        <v>3116</v>
      </c>
      <c r="F427" s="7811" t="s">
        <v>2383</v>
      </c>
      <c r="G427" s="7811" t="s">
        <v>24</v>
      </c>
      <c r="H427" s="7811" t="s">
        <v>24</v>
      </c>
      <c r="I427" s="7811" t="s">
        <v>824</v>
      </c>
    </row>
    <row customHeight="1" ht="11.25">
      <c r="A428" s="7811" t="s">
        <v>2171</v>
      </c>
      <c r="B428" s="7811" t="s">
        <v>14</v>
      </c>
      <c r="C428" s="7811" t="s">
        <v>3117</v>
      </c>
      <c r="D428" s="7811" t="s">
        <v>3118</v>
      </c>
      <c r="E428" s="7811" t="s">
        <v>3119</v>
      </c>
      <c r="F428" s="7811" t="s">
        <v>2213</v>
      </c>
      <c r="G428" s="7811" t="s">
        <v>24</v>
      </c>
      <c r="H428" s="7811" t="s">
        <v>24</v>
      </c>
      <c r="I428" s="7811" t="s">
        <v>824</v>
      </c>
    </row>
    <row customHeight="1" ht="11.25">
      <c r="A429" s="7811" t="s">
        <v>2171</v>
      </c>
      <c r="B429" s="7811" t="s">
        <v>14</v>
      </c>
      <c r="C429" s="7811" t="s">
        <v>3120</v>
      </c>
      <c r="D429" s="7811" t="s">
        <v>3121</v>
      </c>
      <c r="E429" s="7811" t="s">
        <v>3122</v>
      </c>
      <c r="F429" s="7811" t="s">
        <v>2435</v>
      </c>
      <c r="G429" s="7811" t="s">
        <v>24</v>
      </c>
      <c r="H429" s="7811" t="s">
        <v>24</v>
      </c>
      <c r="I429" s="7811" t="s">
        <v>824</v>
      </c>
    </row>
    <row customHeight="1" ht="11.25">
      <c r="A430" s="7811" t="s">
        <v>2171</v>
      </c>
      <c r="B430" s="7811" t="s">
        <v>14</v>
      </c>
      <c r="C430" s="7811" t="s">
        <v>3123</v>
      </c>
      <c r="D430" s="7811" t="s">
        <v>3124</v>
      </c>
      <c r="E430" s="7811" t="s">
        <v>3125</v>
      </c>
      <c r="F430" s="7811" t="s">
        <v>2435</v>
      </c>
      <c r="G430" s="7811" t="s">
        <v>24</v>
      </c>
      <c r="H430" s="7811" t="s">
        <v>24</v>
      </c>
      <c r="I430" s="7811" t="s">
        <v>824</v>
      </c>
    </row>
    <row customHeight="1" ht="11.25">
      <c r="A431" s="7811" t="s">
        <v>2171</v>
      </c>
      <c r="B431" s="7811" t="s">
        <v>14</v>
      </c>
      <c r="C431" s="7811" t="s">
        <v>3130</v>
      </c>
      <c r="D431" s="7811" t="s">
        <v>3131</v>
      </c>
      <c r="E431" s="7811" t="s">
        <v>3132</v>
      </c>
      <c r="F431" s="7811" t="s">
        <v>2288</v>
      </c>
      <c r="G431" s="7811" t="s">
        <v>24</v>
      </c>
      <c r="H431" s="7811" t="s">
        <v>3133</v>
      </c>
      <c r="I431" s="7811" t="s">
        <v>824</v>
      </c>
    </row>
    <row customHeight="1" ht="11.25">
      <c r="A432" s="7811" t="s">
        <v>2171</v>
      </c>
      <c r="B432" s="7811" t="s">
        <v>14</v>
      </c>
      <c r="C432" s="7811" t="s">
        <v>2454</v>
      </c>
      <c r="D432" s="7811" t="s">
        <v>2455</v>
      </c>
      <c r="E432" s="7811" t="s">
        <v>2456</v>
      </c>
      <c r="F432" s="7811" t="s">
        <v>2457</v>
      </c>
      <c r="G432" s="7811" t="s">
        <v>24</v>
      </c>
      <c r="H432" s="7811" t="s">
        <v>2458</v>
      </c>
      <c r="I432" s="7811" t="s">
        <v>824</v>
      </c>
    </row>
    <row customHeight="1" ht="11.25">
      <c r="A433" s="7811" t="s">
        <v>2171</v>
      </c>
      <c r="B433" s="7811" t="s">
        <v>14</v>
      </c>
      <c r="C433" s="7811" t="s">
        <v>3134</v>
      </c>
      <c r="D433" s="7811" t="s">
        <v>3135</v>
      </c>
      <c r="E433" s="7811" t="s">
        <v>3136</v>
      </c>
      <c r="F433" s="7811" t="s">
        <v>3009</v>
      </c>
      <c r="G433" s="7811" t="s">
        <v>3137</v>
      </c>
      <c r="H433" s="7811" t="s">
        <v>2375</v>
      </c>
      <c r="I433" s="7811" t="s">
        <v>824</v>
      </c>
    </row>
    <row customHeight="1" ht="11.25">
      <c r="A434" s="7811" t="s">
        <v>2171</v>
      </c>
      <c r="B434" s="7811" t="s">
        <v>14</v>
      </c>
      <c r="C434" s="7811" t="s">
        <v>3138</v>
      </c>
      <c r="D434" s="7811" t="s">
        <v>3135</v>
      </c>
      <c r="E434" s="7811" t="s">
        <v>3139</v>
      </c>
      <c r="F434" s="7811" t="s">
        <v>2310</v>
      </c>
      <c r="G434" s="7811" t="s">
        <v>24</v>
      </c>
      <c r="H434" s="7811" t="s">
        <v>24</v>
      </c>
      <c r="I434" s="7811" t="s">
        <v>824</v>
      </c>
    </row>
    <row customHeight="1" ht="11.25">
      <c r="A435" s="7811" t="s">
        <v>2171</v>
      </c>
      <c r="B435" s="7811" t="s">
        <v>14</v>
      </c>
      <c r="C435" s="7811" t="s">
        <v>3321</v>
      </c>
      <c r="D435" s="7811" t="s">
        <v>3322</v>
      </c>
      <c r="E435" s="7811" t="s">
        <v>3323</v>
      </c>
      <c r="F435" s="7811" t="s">
        <v>2222</v>
      </c>
      <c r="G435" s="7811" t="s">
        <v>3324</v>
      </c>
      <c r="H435" s="7811" t="s">
        <v>24</v>
      </c>
      <c r="I435" s="7811" t="s">
        <v>824</v>
      </c>
    </row>
    <row customHeight="1" ht="11.25">
      <c r="A436" s="7811" t="s">
        <v>2171</v>
      </c>
      <c r="B436" s="7811" t="s">
        <v>14</v>
      </c>
      <c r="C436" s="7811" t="s">
        <v>2476</v>
      </c>
      <c r="D436" s="7811" t="s">
        <v>2477</v>
      </c>
      <c r="E436" s="7811" t="s">
        <v>2478</v>
      </c>
      <c r="F436" s="7811" t="s">
        <v>2383</v>
      </c>
      <c r="G436" s="7811" t="s">
        <v>24</v>
      </c>
      <c r="H436" s="7811" t="s">
        <v>24</v>
      </c>
      <c r="I436" s="7811" t="s">
        <v>824</v>
      </c>
    </row>
    <row customHeight="1" ht="11.25">
      <c r="A437" s="7811" t="s">
        <v>2171</v>
      </c>
      <c r="B437" s="7811" t="s">
        <v>14</v>
      </c>
      <c r="C437" s="7811" t="s">
        <v>3325</v>
      </c>
      <c r="D437" s="7811" t="s">
        <v>3326</v>
      </c>
      <c r="E437" s="7811" t="s">
        <v>3327</v>
      </c>
      <c r="F437" s="7811" t="s">
        <v>2453</v>
      </c>
      <c r="G437" s="7811" t="s">
        <v>24</v>
      </c>
      <c r="H437" s="7811" t="s">
        <v>3328</v>
      </c>
      <c r="I437" s="7811" t="s">
        <v>824</v>
      </c>
    </row>
    <row customHeight="1" ht="11.25">
      <c r="A438" s="7811" t="s">
        <v>2171</v>
      </c>
      <c r="B438" s="7811" t="s">
        <v>14</v>
      </c>
      <c r="C438" s="7811" t="s">
        <v>3140</v>
      </c>
      <c r="D438" s="7811" t="s">
        <v>3141</v>
      </c>
      <c r="E438" s="7811" t="s">
        <v>3142</v>
      </c>
      <c r="F438" s="7811" t="s">
        <v>2288</v>
      </c>
      <c r="G438" s="7811" t="s">
        <v>24</v>
      </c>
      <c r="H438" s="7811" t="s">
        <v>24</v>
      </c>
      <c r="I438" s="7811" t="s">
        <v>824</v>
      </c>
    </row>
    <row customHeight="1" ht="11.25">
      <c r="A439" s="7811" t="s">
        <v>2171</v>
      </c>
      <c r="B439" s="7811" t="s">
        <v>14</v>
      </c>
      <c r="C439" s="7811" t="s">
        <v>3329</v>
      </c>
      <c r="D439" s="7811" t="s">
        <v>3330</v>
      </c>
      <c r="E439" s="7811" t="s">
        <v>3331</v>
      </c>
      <c r="F439" s="7811" t="s">
        <v>2179</v>
      </c>
      <c r="G439" s="7811" t="s">
        <v>24</v>
      </c>
      <c r="H439" s="7811" t="s">
        <v>24</v>
      </c>
      <c r="I439" s="7811" t="s">
        <v>824</v>
      </c>
    </row>
    <row customHeight="1" ht="11.25">
      <c r="A440" s="7811" t="s">
        <v>2171</v>
      </c>
      <c r="B440" s="7811" t="s">
        <v>14</v>
      </c>
      <c r="C440" s="7811" t="s">
        <v>3143</v>
      </c>
      <c r="D440" s="7811" t="s">
        <v>3144</v>
      </c>
      <c r="E440" s="7811" t="s">
        <v>3145</v>
      </c>
      <c r="F440" s="7811" t="s">
        <v>2213</v>
      </c>
      <c r="G440" s="7811" t="s">
        <v>3146</v>
      </c>
      <c r="H440" s="7811" t="s">
        <v>24</v>
      </c>
      <c r="I440" s="7811" t="s">
        <v>824</v>
      </c>
    </row>
    <row customHeight="1" ht="11.25">
      <c r="A441" s="7811" t="s">
        <v>2171</v>
      </c>
      <c r="B441" s="7811" t="s">
        <v>14</v>
      </c>
      <c r="C441" s="7811" t="s">
        <v>3147</v>
      </c>
      <c r="D441" s="7811" t="s">
        <v>3148</v>
      </c>
      <c r="E441" s="7811" t="s">
        <v>3149</v>
      </c>
      <c r="F441" s="7811" t="s">
        <v>2756</v>
      </c>
      <c r="G441" s="7811" t="s">
        <v>24</v>
      </c>
      <c r="H441" s="7811" t="s">
        <v>2549</v>
      </c>
      <c r="I441" s="7811" t="s">
        <v>824</v>
      </c>
    </row>
    <row customHeight="1" ht="11.25">
      <c r="A442" s="7811" t="s">
        <v>2171</v>
      </c>
      <c r="B442" s="7811" t="s">
        <v>14</v>
      </c>
      <c r="C442" s="7811" t="s">
        <v>3150</v>
      </c>
      <c r="D442" s="7811" t="s">
        <v>3151</v>
      </c>
      <c r="E442" s="7811" t="s">
        <v>3152</v>
      </c>
      <c r="F442" s="7811" t="s">
        <v>2756</v>
      </c>
      <c r="G442" s="7811" t="s">
        <v>24</v>
      </c>
      <c r="H442" s="7811" t="s">
        <v>24</v>
      </c>
      <c r="I442" s="7811" t="s">
        <v>824</v>
      </c>
    </row>
    <row customHeight="1" ht="11.25">
      <c r="A443" s="7811" t="s">
        <v>2171</v>
      </c>
      <c r="B443" s="7811" t="s">
        <v>14</v>
      </c>
      <c r="C443" s="7811" t="s">
        <v>3332</v>
      </c>
      <c r="D443" s="7811" t="s">
        <v>3333</v>
      </c>
      <c r="E443" s="7811" t="s">
        <v>3334</v>
      </c>
      <c r="F443" s="7811" t="s">
        <v>2258</v>
      </c>
      <c r="G443" s="7811" t="s">
        <v>24</v>
      </c>
      <c r="H443" s="7811" t="s">
        <v>2549</v>
      </c>
      <c r="I443" s="7811" t="s">
        <v>824</v>
      </c>
    </row>
    <row customHeight="1" ht="11.25">
      <c r="A444" s="7811" t="s">
        <v>2171</v>
      </c>
      <c r="B444" s="7811" t="s">
        <v>14</v>
      </c>
      <c r="C444" s="7811" t="s">
        <v>3153</v>
      </c>
      <c r="D444" s="7811" t="s">
        <v>3154</v>
      </c>
      <c r="E444" s="7811" t="s">
        <v>3155</v>
      </c>
      <c r="F444" s="7811" t="s">
        <v>2727</v>
      </c>
      <c r="G444" s="7811" t="s">
        <v>24</v>
      </c>
      <c r="H444" s="7811" t="s">
        <v>24</v>
      </c>
      <c r="I444" s="7811" t="s">
        <v>824</v>
      </c>
    </row>
    <row customHeight="1" ht="11.25">
      <c r="A445" s="7811" t="s">
        <v>2171</v>
      </c>
      <c r="B445" s="7811" t="s">
        <v>14</v>
      </c>
      <c r="C445" s="7811" t="s">
        <v>3335</v>
      </c>
      <c r="D445" s="7811" t="s">
        <v>3336</v>
      </c>
      <c r="E445" s="7811" t="s">
        <v>3337</v>
      </c>
      <c r="F445" s="7811" t="s">
        <v>3338</v>
      </c>
      <c r="G445" s="7811" t="s">
        <v>24</v>
      </c>
      <c r="H445" s="7811" t="s">
        <v>24</v>
      </c>
      <c r="I445" s="7811" t="s">
        <v>824</v>
      </c>
    </row>
    <row customHeight="1" ht="11.25">
      <c r="A446" s="7811" t="s">
        <v>2171</v>
      </c>
      <c r="B446" s="7811" t="s">
        <v>14</v>
      </c>
      <c r="C446" s="7811" t="s">
        <v>3156</v>
      </c>
      <c r="D446" s="7811" t="s">
        <v>3157</v>
      </c>
      <c r="E446" s="7811" t="s">
        <v>3158</v>
      </c>
      <c r="F446" s="7811" t="s">
        <v>2349</v>
      </c>
      <c r="G446" s="7811" t="s">
        <v>24</v>
      </c>
      <c r="H446" s="7811" t="s">
        <v>2549</v>
      </c>
      <c r="I446" s="7811" t="s">
        <v>824</v>
      </c>
    </row>
    <row customHeight="1" ht="11.25">
      <c r="A447" s="7811" t="s">
        <v>2171</v>
      </c>
      <c r="B447" s="7811" t="s">
        <v>14</v>
      </c>
      <c r="C447" s="7811" t="s">
        <v>3159</v>
      </c>
      <c r="D447" s="7811" t="s">
        <v>3160</v>
      </c>
      <c r="E447" s="7811" t="s">
        <v>3161</v>
      </c>
      <c r="F447" s="7811" t="s">
        <v>2310</v>
      </c>
      <c r="G447" s="7811" t="s">
        <v>3162</v>
      </c>
      <c r="H447" s="7811" t="s">
        <v>24</v>
      </c>
      <c r="I447" s="7811" t="s">
        <v>824</v>
      </c>
    </row>
    <row customHeight="1" ht="11.25">
      <c r="A448" s="7811" t="s">
        <v>2171</v>
      </c>
      <c r="B448" s="7811" t="s">
        <v>14</v>
      </c>
      <c r="C448" s="7811" t="s">
        <v>3173</v>
      </c>
      <c r="D448" s="7811" t="s">
        <v>3174</v>
      </c>
      <c r="E448" s="7811" t="s">
        <v>3175</v>
      </c>
      <c r="F448" s="7811" t="s">
        <v>2466</v>
      </c>
      <c r="G448" s="7811" t="s">
        <v>3176</v>
      </c>
      <c r="H448" s="7811" t="s">
        <v>2375</v>
      </c>
      <c r="I448" s="7811" t="s">
        <v>824</v>
      </c>
    </row>
    <row customHeight="1" ht="11.25">
      <c r="A449" s="7811" t="s">
        <v>2171</v>
      </c>
      <c r="B449" s="7811" t="s">
        <v>14</v>
      </c>
      <c r="C449" s="7811" t="s">
        <v>3186</v>
      </c>
      <c r="D449" s="7811" t="s">
        <v>3187</v>
      </c>
      <c r="E449" s="7811" t="s">
        <v>3188</v>
      </c>
      <c r="F449" s="7811" t="s">
        <v>3189</v>
      </c>
      <c r="G449" s="7811" t="s">
        <v>24</v>
      </c>
      <c r="H449" s="7811" t="s">
        <v>24</v>
      </c>
      <c r="I449" s="7811" t="s">
        <v>824</v>
      </c>
    </row>
    <row customHeight="1" ht="11.25">
      <c r="A450" s="7811" t="s">
        <v>2171</v>
      </c>
      <c r="B450" s="7811" t="s">
        <v>14</v>
      </c>
      <c r="C450" s="7811" t="s">
        <v>3190</v>
      </c>
      <c r="D450" s="7811" t="s">
        <v>3191</v>
      </c>
      <c r="E450" s="7811" t="s">
        <v>3192</v>
      </c>
      <c r="F450" s="7811" t="s">
        <v>2310</v>
      </c>
      <c r="G450" s="7811" t="s">
        <v>3193</v>
      </c>
      <c r="H450" s="7811" t="s">
        <v>24</v>
      </c>
      <c r="I450" s="7811" t="s">
        <v>824</v>
      </c>
    </row>
    <row customHeight="1" ht="11.25">
      <c r="A451" s="7811" t="s">
        <v>2171</v>
      </c>
      <c r="B451" s="7811" t="s">
        <v>14</v>
      </c>
      <c r="C451" s="7811" t="s">
        <v>2566</v>
      </c>
      <c r="D451" s="7811" t="s">
        <v>2567</v>
      </c>
      <c r="E451" s="7811" t="s">
        <v>2568</v>
      </c>
      <c r="F451" s="7811" t="s">
        <v>2310</v>
      </c>
      <c r="G451" s="7811" t="s">
        <v>24</v>
      </c>
      <c r="H451" s="7811" t="s">
        <v>2549</v>
      </c>
      <c r="I451" s="7811" t="s">
        <v>824</v>
      </c>
    </row>
    <row customHeight="1" ht="11.25">
      <c r="A452" s="7811" t="s">
        <v>2171</v>
      </c>
      <c r="B452" s="7811" t="s">
        <v>14</v>
      </c>
      <c r="C452" s="7811" t="s">
        <v>3194</v>
      </c>
      <c r="D452" s="7811" t="s">
        <v>3195</v>
      </c>
      <c r="E452" s="7811" t="s">
        <v>3196</v>
      </c>
      <c r="F452" s="7811" t="s">
        <v>2453</v>
      </c>
      <c r="G452" s="7811" t="s">
        <v>3197</v>
      </c>
      <c r="H452" s="7811" t="s">
        <v>24</v>
      </c>
      <c r="I452" s="7811" t="s">
        <v>824</v>
      </c>
    </row>
    <row customHeight="1" ht="11.25">
      <c r="A453" s="7811" t="s">
        <v>2171</v>
      </c>
      <c r="B453" s="7811" t="s">
        <v>14</v>
      </c>
      <c r="C453" s="7811" t="s">
        <v>3339</v>
      </c>
      <c r="D453" s="7811" t="s">
        <v>3340</v>
      </c>
      <c r="E453" s="7811" t="s">
        <v>3341</v>
      </c>
      <c r="F453" s="7811" t="s">
        <v>2240</v>
      </c>
      <c r="G453" s="7811" t="s">
        <v>24</v>
      </c>
      <c r="H453" s="7811" t="s">
        <v>24</v>
      </c>
      <c r="I453" s="7811" t="s">
        <v>824</v>
      </c>
    </row>
    <row customHeight="1" ht="11.25">
      <c r="A454" s="7811" t="s">
        <v>2171</v>
      </c>
      <c r="B454" s="7811" t="s">
        <v>14</v>
      </c>
      <c r="C454" s="7811" t="s">
        <v>2606</v>
      </c>
      <c r="D454" s="7811" t="s">
        <v>2607</v>
      </c>
      <c r="E454" s="7811" t="s">
        <v>2608</v>
      </c>
      <c r="F454" s="7811" t="s">
        <v>2609</v>
      </c>
      <c r="G454" s="7811" t="s">
        <v>24</v>
      </c>
      <c r="H454" s="7811" t="s">
        <v>24</v>
      </c>
      <c r="I454" s="7811" t="s">
        <v>824</v>
      </c>
    </row>
    <row customHeight="1" ht="11.25">
      <c r="A455" s="7811" t="s">
        <v>2171</v>
      </c>
      <c r="B455" s="7811" t="s">
        <v>14</v>
      </c>
      <c r="C455" s="7811" t="s">
        <v>3220</v>
      </c>
      <c r="D455" s="7811" t="s">
        <v>3221</v>
      </c>
      <c r="E455" s="7811" t="s">
        <v>3222</v>
      </c>
      <c r="F455" s="7811" t="s">
        <v>2349</v>
      </c>
      <c r="G455" s="7811" t="s">
        <v>24</v>
      </c>
      <c r="H455" s="7811" t="s">
        <v>3223</v>
      </c>
      <c r="I455" s="7811" t="s">
        <v>824</v>
      </c>
    </row>
    <row customHeight="1" ht="11.25">
      <c r="A456" s="7811" t="s">
        <v>2171</v>
      </c>
      <c r="B456" s="7811" t="s">
        <v>14</v>
      </c>
      <c r="C456" s="7811" t="s">
        <v>3237</v>
      </c>
      <c r="D456" s="7811" t="s">
        <v>3238</v>
      </c>
      <c r="E456" s="7811" t="s">
        <v>3239</v>
      </c>
      <c r="F456" s="7811" t="s">
        <v>2288</v>
      </c>
      <c r="G456" s="7811" t="s">
        <v>3240</v>
      </c>
      <c r="H456" s="7811" t="s">
        <v>24</v>
      </c>
      <c r="I456" s="7811" t="s">
        <v>824</v>
      </c>
    </row>
    <row customHeight="1" ht="11.25">
      <c r="A457" s="7811" t="s">
        <v>2171</v>
      </c>
      <c r="B457" s="7811" t="s">
        <v>14</v>
      </c>
      <c r="C457" s="7811" t="s">
        <v>3241</v>
      </c>
      <c r="D457" s="7811" t="s">
        <v>3242</v>
      </c>
      <c r="E457" s="7811" t="s">
        <v>3243</v>
      </c>
      <c r="F457" s="7811" t="s">
        <v>2680</v>
      </c>
      <c r="G457" s="7811" t="s">
        <v>24</v>
      </c>
      <c r="H457" s="7811" t="s">
        <v>3244</v>
      </c>
      <c r="I457" s="7811" t="s">
        <v>824</v>
      </c>
    </row>
    <row customHeight="1" ht="11.25">
      <c r="A458" s="7811" t="s">
        <v>2171</v>
      </c>
      <c r="B458" s="7811" t="s">
        <v>14</v>
      </c>
      <c r="C458" s="7811" t="s">
        <v>3342</v>
      </c>
      <c r="D458" s="7811" t="s">
        <v>3343</v>
      </c>
      <c r="E458" s="7811" t="s">
        <v>3344</v>
      </c>
      <c r="F458" s="7811" t="s">
        <v>2856</v>
      </c>
      <c r="G458" s="7811" t="s">
        <v>3345</v>
      </c>
      <c r="H458" s="7811" t="s">
        <v>24</v>
      </c>
      <c r="I458" s="7811" t="s">
        <v>824</v>
      </c>
    </row>
    <row customHeight="1" ht="11.25">
      <c r="A459" s="7811" t="s">
        <v>2171</v>
      </c>
      <c r="B459" s="7811" t="s">
        <v>14</v>
      </c>
      <c r="C459" s="7811" t="s">
        <v>3245</v>
      </c>
      <c r="D459" s="7811" t="s">
        <v>3246</v>
      </c>
      <c r="E459" s="7811" t="s">
        <v>3247</v>
      </c>
      <c r="F459" s="7811" t="s">
        <v>3248</v>
      </c>
      <c r="G459" s="7811" t="s">
        <v>24</v>
      </c>
      <c r="H459" s="7811" t="s">
        <v>24</v>
      </c>
      <c r="I459" s="7811" t="s">
        <v>824</v>
      </c>
    </row>
    <row customHeight="1" ht="11.25">
      <c r="A460" s="7811" t="s">
        <v>2171</v>
      </c>
      <c r="B460" s="7811" t="s">
        <v>14</v>
      </c>
      <c r="C460" s="7811" t="s">
        <v>3346</v>
      </c>
      <c r="D460" s="7811" t="s">
        <v>3347</v>
      </c>
      <c r="E460" s="7811" t="s">
        <v>3348</v>
      </c>
      <c r="F460" s="7811" t="s">
        <v>2449</v>
      </c>
      <c r="G460" s="7811" t="s">
        <v>3349</v>
      </c>
      <c r="H460" s="7811" t="s">
        <v>24</v>
      </c>
      <c r="I460" s="7811" t="s">
        <v>824</v>
      </c>
    </row>
    <row customHeight="1" ht="11.25">
      <c r="A461" s="7811" t="s">
        <v>2171</v>
      </c>
      <c r="B461" s="7811" t="s">
        <v>14</v>
      </c>
      <c r="C461" s="7811" t="s">
        <v>3350</v>
      </c>
      <c r="D461" s="7811" t="s">
        <v>3351</v>
      </c>
      <c r="E461" s="7811" t="s">
        <v>3352</v>
      </c>
      <c r="F461" s="7811" t="s">
        <v>2258</v>
      </c>
      <c r="G461" s="7811" t="s">
        <v>3353</v>
      </c>
      <c r="H461" s="7811" t="s">
        <v>24</v>
      </c>
      <c r="I461" s="7811" t="s">
        <v>824</v>
      </c>
    </row>
    <row customHeight="1" ht="11.25">
      <c r="A462" s="7811" t="s">
        <v>2171</v>
      </c>
      <c r="B462" s="7811" t="s">
        <v>14</v>
      </c>
      <c r="C462" s="7811" t="s">
        <v>2784</v>
      </c>
      <c r="D462" s="7811" t="s">
        <v>2785</v>
      </c>
      <c r="E462" s="7811" t="s">
        <v>2786</v>
      </c>
      <c r="F462" s="7811" t="s">
        <v>2435</v>
      </c>
      <c r="G462" s="7811" t="s">
        <v>24</v>
      </c>
      <c r="H462" s="7811" t="s">
        <v>24</v>
      </c>
      <c r="I462" s="7811" t="s">
        <v>824</v>
      </c>
    </row>
    <row customHeight="1" ht="11.25">
      <c r="A463" s="7811" t="s">
        <v>2171</v>
      </c>
      <c r="B463" s="7811" t="s">
        <v>14</v>
      </c>
      <c r="C463" s="7811" t="s">
        <v>2791</v>
      </c>
      <c r="D463" s="7811" t="s">
        <v>2792</v>
      </c>
      <c r="E463" s="7811" t="s">
        <v>2793</v>
      </c>
      <c r="F463" s="7811" t="s">
        <v>2457</v>
      </c>
      <c r="G463" s="7811" t="s">
        <v>24</v>
      </c>
      <c r="H463" s="7811" t="s">
        <v>24</v>
      </c>
      <c r="I463" s="7811" t="s">
        <v>824</v>
      </c>
    </row>
    <row customHeight="1" ht="11.25">
      <c r="A464" s="7811" t="s">
        <v>2171</v>
      </c>
      <c r="B464" s="7811" t="s">
        <v>14</v>
      </c>
      <c r="C464" s="7811" t="s">
        <v>3268</v>
      </c>
      <c r="D464" s="7811" t="s">
        <v>3269</v>
      </c>
      <c r="E464" s="7811" t="s">
        <v>3270</v>
      </c>
      <c r="F464" s="7811" t="s">
        <v>2462</v>
      </c>
      <c r="G464" s="7811" t="s">
        <v>24</v>
      </c>
      <c r="H464" s="7811" t="s">
        <v>2549</v>
      </c>
      <c r="I464" s="7811" t="s">
        <v>824</v>
      </c>
    </row>
    <row customHeight="1" ht="11.25">
      <c r="A465" s="7811" t="s">
        <v>2171</v>
      </c>
      <c r="B465" s="7811" t="s">
        <v>14</v>
      </c>
      <c r="C465" s="7811" t="s">
        <v>3271</v>
      </c>
      <c r="D465" s="7811" t="s">
        <v>3272</v>
      </c>
      <c r="E465" s="7811" t="s">
        <v>3273</v>
      </c>
      <c r="F465" s="7811" t="s">
        <v>2258</v>
      </c>
      <c r="G465" s="7811" t="s">
        <v>24</v>
      </c>
      <c r="H465" s="7811" t="s">
        <v>24</v>
      </c>
      <c r="I465" s="7811" t="s">
        <v>824</v>
      </c>
    </row>
    <row customHeight="1" ht="11.25">
      <c r="A466" s="7811" t="s">
        <v>2171</v>
      </c>
      <c r="B466" s="7811" t="s">
        <v>14</v>
      </c>
      <c r="C466" s="7811" t="s">
        <v>3274</v>
      </c>
      <c r="D466" s="7811" t="s">
        <v>3275</v>
      </c>
      <c r="E466" s="7811" t="s">
        <v>3276</v>
      </c>
      <c r="F466" s="7811" t="s">
        <v>2856</v>
      </c>
      <c r="G466" s="7811" t="s">
        <v>3146</v>
      </c>
      <c r="H466" s="7811" t="s">
        <v>24</v>
      </c>
      <c r="I466" s="7811" t="s">
        <v>824</v>
      </c>
    </row>
    <row customHeight="1" ht="11.25">
      <c r="A467" s="7811" t="s">
        <v>2171</v>
      </c>
      <c r="B467" s="7811" t="s">
        <v>14</v>
      </c>
      <c r="C467" s="7811" t="s">
        <v>24</v>
      </c>
      <c r="D467" s="7811" t="s">
        <v>2810</v>
      </c>
      <c r="E467" s="7811" t="s">
        <v>2811</v>
      </c>
      <c r="F467" s="7811" t="s">
        <v>2453</v>
      </c>
      <c r="G467" s="7811" t="s">
        <v>24</v>
      </c>
      <c r="H467" s="7811" t="s">
        <v>24</v>
      </c>
      <c r="I467" s="7811" t="s">
        <v>824</v>
      </c>
    </row>
    <row customHeight="1" ht="11.25">
      <c r="A468" s="7811" t="s">
        <v>2171</v>
      </c>
      <c r="B468" s="7811" t="s">
        <v>14</v>
      </c>
      <c r="C468" s="7811" t="s">
        <v>2824</v>
      </c>
      <c r="D468" s="7811" t="s">
        <v>2825</v>
      </c>
      <c r="E468" s="7811" t="s">
        <v>2814</v>
      </c>
      <c r="F468" s="7811" t="s">
        <v>2826</v>
      </c>
      <c r="G468" s="7811" t="s">
        <v>24</v>
      </c>
      <c r="H468" s="7811" t="s">
        <v>24</v>
      </c>
      <c r="I468" s="7811" t="s">
        <v>824</v>
      </c>
    </row>
    <row customHeight="1" ht="11.25">
      <c r="A469" s="7811" t="s">
        <v>2171</v>
      </c>
      <c r="B469" s="7811" t="s">
        <v>14</v>
      </c>
      <c r="C469" s="7811" t="s">
        <v>3296</v>
      </c>
      <c r="D469" s="7811" t="s">
        <v>3297</v>
      </c>
      <c r="E469" s="7811" t="s">
        <v>3298</v>
      </c>
      <c r="F469" s="7811" t="s">
        <v>2404</v>
      </c>
      <c r="G469" s="7811" t="s">
        <v>24</v>
      </c>
      <c r="H469" s="7811" t="s">
        <v>24</v>
      </c>
      <c r="I469" s="7811" t="s">
        <v>824</v>
      </c>
    </row>
    <row customHeight="1" ht="11.25">
      <c r="A470" s="7811" t="s">
        <v>2171</v>
      </c>
      <c r="B470" s="7811" t="s">
        <v>14</v>
      </c>
      <c r="C470" s="7811" t="s">
        <v>2841</v>
      </c>
      <c r="D470" s="7811" t="s">
        <v>2842</v>
      </c>
      <c r="E470" s="7811" t="s">
        <v>2843</v>
      </c>
      <c r="F470" s="7811" t="s">
        <v>2404</v>
      </c>
      <c r="G470" s="7811" t="s">
        <v>24</v>
      </c>
      <c r="H470" s="7811" t="s">
        <v>24</v>
      </c>
      <c r="I470" s="7811" t="s">
        <v>824</v>
      </c>
    </row>
    <row customHeight="1" ht="11.25">
      <c r="A471" s="7811" t="s">
        <v>2171</v>
      </c>
      <c r="B471" s="7811" t="s">
        <v>14</v>
      </c>
      <c r="C471" s="7811" t="s">
        <v>2844</v>
      </c>
      <c r="D471" s="7811" t="s">
        <v>2845</v>
      </c>
      <c r="E471" s="7811" t="s">
        <v>2846</v>
      </c>
      <c r="F471" s="7811" t="s">
        <v>2404</v>
      </c>
      <c r="G471" s="7811" t="s">
        <v>24</v>
      </c>
      <c r="H471" s="7811" t="s">
        <v>24</v>
      </c>
      <c r="I471" s="7811" t="s">
        <v>824</v>
      </c>
    </row>
    <row customHeight="1" ht="11.25">
      <c r="A472" s="7811" t="s">
        <v>2171</v>
      </c>
      <c r="B472" s="7811" t="s">
        <v>14</v>
      </c>
      <c r="C472" s="7811" t="s">
        <v>2847</v>
      </c>
      <c r="D472" s="7811" t="s">
        <v>2848</v>
      </c>
      <c r="E472" s="7811" t="s">
        <v>2849</v>
      </c>
      <c r="F472" s="7811" t="s">
        <v>2756</v>
      </c>
      <c r="G472" s="7811" t="s">
        <v>24</v>
      </c>
      <c r="H472" s="7811" t="s">
        <v>24</v>
      </c>
      <c r="I472" s="7811" t="s">
        <v>824</v>
      </c>
    </row>
    <row customHeight="1" ht="11.25">
      <c r="A473" s="7811" t="s">
        <v>2171</v>
      </c>
      <c r="B473" s="7811" t="s">
        <v>14</v>
      </c>
      <c r="C473" s="7811" t="s">
        <v>3299</v>
      </c>
      <c r="D473" s="7811" t="s">
        <v>3300</v>
      </c>
      <c r="E473" s="7811" t="s">
        <v>2900</v>
      </c>
      <c r="F473" s="7811" t="s">
        <v>2462</v>
      </c>
      <c r="G473" s="7811" t="s">
        <v>24</v>
      </c>
      <c r="H473" s="7811" t="s">
        <v>3301</v>
      </c>
      <c r="I473" s="7811" t="s">
        <v>824</v>
      </c>
    </row>
    <row customHeight="1" ht="11.25">
      <c r="A474" s="7811" t="s">
        <v>2171</v>
      </c>
      <c r="B474" s="7811" t="s">
        <v>14</v>
      </c>
      <c r="C474" s="7811" t="s">
        <v>2853</v>
      </c>
      <c r="D474" s="7811" t="s">
        <v>2854</v>
      </c>
      <c r="E474" s="7811" t="s">
        <v>2855</v>
      </c>
      <c r="F474" s="7811" t="s">
        <v>2856</v>
      </c>
      <c r="G474" s="7811" t="s">
        <v>24</v>
      </c>
      <c r="H474" s="7811" t="s">
        <v>24</v>
      </c>
      <c r="I474" s="7811" t="s">
        <v>824</v>
      </c>
    </row>
    <row customHeight="1" ht="11.25">
      <c r="A475" s="7811" t="s">
        <v>2171</v>
      </c>
      <c r="B475" s="7811" t="s">
        <v>14</v>
      </c>
      <c r="C475" s="7811" t="s">
        <v>2857</v>
      </c>
      <c r="D475" s="7811" t="s">
        <v>2858</v>
      </c>
      <c r="E475" s="7811" t="s">
        <v>2855</v>
      </c>
      <c r="F475" s="7811" t="s">
        <v>2859</v>
      </c>
      <c r="G475" s="7811" t="s">
        <v>2860</v>
      </c>
      <c r="H475" s="7811" t="s">
        <v>24</v>
      </c>
      <c r="I475" s="7811" t="s">
        <v>824</v>
      </c>
    </row>
    <row customHeight="1" ht="11.25">
      <c r="A476" s="7811" t="s">
        <v>2171</v>
      </c>
      <c r="B476" s="7811" t="s">
        <v>14</v>
      </c>
      <c r="C476" s="7811" t="s">
        <v>3302</v>
      </c>
      <c r="D476" s="7811" t="s">
        <v>3303</v>
      </c>
      <c r="E476" s="7811" t="s">
        <v>3304</v>
      </c>
      <c r="F476" s="7811" t="s">
        <v>3305</v>
      </c>
      <c r="G476" s="7811" t="s">
        <v>3306</v>
      </c>
      <c r="H476" s="7811" t="s">
        <v>2375</v>
      </c>
      <c r="I476" s="7811" t="s">
        <v>824</v>
      </c>
    </row>
    <row customHeight="1" ht="11.25">
      <c r="A477" s="7811" t="s">
        <v>2171</v>
      </c>
      <c r="B477" s="7811" t="s">
        <v>14</v>
      </c>
      <c r="C477" s="7811" t="s">
        <v>2875</v>
      </c>
      <c r="D477" s="7811" t="s">
        <v>2876</v>
      </c>
      <c r="E477" s="7811" t="s">
        <v>2877</v>
      </c>
      <c r="F477" s="7811" t="s">
        <v>2878</v>
      </c>
      <c r="G477" s="7811" t="s">
        <v>24</v>
      </c>
      <c r="H477" s="7811" t="s">
        <v>24</v>
      </c>
      <c r="I477" s="7811" t="s">
        <v>824</v>
      </c>
    </row>
    <row customHeight="1" ht="11.25">
      <c r="A478" s="7811" t="s">
        <v>2171</v>
      </c>
      <c r="B478" s="7811" t="s">
        <v>14</v>
      </c>
      <c r="C478" s="7811" t="s">
        <v>2219</v>
      </c>
      <c r="D478" s="7811" t="s">
        <v>2220</v>
      </c>
      <c r="E478" s="7811" t="s">
        <v>2221</v>
      </c>
      <c r="F478" s="7811" t="s">
        <v>2222</v>
      </c>
      <c r="G478" s="7811" t="s">
        <v>24</v>
      </c>
      <c r="H478" s="7811" t="s">
        <v>24</v>
      </c>
      <c r="I478" s="7811" t="s">
        <v>1534</v>
      </c>
    </row>
    <row customHeight="1" ht="11.25">
      <c r="A479" s="7811" t="s">
        <v>2171</v>
      </c>
      <c r="B479" s="7811" t="s">
        <v>14</v>
      </c>
      <c r="C479" s="7811" t="s">
        <v>3354</v>
      </c>
      <c r="D479" s="7811" t="s">
        <v>3355</v>
      </c>
      <c r="E479" s="7811" t="s">
        <v>3356</v>
      </c>
      <c r="F479" s="7811" t="s">
        <v>2236</v>
      </c>
      <c r="G479" s="7811" t="s">
        <v>24</v>
      </c>
      <c r="H479" s="7811" t="s">
        <v>3357</v>
      </c>
      <c r="I479" s="7811" t="s">
        <v>1534</v>
      </c>
    </row>
    <row customHeight="1" ht="11.25">
      <c r="A480" s="7811" t="s">
        <v>2171</v>
      </c>
      <c r="B480" s="7811" t="s">
        <v>14</v>
      </c>
      <c r="C480" s="7811" t="s">
        <v>2909</v>
      </c>
      <c r="D480" s="7811" t="s">
        <v>2910</v>
      </c>
      <c r="E480" s="7811" t="s">
        <v>2911</v>
      </c>
      <c r="F480" s="7811" t="s">
        <v>2912</v>
      </c>
      <c r="G480" s="7811" t="s">
        <v>24</v>
      </c>
      <c r="H480" s="7811" t="s">
        <v>24</v>
      </c>
      <c r="I480" s="7811" t="s">
        <v>1534</v>
      </c>
    </row>
    <row customHeight="1" ht="11.25">
      <c r="A481" s="7811" t="s">
        <v>2171</v>
      </c>
      <c r="B481" s="7811" t="s">
        <v>14</v>
      </c>
      <c r="C481" s="7811" t="s">
        <v>2244</v>
      </c>
      <c r="D481" s="7811" t="s">
        <v>2245</v>
      </c>
      <c r="E481" s="7811" t="s">
        <v>2246</v>
      </c>
      <c r="F481" s="7811" t="s">
        <v>2247</v>
      </c>
      <c r="G481" s="7811" t="s">
        <v>24</v>
      </c>
      <c r="H481" s="7811" t="s">
        <v>24</v>
      </c>
      <c r="I481" s="7811" t="s">
        <v>1534</v>
      </c>
    </row>
    <row customHeight="1" ht="11.25">
      <c r="A482" s="7811" t="s">
        <v>2171</v>
      </c>
      <c r="B482" s="7811" t="s">
        <v>14</v>
      </c>
      <c r="C482" s="7811" t="s">
        <v>2262</v>
      </c>
      <c r="D482" s="7811" t="s">
        <v>2263</v>
      </c>
      <c r="E482" s="7811" t="s">
        <v>2264</v>
      </c>
      <c r="F482" s="7811" t="s">
        <v>2265</v>
      </c>
      <c r="G482" s="7811" t="s">
        <v>24</v>
      </c>
      <c r="H482" s="7811" t="s">
        <v>24</v>
      </c>
      <c r="I482" s="7811" t="s">
        <v>1534</v>
      </c>
    </row>
    <row customHeight="1" ht="11.25">
      <c r="A483" s="7811" t="s">
        <v>2171</v>
      </c>
      <c r="B483" s="7811" t="s">
        <v>14</v>
      </c>
      <c r="C483" s="7811" t="s">
        <v>3358</v>
      </c>
      <c r="D483" s="7811" t="s">
        <v>3359</v>
      </c>
      <c r="E483" s="7811" t="s">
        <v>3360</v>
      </c>
      <c r="F483" s="7811" t="s">
        <v>576</v>
      </c>
      <c r="G483" s="7811" t="s">
        <v>24</v>
      </c>
      <c r="H483" s="7811" t="s">
        <v>24</v>
      </c>
      <c r="I483" s="7811" t="s">
        <v>1534</v>
      </c>
    </row>
    <row customHeight="1" ht="11.25">
      <c r="A484" s="7811" t="s">
        <v>2171</v>
      </c>
      <c r="B484" s="7811" t="s">
        <v>14</v>
      </c>
      <c r="C484" s="7811" t="s">
        <v>3361</v>
      </c>
      <c r="D484" s="7811" t="s">
        <v>3362</v>
      </c>
      <c r="E484" s="7811" t="s">
        <v>3363</v>
      </c>
      <c r="F484" s="7811" t="s">
        <v>576</v>
      </c>
      <c r="G484" s="7811" t="s">
        <v>24</v>
      </c>
      <c r="H484" s="7811" t="s">
        <v>24</v>
      </c>
      <c r="I484" s="7811" t="s">
        <v>1534</v>
      </c>
    </row>
    <row customHeight="1" ht="11.25">
      <c r="A485" s="7811" t="s">
        <v>2171</v>
      </c>
      <c r="B485" s="7811" t="s">
        <v>14</v>
      </c>
      <c r="C485" s="7811" t="s">
        <v>3364</v>
      </c>
      <c r="D485" s="7811" t="s">
        <v>3365</v>
      </c>
      <c r="E485" s="7811" t="s">
        <v>3366</v>
      </c>
      <c r="F485" s="7811" t="s">
        <v>576</v>
      </c>
      <c r="G485" s="7811" t="s">
        <v>24</v>
      </c>
      <c r="H485" s="7811" t="s">
        <v>24</v>
      </c>
      <c r="I485" s="7811" t="s">
        <v>1534</v>
      </c>
    </row>
    <row customHeight="1" ht="11.25">
      <c r="A486" s="7811" t="s">
        <v>2171</v>
      </c>
      <c r="B486" s="7811" t="s">
        <v>14</v>
      </c>
      <c r="C486" s="7811" t="s">
        <v>3367</v>
      </c>
      <c r="D486" s="7811" t="s">
        <v>3368</v>
      </c>
      <c r="E486" s="7811" t="s">
        <v>3369</v>
      </c>
      <c r="F486" s="7811" t="s">
        <v>576</v>
      </c>
      <c r="G486" s="7811" t="s">
        <v>24</v>
      </c>
      <c r="H486" s="7811" t="s">
        <v>24</v>
      </c>
      <c r="I486" s="7811" t="s">
        <v>1534</v>
      </c>
    </row>
    <row customHeight="1" ht="11.25">
      <c r="A487" s="7811" t="s">
        <v>2171</v>
      </c>
      <c r="B487" s="7811" t="s">
        <v>14</v>
      </c>
      <c r="C487" s="7811" t="s">
        <v>3313</v>
      </c>
      <c r="D487" s="7811" t="s">
        <v>3314</v>
      </c>
      <c r="E487" s="7811" t="s">
        <v>3315</v>
      </c>
      <c r="F487" s="7811" t="s">
        <v>2727</v>
      </c>
      <c r="G487" s="7811" t="s">
        <v>3316</v>
      </c>
      <c r="H487" s="7811" t="s">
        <v>24</v>
      </c>
      <c r="I487" s="7811" t="s">
        <v>1534</v>
      </c>
    </row>
    <row customHeight="1" ht="11.25">
      <c r="A488" s="7811" t="s">
        <v>2171</v>
      </c>
      <c r="B488" s="7811" t="s">
        <v>14</v>
      </c>
      <c r="C488" s="7811" t="s">
        <v>3370</v>
      </c>
      <c r="D488" s="7811" t="s">
        <v>3371</v>
      </c>
      <c r="E488" s="7811" t="s">
        <v>3372</v>
      </c>
      <c r="F488" s="7811" t="s">
        <v>2310</v>
      </c>
      <c r="G488" s="7811" t="s">
        <v>24</v>
      </c>
      <c r="H488" s="7811" t="s">
        <v>24</v>
      </c>
      <c r="I488" s="7811" t="s">
        <v>1534</v>
      </c>
    </row>
    <row customHeight="1" ht="11.25">
      <c r="A489" s="7811" t="s">
        <v>2171</v>
      </c>
      <c r="B489" s="7811" t="s">
        <v>14</v>
      </c>
      <c r="C489" s="7811" t="s">
        <v>3373</v>
      </c>
      <c r="D489" s="7811" t="s">
        <v>3374</v>
      </c>
      <c r="E489" s="7811" t="s">
        <v>3375</v>
      </c>
      <c r="F489" s="7811" t="s">
        <v>3376</v>
      </c>
      <c r="G489" s="7811" t="s">
        <v>24</v>
      </c>
      <c r="H489" s="7811" t="s">
        <v>24</v>
      </c>
      <c r="I489" s="7811" t="s">
        <v>1534</v>
      </c>
    </row>
    <row customHeight="1" ht="11.25">
      <c r="A490" s="7811" t="s">
        <v>2171</v>
      </c>
      <c r="B490" s="7811" t="s">
        <v>14</v>
      </c>
      <c r="C490" s="7811" t="s">
        <v>3015</v>
      </c>
      <c r="D490" s="7811" t="s">
        <v>3016</v>
      </c>
      <c r="E490" s="7811" t="s">
        <v>3017</v>
      </c>
      <c r="F490" s="7811" t="s">
        <v>2680</v>
      </c>
      <c r="G490" s="7811" t="s">
        <v>24</v>
      </c>
      <c r="H490" s="7811" t="s">
        <v>24</v>
      </c>
      <c r="I490" s="7811" t="s">
        <v>1534</v>
      </c>
    </row>
    <row customHeight="1" ht="11.25">
      <c r="A491" s="7811" t="s">
        <v>2171</v>
      </c>
      <c r="B491" s="7811" t="s">
        <v>14</v>
      </c>
      <c r="C491" s="7811" t="s">
        <v>3024</v>
      </c>
      <c r="D491" s="7811" t="s">
        <v>3025</v>
      </c>
      <c r="E491" s="7811" t="s">
        <v>3026</v>
      </c>
      <c r="F491" s="7811" t="s">
        <v>2281</v>
      </c>
      <c r="G491" s="7811" t="s">
        <v>24</v>
      </c>
      <c r="H491" s="7811" t="s">
        <v>24</v>
      </c>
      <c r="I491" s="7811" t="s">
        <v>1534</v>
      </c>
    </row>
    <row customHeight="1" ht="11.25">
      <c r="A492" s="7811" t="s">
        <v>2171</v>
      </c>
      <c r="B492" s="7811" t="s">
        <v>14</v>
      </c>
      <c r="C492" s="7811" t="s">
        <v>3377</v>
      </c>
      <c r="D492" s="7811" t="s">
        <v>3378</v>
      </c>
      <c r="E492" s="7811" t="s">
        <v>3379</v>
      </c>
      <c r="F492" s="7811" t="s">
        <v>2449</v>
      </c>
      <c r="G492" s="7811" t="s">
        <v>3380</v>
      </c>
      <c r="H492" s="7811" t="s">
        <v>24</v>
      </c>
      <c r="I492" s="7811" t="s">
        <v>1534</v>
      </c>
    </row>
    <row customHeight="1" ht="11.25">
      <c r="A493" s="7811" t="s">
        <v>2171</v>
      </c>
      <c r="B493" s="7811" t="s">
        <v>14</v>
      </c>
      <c r="C493" s="7811" t="s">
        <v>3381</v>
      </c>
      <c r="D493" s="7811" t="s">
        <v>3382</v>
      </c>
      <c r="E493" s="7811" t="s">
        <v>3383</v>
      </c>
      <c r="F493" s="7811" t="s">
        <v>3384</v>
      </c>
      <c r="G493" s="7811" t="s">
        <v>3385</v>
      </c>
      <c r="H493" s="7811" t="s">
        <v>24</v>
      </c>
      <c r="I493" s="7811" t="s">
        <v>1534</v>
      </c>
    </row>
    <row customHeight="1" ht="11.25">
      <c r="A494" s="7811" t="s">
        <v>2171</v>
      </c>
      <c r="B494" s="7811" t="s">
        <v>14</v>
      </c>
      <c r="C494" s="7811" t="s">
        <v>3386</v>
      </c>
      <c r="D494" s="7811" t="s">
        <v>3387</v>
      </c>
      <c r="E494" s="7811" t="s">
        <v>3388</v>
      </c>
      <c r="F494" s="7811" t="s">
        <v>2424</v>
      </c>
      <c r="G494" s="7811" t="s">
        <v>24</v>
      </c>
      <c r="H494" s="7811" t="s">
        <v>24</v>
      </c>
      <c r="I494" s="7811" t="s">
        <v>1534</v>
      </c>
    </row>
    <row customHeight="1" ht="11.25">
      <c r="A495" s="7811" t="s">
        <v>2171</v>
      </c>
      <c r="B495" s="7811" t="s">
        <v>14</v>
      </c>
      <c r="C495" s="7811" t="s">
        <v>2397</v>
      </c>
      <c r="D495" s="7811" t="s">
        <v>2398</v>
      </c>
      <c r="E495" s="7811" t="s">
        <v>2399</v>
      </c>
      <c r="F495" s="7811" t="s">
        <v>2400</v>
      </c>
      <c r="G495" s="7811" t="s">
        <v>24</v>
      </c>
      <c r="H495" s="7811" t="s">
        <v>24</v>
      </c>
      <c r="I495" s="7811" t="s">
        <v>1534</v>
      </c>
    </row>
    <row customHeight="1" ht="11.25">
      <c r="A496" s="7811" t="s">
        <v>2171</v>
      </c>
      <c r="B496" s="7811" t="s">
        <v>14</v>
      </c>
      <c r="C496" s="7811" t="s">
        <v>3085</v>
      </c>
      <c r="D496" s="7811" t="s">
        <v>3086</v>
      </c>
      <c r="E496" s="7811" t="s">
        <v>3087</v>
      </c>
      <c r="F496" s="7811" t="s">
        <v>2333</v>
      </c>
      <c r="G496" s="7811" t="s">
        <v>24</v>
      </c>
      <c r="H496" s="7811" t="s">
        <v>24</v>
      </c>
      <c r="I496" s="7811" t="s">
        <v>1534</v>
      </c>
    </row>
    <row customHeight="1" ht="11.25">
      <c r="A497" s="7811" t="s">
        <v>2171</v>
      </c>
      <c r="B497" s="7811" t="s">
        <v>14</v>
      </c>
      <c r="C497" s="7811" t="s">
        <v>3088</v>
      </c>
      <c r="D497" s="7811" t="s">
        <v>3089</v>
      </c>
      <c r="E497" s="7811" t="s">
        <v>3090</v>
      </c>
      <c r="F497" s="7811" t="s">
        <v>2462</v>
      </c>
      <c r="G497" s="7811" t="s">
        <v>3091</v>
      </c>
      <c r="H497" s="7811" t="s">
        <v>24</v>
      </c>
      <c r="I497" s="7811" t="s">
        <v>1534</v>
      </c>
    </row>
    <row customHeight="1" ht="11.25">
      <c r="A498" s="7811" t="s">
        <v>2171</v>
      </c>
      <c r="B498" s="7811" t="s">
        <v>14</v>
      </c>
      <c r="C498" s="7811" t="s">
        <v>2409</v>
      </c>
      <c r="D498" s="7811" t="s">
        <v>2410</v>
      </c>
      <c r="E498" s="7811" t="s">
        <v>2411</v>
      </c>
      <c r="F498" s="7811" t="s">
        <v>2412</v>
      </c>
      <c r="G498" s="7811" t="s">
        <v>24</v>
      </c>
      <c r="H498" s="7811" t="s">
        <v>24</v>
      </c>
      <c r="I498" s="7811" t="s">
        <v>1534</v>
      </c>
    </row>
    <row customHeight="1" ht="11.25">
      <c r="A499" s="7811" t="s">
        <v>2171</v>
      </c>
      <c r="B499" s="7811" t="s">
        <v>14</v>
      </c>
      <c r="C499" s="7811" t="s">
        <v>2417</v>
      </c>
      <c r="D499" s="7811" t="s">
        <v>2418</v>
      </c>
      <c r="E499" s="7811" t="s">
        <v>2419</v>
      </c>
      <c r="F499" s="7811" t="s">
        <v>2420</v>
      </c>
      <c r="G499" s="7811" t="s">
        <v>24</v>
      </c>
      <c r="H499" s="7811" t="s">
        <v>24</v>
      </c>
      <c r="I499" s="7811" t="s">
        <v>1534</v>
      </c>
    </row>
    <row customHeight="1" ht="11.25">
      <c r="A500" s="7811" t="s">
        <v>2171</v>
      </c>
      <c r="B500" s="7811" t="s">
        <v>14</v>
      </c>
      <c r="C500" s="7811" t="s">
        <v>3389</v>
      </c>
      <c r="D500" s="7811" t="s">
        <v>3390</v>
      </c>
      <c r="E500" s="7811" t="s">
        <v>3391</v>
      </c>
      <c r="F500" s="7811" t="s">
        <v>2240</v>
      </c>
      <c r="G500" s="7811" t="s">
        <v>24</v>
      </c>
      <c r="H500" s="7811" t="s">
        <v>24</v>
      </c>
      <c r="I500" s="7811" t="s">
        <v>1534</v>
      </c>
    </row>
    <row customHeight="1" ht="11.25">
      <c r="A501" s="7811" t="s">
        <v>2171</v>
      </c>
      <c r="B501" s="7811" t="s">
        <v>14</v>
      </c>
      <c r="C501" s="7811" t="s">
        <v>3392</v>
      </c>
      <c r="D501" s="7811" t="s">
        <v>3393</v>
      </c>
      <c r="E501" s="7811" t="s">
        <v>3394</v>
      </c>
      <c r="F501" s="7811" t="s">
        <v>3083</v>
      </c>
      <c r="G501" s="7811" t="s">
        <v>24</v>
      </c>
      <c r="H501" s="7811" t="s">
        <v>24</v>
      </c>
      <c r="I501" s="7811" t="s">
        <v>1534</v>
      </c>
    </row>
    <row customHeight="1" ht="11.25">
      <c r="A502" s="7811" t="s">
        <v>2171</v>
      </c>
      <c r="B502" s="7811" t="s">
        <v>14</v>
      </c>
      <c r="C502" s="7811" t="s">
        <v>3395</v>
      </c>
      <c r="D502" s="7811" t="s">
        <v>3396</v>
      </c>
      <c r="E502" s="7811" t="s">
        <v>3397</v>
      </c>
      <c r="F502" s="7811" t="s">
        <v>2462</v>
      </c>
      <c r="G502" s="7811" t="s">
        <v>24</v>
      </c>
      <c r="H502" s="7811" t="s">
        <v>24</v>
      </c>
      <c r="I502" s="7811" t="s">
        <v>1534</v>
      </c>
    </row>
    <row customHeight="1" ht="11.25">
      <c r="A503" s="7811" t="s">
        <v>2171</v>
      </c>
      <c r="B503" s="7811" t="s">
        <v>14</v>
      </c>
      <c r="C503" s="7811" t="s">
        <v>3398</v>
      </c>
      <c r="D503" s="7811" t="s">
        <v>3399</v>
      </c>
      <c r="E503" s="7811" t="s">
        <v>3400</v>
      </c>
      <c r="F503" s="7811" t="s">
        <v>2288</v>
      </c>
      <c r="G503" s="7811" t="s">
        <v>24</v>
      </c>
      <c r="H503" s="7811" t="s">
        <v>3401</v>
      </c>
      <c r="I503" s="7811" t="s">
        <v>1534</v>
      </c>
    </row>
    <row customHeight="1" ht="11.25">
      <c r="A504" s="7811" t="s">
        <v>2171</v>
      </c>
      <c r="B504" s="7811" t="s">
        <v>14</v>
      </c>
      <c r="C504" s="7811" t="s">
        <v>3402</v>
      </c>
      <c r="D504" s="7811" t="s">
        <v>3403</v>
      </c>
      <c r="E504" s="7811" t="s">
        <v>3404</v>
      </c>
      <c r="F504" s="7811" t="s">
        <v>2685</v>
      </c>
      <c r="G504" s="7811" t="s">
        <v>24</v>
      </c>
      <c r="H504" s="7811" t="s">
        <v>24</v>
      </c>
      <c r="I504" s="7811" t="s">
        <v>1534</v>
      </c>
    </row>
    <row customHeight="1" ht="11.25">
      <c r="A505" s="7811" t="s">
        <v>2171</v>
      </c>
      <c r="B505" s="7811" t="s">
        <v>14</v>
      </c>
      <c r="C505" s="7811" t="s">
        <v>3405</v>
      </c>
      <c r="D505" s="7811" t="s">
        <v>3406</v>
      </c>
      <c r="E505" s="7811" t="s">
        <v>3407</v>
      </c>
      <c r="F505" s="7811" t="s">
        <v>576</v>
      </c>
      <c r="G505" s="7811" t="s">
        <v>24</v>
      </c>
      <c r="H505" s="7811" t="s">
        <v>24</v>
      </c>
      <c r="I505" s="7811" t="s">
        <v>1534</v>
      </c>
    </row>
    <row customHeight="1" ht="11.25">
      <c r="A506" s="7811" t="s">
        <v>2171</v>
      </c>
      <c r="B506" s="7811" t="s">
        <v>14</v>
      </c>
      <c r="C506" s="7811" t="s">
        <v>3408</v>
      </c>
      <c r="D506" s="7811" t="s">
        <v>3409</v>
      </c>
      <c r="E506" s="7811" t="s">
        <v>3410</v>
      </c>
      <c r="F506" s="7811" t="s">
        <v>2183</v>
      </c>
      <c r="G506" s="7811" t="s">
        <v>24</v>
      </c>
      <c r="H506" s="7811" t="s">
        <v>24</v>
      </c>
      <c r="I506" s="7811" t="s">
        <v>1534</v>
      </c>
    </row>
    <row customHeight="1" ht="11.25">
      <c r="A507" s="7811" t="s">
        <v>2171</v>
      </c>
      <c r="B507" s="7811" t="s">
        <v>14</v>
      </c>
      <c r="C507" s="7811" t="s">
        <v>3411</v>
      </c>
      <c r="D507" s="7811" t="s">
        <v>3412</v>
      </c>
      <c r="E507" s="7811" t="s">
        <v>3413</v>
      </c>
      <c r="F507" s="7811" t="s">
        <v>2183</v>
      </c>
      <c r="G507" s="7811" t="s">
        <v>24</v>
      </c>
      <c r="H507" s="7811" t="s">
        <v>24</v>
      </c>
      <c r="I507" s="7811" t="s">
        <v>1534</v>
      </c>
    </row>
    <row customHeight="1" ht="11.25">
      <c r="A508" s="7811" t="s">
        <v>2171</v>
      </c>
      <c r="B508" s="7811" t="s">
        <v>14</v>
      </c>
      <c r="C508" s="7811" t="s">
        <v>3414</v>
      </c>
      <c r="D508" s="7811" t="s">
        <v>3415</v>
      </c>
      <c r="E508" s="7811" t="s">
        <v>3416</v>
      </c>
      <c r="F508" s="7811" t="s">
        <v>2560</v>
      </c>
      <c r="G508" s="7811" t="s">
        <v>24</v>
      </c>
      <c r="H508" s="7811" t="s">
        <v>24</v>
      </c>
      <c r="I508" s="7811" t="s">
        <v>1534</v>
      </c>
    </row>
    <row customHeight="1" ht="11.25">
      <c r="A509" s="7811" t="s">
        <v>2171</v>
      </c>
      <c r="B509" s="7811" t="s">
        <v>14</v>
      </c>
      <c r="C509" s="7811" t="s">
        <v>3417</v>
      </c>
      <c r="D509" s="7811" t="s">
        <v>3418</v>
      </c>
      <c r="E509" s="7811" t="s">
        <v>3419</v>
      </c>
      <c r="F509" s="7811" t="s">
        <v>2310</v>
      </c>
      <c r="G509" s="7811" t="s">
        <v>24</v>
      </c>
      <c r="H509" s="7811" t="s">
        <v>24</v>
      </c>
      <c r="I509" s="7811" t="s">
        <v>1534</v>
      </c>
    </row>
    <row customHeight="1" ht="11.25">
      <c r="A510" s="7811" t="s">
        <v>2171</v>
      </c>
      <c r="B510" s="7811" t="s">
        <v>14</v>
      </c>
      <c r="C510" s="7811" t="s">
        <v>3420</v>
      </c>
      <c r="D510" s="7811" t="s">
        <v>3421</v>
      </c>
      <c r="E510" s="7811" t="s">
        <v>3422</v>
      </c>
      <c r="F510" s="7811" t="s">
        <v>2349</v>
      </c>
      <c r="G510" s="7811" t="s">
        <v>24</v>
      </c>
      <c r="H510" s="7811" t="s">
        <v>24</v>
      </c>
      <c r="I510" s="7811" t="s">
        <v>1534</v>
      </c>
    </row>
    <row customHeight="1" ht="11.25">
      <c r="A511" s="7811" t="s">
        <v>2171</v>
      </c>
      <c r="B511" s="7811" t="s">
        <v>14</v>
      </c>
      <c r="C511" s="7811" t="s">
        <v>3423</v>
      </c>
      <c r="D511" s="7811" t="s">
        <v>3424</v>
      </c>
      <c r="E511" s="7811" t="s">
        <v>3425</v>
      </c>
      <c r="F511" s="7811" t="s">
        <v>2302</v>
      </c>
      <c r="G511" s="7811" t="s">
        <v>24</v>
      </c>
      <c r="H511" s="7811" t="s">
        <v>24</v>
      </c>
      <c r="I511" s="7811" t="s">
        <v>1534</v>
      </c>
    </row>
    <row customHeight="1" ht="11.25">
      <c r="A512" s="7811" t="s">
        <v>2171</v>
      </c>
      <c r="B512" s="7811" t="s">
        <v>14</v>
      </c>
      <c r="C512" s="7811" t="s">
        <v>3426</v>
      </c>
      <c r="D512" s="7811" t="s">
        <v>3427</v>
      </c>
      <c r="E512" s="7811" t="s">
        <v>3428</v>
      </c>
      <c r="F512" s="7811" t="s">
        <v>2310</v>
      </c>
      <c r="G512" s="7811" t="s">
        <v>24</v>
      </c>
      <c r="H512" s="7811" t="s">
        <v>24</v>
      </c>
      <c r="I512" s="7811" t="s">
        <v>1534</v>
      </c>
    </row>
    <row customHeight="1" ht="11.25">
      <c r="A513" s="7811" t="s">
        <v>2171</v>
      </c>
      <c r="B513" s="7811" t="s">
        <v>14</v>
      </c>
      <c r="C513" s="7811" t="s">
        <v>3429</v>
      </c>
      <c r="D513" s="7811" t="s">
        <v>3430</v>
      </c>
      <c r="E513" s="7811" t="s">
        <v>3431</v>
      </c>
      <c r="F513" s="7811" t="s">
        <v>3009</v>
      </c>
      <c r="G513" s="7811" t="s">
        <v>24</v>
      </c>
      <c r="H513" s="7811" t="s">
        <v>24</v>
      </c>
      <c r="I513" s="7811" t="s">
        <v>1534</v>
      </c>
    </row>
    <row customHeight="1" ht="11.25">
      <c r="A514" s="7811" t="s">
        <v>2171</v>
      </c>
      <c r="B514" s="7811" t="s">
        <v>14</v>
      </c>
      <c r="C514" s="7811" t="s">
        <v>3432</v>
      </c>
      <c r="D514" s="7811" t="s">
        <v>3433</v>
      </c>
      <c r="E514" s="7811" t="s">
        <v>3434</v>
      </c>
      <c r="F514" s="7811" t="s">
        <v>3009</v>
      </c>
      <c r="G514" s="7811" t="s">
        <v>24</v>
      </c>
      <c r="H514" s="7811" t="s">
        <v>3357</v>
      </c>
      <c r="I514" s="7811" t="s">
        <v>1534</v>
      </c>
    </row>
    <row customHeight="1" ht="11.25">
      <c r="A515" s="7811" t="s">
        <v>2171</v>
      </c>
      <c r="B515" s="7811" t="s">
        <v>14</v>
      </c>
      <c r="C515" s="7811" t="s">
        <v>3435</v>
      </c>
      <c r="D515" s="7811" t="s">
        <v>3436</v>
      </c>
      <c r="E515" s="7811" t="s">
        <v>3437</v>
      </c>
      <c r="F515" s="7811" t="s">
        <v>2213</v>
      </c>
      <c r="G515" s="7811" t="s">
        <v>24</v>
      </c>
      <c r="H515" s="7811" t="s">
        <v>24</v>
      </c>
      <c r="I515" s="7811" t="s">
        <v>1534</v>
      </c>
    </row>
    <row customHeight="1" ht="11.25">
      <c r="A516" s="7811" t="s">
        <v>2171</v>
      </c>
      <c r="B516" s="7811" t="s">
        <v>14</v>
      </c>
      <c r="C516" s="7811" t="s">
        <v>3438</v>
      </c>
      <c r="D516" s="7811" t="s">
        <v>3439</v>
      </c>
      <c r="E516" s="7811" t="s">
        <v>3404</v>
      </c>
      <c r="F516" s="7811" t="s">
        <v>3440</v>
      </c>
      <c r="G516" s="7811" t="s">
        <v>3441</v>
      </c>
      <c r="H516" s="7811" t="s">
        <v>24</v>
      </c>
      <c r="I516" s="7811" t="s">
        <v>1534</v>
      </c>
    </row>
    <row customHeight="1" ht="11.25">
      <c r="A517" s="7811" t="s">
        <v>2171</v>
      </c>
      <c r="B517" s="7811" t="s">
        <v>14</v>
      </c>
      <c r="C517" s="7811" t="s">
        <v>3442</v>
      </c>
      <c r="D517" s="7811" t="s">
        <v>3443</v>
      </c>
      <c r="E517" s="7811" t="s">
        <v>3444</v>
      </c>
      <c r="F517" s="7811" t="s">
        <v>2517</v>
      </c>
      <c r="G517" s="7811" t="s">
        <v>24</v>
      </c>
      <c r="H517" s="7811" t="s">
        <v>3445</v>
      </c>
      <c r="I517" s="7811" t="s">
        <v>1534</v>
      </c>
    </row>
    <row customHeight="1" ht="11.25">
      <c r="A518" s="7811" t="s">
        <v>2171</v>
      </c>
      <c r="B518" s="7811" t="s">
        <v>14</v>
      </c>
      <c r="C518" s="7811" t="s">
        <v>3446</v>
      </c>
      <c r="D518" s="7811" t="s">
        <v>3447</v>
      </c>
      <c r="E518" s="7811" t="s">
        <v>3448</v>
      </c>
      <c r="F518" s="7811" t="s">
        <v>3384</v>
      </c>
      <c r="G518" s="7811" t="s">
        <v>24</v>
      </c>
      <c r="H518" s="7811" t="s">
        <v>24</v>
      </c>
      <c r="I518" s="7811" t="s">
        <v>1534</v>
      </c>
    </row>
    <row customHeight="1" ht="11.25">
      <c r="A519" s="7811" t="s">
        <v>2171</v>
      </c>
      <c r="B519" s="7811" t="s">
        <v>14</v>
      </c>
      <c r="C519" s="7811" t="s">
        <v>3449</v>
      </c>
      <c r="D519" s="7811" t="s">
        <v>3450</v>
      </c>
      <c r="E519" s="7811" t="s">
        <v>3451</v>
      </c>
      <c r="F519" s="7811" t="s">
        <v>3376</v>
      </c>
      <c r="G519" s="7811" t="s">
        <v>24</v>
      </c>
      <c r="H519" s="7811" t="s">
        <v>24</v>
      </c>
      <c r="I519" s="7811" t="s">
        <v>1534</v>
      </c>
    </row>
    <row customHeight="1" ht="11.25">
      <c r="A520" s="7811" t="s">
        <v>2171</v>
      </c>
      <c r="B520" s="7811" t="s">
        <v>14</v>
      </c>
      <c r="C520" s="7811" t="s">
        <v>3452</v>
      </c>
      <c r="D520" s="7811" t="s">
        <v>3453</v>
      </c>
      <c r="E520" s="7811" t="s">
        <v>3454</v>
      </c>
      <c r="F520" s="7811" t="s">
        <v>2240</v>
      </c>
      <c r="G520" s="7811" t="s">
        <v>24</v>
      </c>
      <c r="H520" s="7811" t="s">
        <v>24</v>
      </c>
      <c r="I520" s="7811" t="s">
        <v>1534</v>
      </c>
    </row>
    <row customHeight="1" ht="11.25">
      <c r="A521" s="7811" t="s">
        <v>2171</v>
      </c>
      <c r="B521" s="7811" t="s">
        <v>14</v>
      </c>
      <c r="C521" s="7811" t="s">
        <v>3455</v>
      </c>
      <c r="D521" s="7811" t="s">
        <v>3456</v>
      </c>
      <c r="E521" s="7811" t="s">
        <v>3457</v>
      </c>
      <c r="F521" s="7811" t="s">
        <v>2404</v>
      </c>
      <c r="G521" s="7811" t="s">
        <v>24</v>
      </c>
      <c r="H521" s="7811" t="s">
        <v>24</v>
      </c>
      <c r="I521" s="7811" t="s">
        <v>1534</v>
      </c>
    </row>
    <row customHeight="1" ht="11.25">
      <c r="A522" s="7811" t="s">
        <v>2171</v>
      </c>
      <c r="B522" s="7811" t="s">
        <v>14</v>
      </c>
      <c r="C522" s="7811" t="s">
        <v>3458</v>
      </c>
      <c r="D522" s="7811" t="s">
        <v>3459</v>
      </c>
      <c r="E522" s="7811" t="s">
        <v>3460</v>
      </c>
      <c r="F522" s="7811" t="s">
        <v>2764</v>
      </c>
      <c r="G522" s="7811" t="s">
        <v>24</v>
      </c>
      <c r="H522" s="7811" t="s">
        <v>24</v>
      </c>
      <c r="I522" s="7811" t="s">
        <v>1534</v>
      </c>
    </row>
    <row customHeight="1" ht="11.25">
      <c r="A523" s="7811" t="s">
        <v>2171</v>
      </c>
      <c r="B523" s="7811" t="s">
        <v>14</v>
      </c>
      <c r="C523" s="7811" t="s">
        <v>3461</v>
      </c>
      <c r="D523" s="7811" t="s">
        <v>3462</v>
      </c>
      <c r="E523" s="7811" t="s">
        <v>3463</v>
      </c>
      <c r="F523" s="7811" t="s">
        <v>2236</v>
      </c>
      <c r="G523" s="7811" t="s">
        <v>3464</v>
      </c>
      <c r="H523" s="7811" t="s">
        <v>24</v>
      </c>
      <c r="I523" s="7811" t="s">
        <v>1534</v>
      </c>
    </row>
    <row customHeight="1" ht="11.25">
      <c r="A524" s="7811" t="s">
        <v>2171</v>
      </c>
      <c r="B524" s="7811" t="s">
        <v>14</v>
      </c>
      <c r="C524" s="7811" t="s">
        <v>3465</v>
      </c>
      <c r="D524" s="7811" t="s">
        <v>3466</v>
      </c>
      <c r="E524" s="7811" t="s">
        <v>3467</v>
      </c>
      <c r="F524" s="7811" t="s">
        <v>3009</v>
      </c>
      <c r="G524" s="7811" t="s">
        <v>24</v>
      </c>
      <c r="H524" s="7811" t="s">
        <v>24</v>
      </c>
      <c r="I524" s="7811" t="s">
        <v>1534</v>
      </c>
    </row>
    <row customHeight="1" ht="11.25">
      <c r="A525" s="7811" t="s">
        <v>2171</v>
      </c>
      <c r="B525" s="7811" t="s">
        <v>14</v>
      </c>
      <c r="C525" s="7811" t="s">
        <v>3468</v>
      </c>
      <c r="D525" s="7811" t="s">
        <v>3466</v>
      </c>
      <c r="E525" s="7811" t="s">
        <v>3469</v>
      </c>
      <c r="F525" s="7811" t="s">
        <v>2288</v>
      </c>
      <c r="G525" s="7811" t="s">
        <v>3470</v>
      </c>
      <c r="H525" s="7811" t="s">
        <v>24</v>
      </c>
      <c r="I525" s="7811" t="s">
        <v>1534</v>
      </c>
    </row>
    <row customHeight="1" ht="11.25">
      <c r="A526" s="7811" t="s">
        <v>2171</v>
      </c>
      <c r="B526" s="7811" t="s">
        <v>14</v>
      </c>
      <c r="C526" s="7811" t="s">
        <v>2774</v>
      </c>
      <c r="D526" s="7811" t="s">
        <v>2775</v>
      </c>
      <c r="E526" s="7811" t="s">
        <v>2776</v>
      </c>
      <c r="F526" s="7811" t="s">
        <v>2777</v>
      </c>
      <c r="G526" s="7811" t="s">
        <v>24</v>
      </c>
      <c r="H526" s="7811" t="s">
        <v>24</v>
      </c>
      <c r="I526" s="7811" t="s">
        <v>1534</v>
      </c>
    </row>
    <row customHeight="1" ht="11.25">
      <c r="A527" s="7811" t="s">
        <v>2171</v>
      </c>
      <c r="B527" s="7811" t="s">
        <v>14</v>
      </c>
      <c r="C527" s="7811" t="s">
        <v>3471</v>
      </c>
      <c r="D527" s="7811" t="s">
        <v>3472</v>
      </c>
      <c r="E527" s="7811" t="s">
        <v>3473</v>
      </c>
      <c r="F527" s="7811" t="s">
        <v>2288</v>
      </c>
      <c r="G527" s="7811" t="s">
        <v>24</v>
      </c>
      <c r="H527" s="7811" t="s">
        <v>24</v>
      </c>
      <c r="I527" s="7811" t="s">
        <v>1534</v>
      </c>
    </row>
    <row customHeight="1" ht="11.25">
      <c r="A528" s="7811" t="s">
        <v>2171</v>
      </c>
      <c r="B528" s="7811" t="s">
        <v>14</v>
      </c>
      <c r="C528" s="7811" t="s">
        <v>3474</v>
      </c>
      <c r="D528" s="7811" t="s">
        <v>3475</v>
      </c>
      <c r="E528" s="7811" t="s">
        <v>3476</v>
      </c>
      <c r="F528" s="7811" t="s">
        <v>2258</v>
      </c>
      <c r="G528" s="7811" t="s">
        <v>3477</v>
      </c>
      <c r="H528" s="7811" t="s">
        <v>24</v>
      </c>
      <c r="I528" s="7811" t="s">
        <v>1534</v>
      </c>
    </row>
    <row customHeight="1" ht="11.25">
      <c r="A529" s="7811" t="s">
        <v>2171</v>
      </c>
      <c r="B529" s="7811" t="s">
        <v>14</v>
      </c>
      <c r="C529" s="7811" t="s">
        <v>3478</v>
      </c>
      <c r="D529" s="7811" t="s">
        <v>3479</v>
      </c>
      <c r="E529" s="7811" t="s">
        <v>3480</v>
      </c>
      <c r="F529" s="7811" t="s">
        <v>2258</v>
      </c>
      <c r="G529" s="7811" t="s">
        <v>24</v>
      </c>
      <c r="H529" s="7811" t="s">
        <v>24</v>
      </c>
      <c r="I529" s="7811" t="s">
        <v>1534</v>
      </c>
    </row>
    <row customHeight="1" ht="11.25">
      <c r="A530" s="7811" t="s">
        <v>2171</v>
      </c>
      <c r="B530" s="7811" t="s">
        <v>14</v>
      </c>
      <c r="C530" s="7811" t="s">
        <v>3481</v>
      </c>
      <c r="D530" s="7811" t="s">
        <v>3482</v>
      </c>
      <c r="E530" s="7811" t="s">
        <v>3483</v>
      </c>
      <c r="F530" s="7811" t="s">
        <v>2240</v>
      </c>
      <c r="G530" s="7811" t="s">
        <v>24</v>
      </c>
      <c r="H530" s="7811" t="s">
        <v>24</v>
      </c>
      <c r="I530" s="7811" t="s">
        <v>1534</v>
      </c>
    </row>
    <row customHeight="1" ht="11.25">
      <c r="A531" s="7811" t="s">
        <v>2171</v>
      </c>
      <c r="B531" s="7811" t="s">
        <v>14</v>
      </c>
      <c r="C531" s="7811" t="s">
        <v>3484</v>
      </c>
      <c r="D531" s="7811" t="s">
        <v>3485</v>
      </c>
      <c r="E531" s="7811" t="s">
        <v>3486</v>
      </c>
      <c r="F531" s="7811" t="s">
        <v>3440</v>
      </c>
      <c r="G531" s="7811" t="s">
        <v>24</v>
      </c>
      <c r="H531" s="7811" t="s">
        <v>24</v>
      </c>
      <c r="I531" s="7811" t="s">
        <v>1534</v>
      </c>
    </row>
    <row customHeight="1" ht="11.25">
      <c r="A532" s="7811" t="s">
        <v>2171</v>
      </c>
      <c r="B532" s="7811" t="s">
        <v>14</v>
      </c>
      <c r="C532" s="7811" t="s">
        <v>3487</v>
      </c>
      <c r="D532" s="7811" t="s">
        <v>3488</v>
      </c>
      <c r="E532" s="7811" t="s">
        <v>3489</v>
      </c>
      <c r="F532" s="7811" t="s">
        <v>2453</v>
      </c>
      <c r="G532" s="7811" t="s">
        <v>24</v>
      </c>
      <c r="H532" s="7811" t="s">
        <v>24</v>
      </c>
      <c r="I532" s="7811" t="s">
        <v>1534</v>
      </c>
    </row>
    <row customHeight="1" ht="11.25">
      <c r="A533" s="7811" t="s">
        <v>2171</v>
      </c>
      <c r="B533" s="7811" t="s">
        <v>14</v>
      </c>
      <c r="C533" s="7811" t="s">
        <v>3490</v>
      </c>
      <c r="D533" s="7811" t="s">
        <v>3491</v>
      </c>
      <c r="E533" s="7811" t="s">
        <v>3492</v>
      </c>
      <c r="F533" s="7811" t="s">
        <v>2727</v>
      </c>
      <c r="G533" s="7811" t="s">
        <v>3493</v>
      </c>
      <c r="H533" s="7811" t="s">
        <v>24</v>
      </c>
      <c r="I533" s="7811" t="s">
        <v>1534</v>
      </c>
    </row>
    <row customHeight="1" ht="11.25">
      <c r="A534" s="7811" t="s">
        <v>2171</v>
      </c>
      <c r="B534" s="7811" t="s">
        <v>14</v>
      </c>
      <c r="C534" s="7811" t="s">
        <v>3494</v>
      </c>
      <c r="D534" s="7811" t="s">
        <v>3495</v>
      </c>
      <c r="E534" s="7811" t="s">
        <v>3496</v>
      </c>
      <c r="F534" s="7811" t="s">
        <v>2864</v>
      </c>
      <c r="G534" s="7811" t="s">
        <v>24</v>
      </c>
      <c r="H534" s="7811" t="s">
        <v>24</v>
      </c>
      <c r="I534" s="7811" t="s">
        <v>1534</v>
      </c>
    </row>
    <row customHeight="1" ht="11.25">
      <c r="A535" s="7811" t="s">
        <v>2171</v>
      </c>
      <c r="B535" s="7811" t="s">
        <v>14</v>
      </c>
      <c r="C535" s="7811" t="s">
        <v>3497</v>
      </c>
      <c r="D535" s="7811" t="s">
        <v>3498</v>
      </c>
      <c r="E535" s="7811" t="s">
        <v>3499</v>
      </c>
      <c r="F535" s="7811" t="s">
        <v>2379</v>
      </c>
      <c r="G535" s="7811" t="s">
        <v>24</v>
      </c>
      <c r="H535" s="7811" t="s">
        <v>24</v>
      </c>
      <c r="I535" s="7811" t="s">
        <v>1534</v>
      </c>
    </row>
    <row customHeight="1" ht="11.25">
      <c r="A536" s="7811" t="s">
        <v>2171</v>
      </c>
      <c r="B536" s="7811" t="s">
        <v>14</v>
      </c>
      <c r="C536" s="7811" t="s">
        <v>3500</v>
      </c>
      <c r="D536" s="7811" t="s">
        <v>3501</v>
      </c>
      <c r="E536" s="7811" t="s">
        <v>3502</v>
      </c>
      <c r="F536" s="7811" t="s">
        <v>2292</v>
      </c>
      <c r="G536" s="7811" t="s">
        <v>24</v>
      </c>
      <c r="H536" s="7811" t="s">
        <v>24</v>
      </c>
      <c r="I536" s="7811" t="s">
        <v>1534</v>
      </c>
    </row>
    <row customHeight="1" ht="11.25">
      <c r="A537" s="7811" t="s">
        <v>2171</v>
      </c>
      <c r="B537" s="7811" t="s">
        <v>14</v>
      </c>
      <c r="C537" s="7811" t="s">
        <v>3503</v>
      </c>
      <c r="D537" s="7811" t="s">
        <v>3504</v>
      </c>
      <c r="E537" s="7811" t="s">
        <v>3505</v>
      </c>
      <c r="F537" s="7811" t="s">
        <v>2466</v>
      </c>
      <c r="G537" s="7811" t="s">
        <v>24</v>
      </c>
      <c r="H537" s="7811" t="s">
        <v>24</v>
      </c>
      <c r="I537" s="7811" t="s">
        <v>1534</v>
      </c>
    </row>
    <row customHeight="1" ht="11.25">
      <c r="A538" s="7811" t="s">
        <v>2171</v>
      </c>
      <c r="B538" s="7811" t="s">
        <v>14</v>
      </c>
      <c r="C538" s="7811" t="s">
        <v>3506</v>
      </c>
      <c r="D538" s="7811" t="s">
        <v>3507</v>
      </c>
      <c r="E538" s="7811" t="s">
        <v>3508</v>
      </c>
      <c r="F538" s="7811" t="s">
        <v>2213</v>
      </c>
      <c r="G538" s="7811" t="s">
        <v>24</v>
      </c>
      <c r="H538" s="7811" t="s">
        <v>24</v>
      </c>
      <c r="I538" s="7811" t="s">
        <v>1534</v>
      </c>
    </row>
    <row customHeight="1" ht="11.25">
      <c r="A539" s="7811" t="s">
        <v>2171</v>
      </c>
      <c r="B539" s="7811" t="s">
        <v>14</v>
      </c>
      <c r="C539" s="7811" t="s">
        <v>3509</v>
      </c>
      <c r="D539" s="7811" t="s">
        <v>3510</v>
      </c>
      <c r="E539" s="7811" t="s">
        <v>3511</v>
      </c>
      <c r="F539" s="7811" t="s">
        <v>2213</v>
      </c>
      <c r="G539" s="7811" t="s">
        <v>24</v>
      </c>
      <c r="H539" s="7811" t="s">
        <v>24</v>
      </c>
      <c r="I539" s="7811" t="s">
        <v>1534</v>
      </c>
    </row>
    <row customHeight="1" ht="11.25">
      <c r="A540" s="7811" t="s">
        <v>2171</v>
      </c>
      <c r="B540" s="7811" t="s">
        <v>14</v>
      </c>
      <c r="C540" s="7811" t="s">
        <v>3512</v>
      </c>
      <c r="D540" s="7811" t="s">
        <v>3513</v>
      </c>
      <c r="E540" s="7811" t="s">
        <v>3514</v>
      </c>
      <c r="F540" s="7811" t="s">
        <v>2435</v>
      </c>
      <c r="G540" s="7811" t="s">
        <v>24</v>
      </c>
      <c r="H540" s="7811" t="s">
        <v>24</v>
      </c>
      <c r="I540" s="7811" t="s">
        <v>1534</v>
      </c>
    </row>
    <row customHeight="1" ht="11.25">
      <c r="A541" s="7811" t="s">
        <v>2171</v>
      </c>
      <c r="B541" s="7811" t="s">
        <v>14</v>
      </c>
      <c r="C541" s="7811" t="s">
        <v>3515</v>
      </c>
      <c r="D541" s="7811" t="s">
        <v>3516</v>
      </c>
      <c r="E541" s="7811" t="s">
        <v>3517</v>
      </c>
      <c r="F541" s="7811" t="s">
        <v>2302</v>
      </c>
      <c r="G541" s="7811" t="s">
        <v>24</v>
      </c>
      <c r="H541" s="7811" t="s">
        <v>24</v>
      </c>
      <c r="I541" s="7811" t="s">
        <v>1534</v>
      </c>
    </row>
    <row customHeight="1" ht="11.25">
      <c r="A542" s="7811" t="s">
        <v>2171</v>
      </c>
      <c r="B542" s="7811" t="s">
        <v>14</v>
      </c>
      <c r="C542" s="7811" t="s">
        <v>24</v>
      </c>
      <c r="D542" s="7811" t="s">
        <v>2810</v>
      </c>
      <c r="E542" s="7811" t="s">
        <v>2811</v>
      </c>
      <c r="F542" s="7811" t="s">
        <v>2453</v>
      </c>
      <c r="G542" s="7811" t="s">
        <v>24</v>
      </c>
      <c r="H542" s="7811" t="s">
        <v>24</v>
      </c>
      <c r="I542" s="7811" t="s">
        <v>1534</v>
      </c>
    </row>
  </sheetData>
  <sheetProtection formatColumns="0" formatRows="0"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1764BE1-6804-9449-0373-DB5C2B4BB6F8}" mc:Ignorable="x14ac xr xr2 xr3">
  <sheetPr>
    <tabColor rgb="FFFFCC99"/>
  </sheetPr>
  <dimension ref="A1:G464"/>
  <sheetViews>
    <sheetView topLeftCell="A1" showGridLines="0" workbookViewId="0">
      <selection activeCell="A1" sqref="A1"/>
    </sheetView>
  </sheetViews>
  <sheetFormatPr customHeight="1" defaultRowHeight="11.25"/>
  <cols>
    <col min="1" max="1" style="10513" width="9.140625"/>
  </cols>
  <sheetData>
    <row customHeight="1" ht="11.25">
      <c r="A1" s="527" t="s">
        <v>3518</v>
      </c>
      <c r="B1" s="215" t="s">
        <v>3519</v>
      </c>
      <c r="C1" s="215" t="s">
        <v>3520</v>
      </c>
      <c r="D1" s="215" t="s">
        <v>3521</v>
      </c>
      <c r="E1" s="74" t="s">
        <v>3522</v>
      </c>
      <c r="F1" s="74" t="s">
        <v>3523</v>
      </c>
      <c r="G1" s="74" t="s">
        <v>3524</v>
      </c>
    </row>
    <row customHeight="1" ht="11.25">
      <c r="A2" s="527" t="s">
        <v>14</v>
      </c>
      <c r="B2" s="0" t="s">
        <v>3525</v>
      </c>
      <c r="C2" s="0" t="s">
        <v>3526</v>
      </c>
      <c r="D2" s="0" t="s">
        <v>3525</v>
      </c>
      <c r="E2" s="0" t="s">
        <v>3526</v>
      </c>
      <c r="F2" s="0" t="s">
        <v>3527</v>
      </c>
      <c r="G2" s="0" t="s">
        <v>106</v>
      </c>
    </row>
    <row customHeight="1" ht="11.25">
      <c r="A3" s="527" t="s">
        <v>14</v>
      </c>
      <c r="B3" s="0" t="s">
        <v>3525</v>
      </c>
      <c r="C3" s="0" t="s">
        <v>3526</v>
      </c>
      <c r="D3" s="0" t="s">
        <v>3528</v>
      </c>
      <c r="E3" s="0" t="s">
        <v>3529</v>
      </c>
      <c r="F3" s="0" t="s">
        <v>3530</v>
      </c>
      <c r="G3" s="0" t="s">
        <v>107</v>
      </c>
    </row>
    <row customHeight="1" ht="11.25">
      <c r="A4" s="527" t="s">
        <v>14</v>
      </c>
      <c r="B4" s="0" t="s">
        <v>3525</v>
      </c>
      <c r="C4" s="0" t="s">
        <v>3526</v>
      </c>
      <c r="D4" s="0" t="s">
        <v>3531</v>
      </c>
      <c r="E4" s="0" t="s">
        <v>3532</v>
      </c>
      <c r="F4" s="0" t="s">
        <v>3530</v>
      </c>
      <c r="G4" s="0" t="s">
        <v>87</v>
      </c>
    </row>
    <row customHeight="1" ht="11.25">
      <c r="A5" s="527" t="s">
        <v>14</v>
      </c>
      <c r="B5" s="0" t="s">
        <v>3525</v>
      </c>
      <c r="C5" s="0" t="s">
        <v>3526</v>
      </c>
      <c r="D5" s="0" t="s">
        <v>3533</v>
      </c>
      <c r="E5" s="0" t="s">
        <v>3534</v>
      </c>
      <c r="F5" s="0" t="s">
        <v>3530</v>
      </c>
      <c r="G5" s="0" t="s">
        <v>88</v>
      </c>
    </row>
    <row customHeight="1" ht="11.25">
      <c r="A6" s="527" t="s">
        <v>14</v>
      </c>
      <c r="B6" s="0" t="s">
        <v>3525</v>
      </c>
      <c r="C6" s="0" t="s">
        <v>3526</v>
      </c>
      <c r="D6" s="0" t="s">
        <v>3535</v>
      </c>
      <c r="E6" s="0" t="s">
        <v>3536</v>
      </c>
      <c r="F6" s="0" t="s">
        <v>3530</v>
      </c>
      <c r="G6" s="0" t="s">
        <v>108</v>
      </c>
    </row>
    <row customHeight="1" ht="11.25">
      <c r="A7" s="527" t="s">
        <v>14</v>
      </c>
      <c r="B7" s="0" t="s">
        <v>3525</v>
      </c>
      <c r="C7" s="0" t="s">
        <v>3526</v>
      </c>
      <c r="D7" s="0" t="s">
        <v>3537</v>
      </c>
      <c r="E7" s="0" t="s">
        <v>3538</v>
      </c>
      <c r="F7" s="0" t="s">
        <v>3530</v>
      </c>
      <c r="G7" s="0" t="s">
        <v>89</v>
      </c>
    </row>
    <row customHeight="1" ht="11.25">
      <c r="A8" s="527" t="s">
        <v>14</v>
      </c>
      <c r="B8" s="0" t="s">
        <v>3525</v>
      </c>
      <c r="C8" s="0" t="s">
        <v>3526</v>
      </c>
      <c r="D8" s="0" t="s">
        <v>3539</v>
      </c>
      <c r="E8" s="0" t="s">
        <v>3540</v>
      </c>
      <c r="F8" s="0" t="s">
        <v>3530</v>
      </c>
      <c r="G8" s="0" t="s">
        <v>90</v>
      </c>
    </row>
    <row customHeight="1" ht="11.25">
      <c r="A9" s="527" t="s">
        <v>14</v>
      </c>
      <c r="B9" s="0" t="s">
        <v>3525</v>
      </c>
      <c r="C9" s="0" t="s">
        <v>3526</v>
      </c>
      <c r="D9" s="0" t="s">
        <v>3541</v>
      </c>
      <c r="E9" s="0" t="s">
        <v>3542</v>
      </c>
      <c r="F9" s="0" t="s">
        <v>3530</v>
      </c>
      <c r="G9" s="0" t="s">
        <v>109</v>
      </c>
    </row>
    <row customHeight="1" ht="11.25">
      <c r="A10" s="527" t="s">
        <v>14</v>
      </c>
      <c r="B10" s="0" t="s">
        <v>3525</v>
      </c>
      <c r="C10" s="0" t="s">
        <v>3526</v>
      </c>
      <c r="D10" s="0" t="s">
        <v>3543</v>
      </c>
      <c r="E10" s="0" t="s">
        <v>3544</v>
      </c>
      <c r="F10" s="0" t="s">
        <v>3530</v>
      </c>
      <c r="G10" s="0" t="s">
        <v>145</v>
      </c>
    </row>
    <row customHeight="1" ht="11.25">
      <c r="A11" s="527" t="s">
        <v>14</v>
      </c>
      <c r="B11" s="0" t="s">
        <v>3525</v>
      </c>
      <c r="C11" s="0" t="s">
        <v>3526</v>
      </c>
      <c r="D11" s="0" t="s">
        <v>3545</v>
      </c>
      <c r="E11" s="0" t="s">
        <v>3546</v>
      </c>
      <c r="F11" s="0" t="s">
        <v>3530</v>
      </c>
      <c r="G11" s="0" t="s">
        <v>146</v>
      </c>
    </row>
    <row customHeight="1" ht="11.25">
      <c r="A12" s="527" t="s">
        <v>14</v>
      </c>
      <c r="B12" s="0" t="s">
        <v>3525</v>
      </c>
      <c r="C12" s="0" t="s">
        <v>3526</v>
      </c>
      <c r="D12" s="0" t="s">
        <v>3547</v>
      </c>
      <c r="E12" s="0" t="s">
        <v>3548</v>
      </c>
      <c r="F12" s="0" t="s">
        <v>3530</v>
      </c>
      <c r="G12" s="0" t="s">
        <v>147</v>
      </c>
    </row>
    <row customHeight="1" ht="11.25">
      <c r="A13" s="527" t="s">
        <v>14</v>
      </c>
      <c r="B13" s="0" t="s">
        <v>3525</v>
      </c>
      <c r="C13" s="0" t="s">
        <v>3526</v>
      </c>
      <c r="D13" s="0" t="s">
        <v>3549</v>
      </c>
      <c r="E13" s="0" t="s">
        <v>3550</v>
      </c>
      <c r="F13" s="0" t="s">
        <v>3530</v>
      </c>
      <c r="G13" s="0" t="s">
        <v>148</v>
      </c>
    </row>
    <row customHeight="1" ht="11.25">
      <c r="A14" s="527" t="s">
        <v>14</v>
      </c>
      <c r="B14" s="0" t="s">
        <v>3525</v>
      </c>
      <c r="C14" s="0" t="s">
        <v>3526</v>
      </c>
      <c r="D14" s="0" t="s">
        <v>3551</v>
      </c>
      <c r="E14" s="0" t="s">
        <v>3552</v>
      </c>
      <c r="F14" s="0" t="s">
        <v>3530</v>
      </c>
      <c r="G14" s="0" t="s">
        <v>149</v>
      </c>
    </row>
    <row customHeight="1" ht="11.25">
      <c r="A15" s="527" t="s">
        <v>14</v>
      </c>
      <c r="B15" s="0" t="s">
        <v>3525</v>
      </c>
      <c r="C15" s="0" t="s">
        <v>3526</v>
      </c>
      <c r="D15" s="0" t="s">
        <v>3553</v>
      </c>
      <c r="E15" s="0" t="s">
        <v>3554</v>
      </c>
      <c r="F15" s="0" t="s">
        <v>3530</v>
      </c>
      <c r="G15" s="0" t="s">
        <v>150</v>
      </c>
    </row>
    <row customHeight="1" ht="11.25">
      <c r="A16" s="527" t="s">
        <v>14</v>
      </c>
      <c r="B16" s="0" t="s">
        <v>3525</v>
      </c>
      <c r="C16" s="0" t="s">
        <v>3526</v>
      </c>
      <c r="D16" s="0" t="s">
        <v>3555</v>
      </c>
      <c r="E16" s="0" t="s">
        <v>3556</v>
      </c>
      <c r="F16" s="0" t="s">
        <v>3530</v>
      </c>
      <c r="G16" s="0" t="s">
        <v>1379</v>
      </c>
    </row>
    <row customHeight="1" ht="11.25">
      <c r="A17" s="527" t="s">
        <v>14</v>
      </c>
      <c r="B17" s="0" t="s">
        <v>3525</v>
      </c>
      <c r="C17" s="0" t="s">
        <v>3526</v>
      </c>
      <c r="D17" s="0" t="s">
        <v>3557</v>
      </c>
      <c r="E17" s="0" t="s">
        <v>3558</v>
      </c>
      <c r="F17" s="0" t="s">
        <v>3530</v>
      </c>
      <c r="G17" s="0" t="s">
        <v>1385</v>
      </c>
    </row>
    <row customHeight="1" ht="11.25">
      <c r="A18" s="527" t="s">
        <v>14</v>
      </c>
      <c r="B18" s="0" t="s">
        <v>3525</v>
      </c>
      <c r="C18" s="0" t="s">
        <v>3526</v>
      </c>
      <c r="D18" s="0" t="s">
        <v>3559</v>
      </c>
      <c r="E18" s="0" t="s">
        <v>3560</v>
      </c>
      <c r="F18" s="0" t="s">
        <v>3530</v>
      </c>
      <c r="G18" s="0" t="s">
        <v>1396</v>
      </c>
    </row>
    <row customHeight="1" ht="11.25">
      <c r="A19" s="527" t="s">
        <v>14</v>
      </c>
      <c r="B19" s="0" t="s">
        <v>3525</v>
      </c>
      <c r="C19" s="0" t="s">
        <v>3526</v>
      </c>
      <c r="D19" s="0" t="s">
        <v>3561</v>
      </c>
      <c r="E19" s="0" t="s">
        <v>3562</v>
      </c>
      <c r="F19" s="0" t="s">
        <v>3530</v>
      </c>
      <c r="G19" s="0" t="s">
        <v>1410</v>
      </c>
    </row>
    <row customHeight="1" ht="11.25">
      <c r="A20" s="527" t="s">
        <v>14</v>
      </c>
      <c r="B20" s="0" t="s">
        <v>3525</v>
      </c>
      <c r="C20" s="0" t="s">
        <v>3526</v>
      </c>
      <c r="D20" s="0" t="s">
        <v>3563</v>
      </c>
      <c r="E20" s="0" t="s">
        <v>3564</v>
      </c>
      <c r="F20" s="0" t="s">
        <v>3530</v>
      </c>
      <c r="G20" s="0" t="s">
        <v>1422</v>
      </c>
    </row>
    <row customHeight="1" ht="11.25">
      <c r="A21" s="527" t="s">
        <v>14</v>
      </c>
      <c r="B21" s="0" t="s">
        <v>3565</v>
      </c>
      <c r="C21" s="0" t="s">
        <v>3566</v>
      </c>
      <c r="D21" s="0" t="s">
        <v>3565</v>
      </c>
      <c r="E21" s="0" t="s">
        <v>3566</v>
      </c>
      <c r="F21" s="0" t="s">
        <v>3527</v>
      </c>
      <c r="G21" s="0" t="s">
        <v>1431</v>
      </c>
    </row>
    <row customHeight="1" ht="11.25">
      <c r="A22" s="527" t="s">
        <v>14</v>
      </c>
      <c r="B22" s="0" t="s">
        <v>3565</v>
      </c>
      <c r="C22" s="0" t="s">
        <v>3566</v>
      </c>
      <c r="D22" s="0" t="s">
        <v>3567</v>
      </c>
      <c r="E22" s="0" t="s">
        <v>3568</v>
      </c>
      <c r="F22" s="0" t="s">
        <v>3569</v>
      </c>
      <c r="G22" s="0" t="s">
        <v>1447</v>
      </c>
    </row>
    <row customHeight="1" ht="11.25">
      <c r="A23" s="527" t="s">
        <v>14</v>
      </c>
      <c r="B23" s="0" t="s">
        <v>3565</v>
      </c>
      <c r="C23" s="0" t="s">
        <v>3566</v>
      </c>
      <c r="D23" s="0" t="s">
        <v>3570</v>
      </c>
      <c r="E23" s="0" t="s">
        <v>3571</v>
      </c>
      <c r="F23" s="0" t="s">
        <v>3530</v>
      </c>
      <c r="G23" s="0" t="s">
        <v>1454</v>
      </c>
    </row>
    <row customHeight="1" ht="11.25">
      <c r="A24" s="527" t="s">
        <v>14</v>
      </c>
      <c r="B24" s="0" t="s">
        <v>3565</v>
      </c>
      <c r="C24" s="0" t="s">
        <v>3566</v>
      </c>
      <c r="D24" s="0" t="s">
        <v>3572</v>
      </c>
      <c r="E24" s="0" t="s">
        <v>3573</v>
      </c>
      <c r="F24" s="0" t="s">
        <v>3530</v>
      </c>
      <c r="G24" s="0" t="s">
        <v>1462</v>
      </c>
    </row>
    <row customHeight="1" ht="11.25">
      <c r="A25" s="527" t="s">
        <v>14</v>
      </c>
      <c r="B25" s="0" t="s">
        <v>3565</v>
      </c>
      <c r="C25" s="0" t="s">
        <v>3566</v>
      </c>
      <c r="D25" s="0" t="s">
        <v>3574</v>
      </c>
      <c r="E25" s="0" t="s">
        <v>3575</v>
      </c>
      <c r="F25" s="0" t="s">
        <v>3530</v>
      </c>
      <c r="G25" s="0" t="s">
        <v>1469</v>
      </c>
    </row>
    <row customHeight="1" ht="11.25">
      <c r="A26" s="527" t="s">
        <v>14</v>
      </c>
      <c r="B26" s="0" t="s">
        <v>3565</v>
      </c>
      <c r="C26" s="0" t="s">
        <v>3566</v>
      </c>
      <c r="D26" s="0" t="s">
        <v>3576</v>
      </c>
      <c r="E26" s="0" t="s">
        <v>3577</v>
      </c>
      <c r="F26" s="0" t="s">
        <v>3530</v>
      </c>
      <c r="G26" s="0" t="s">
        <v>1473</v>
      </c>
    </row>
    <row customHeight="1" ht="11.25">
      <c r="A27" s="527" t="s">
        <v>14</v>
      </c>
      <c r="B27" s="0" t="s">
        <v>3565</v>
      </c>
      <c r="C27" s="0" t="s">
        <v>3566</v>
      </c>
      <c r="D27" s="0" t="s">
        <v>3578</v>
      </c>
      <c r="E27" s="0" t="s">
        <v>3579</v>
      </c>
      <c r="F27" s="0" t="s">
        <v>3530</v>
      </c>
      <c r="G27" s="0" t="s">
        <v>1478</v>
      </c>
    </row>
    <row customHeight="1" ht="11.25">
      <c r="A28" s="527" t="s">
        <v>14</v>
      </c>
      <c r="B28" s="0" t="s">
        <v>3565</v>
      </c>
      <c r="C28" s="0" t="s">
        <v>3566</v>
      </c>
      <c r="D28" s="0" t="s">
        <v>3580</v>
      </c>
      <c r="E28" s="0" t="s">
        <v>3581</v>
      </c>
      <c r="F28" s="0" t="s">
        <v>3530</v>
      </c>
      <c r="G28" s="0" t="s">
        <v>1486</v>
      </c>
    </row>
    <row customHeight="1" ht="11.25">
      <c r="A29" s="527" t="s">
        <v>14</v>
      </c>
      <c r="B29" s="0" t="s">
        <v>3565</v>
      </c>
      <c r="C29" s="0" t="s">
        <v>3566</v>
      </c>
      <c r="D29" s="0" t="s">
        <v>3582</v>
      </c>
      <c r="E29" s="0" t="s">
        <v>3583</v>
      </c>
      <c r="F29" s="0" t="s">
        <v>3530</v>
      </c>
      <c r="G29" s="0" t="s">
        <v>1488</v>
      </c>
    </row>
    <row customHeight="1" ht="11.25">
      <c r="A30" s="527" t="s">
        <v>14</v>
      </c>
      <c r="B30" s="0" t="s">
        <v>3565</v>
      </c>
      <c r="C30" s="0" t="s">
        <v>3566</v>
      </c>
      <c r="D30" s="0" t="s">
        <v>3584</v>
      </c>
      <c r="E30" s="0" t="s">
        <v>3585</v>
      </c>
      <c r="F30" s="0" t="s">
        <v>3530</v>
      </c>
      <c r="G30" s="0" t="s">
        <v>1491</v>
      </c>
    </row>
    <row customHeight="1" ht="11.25">
      <c r="A31" s="527" t="s">
        <v>14</v>
      </c>
      <c r="B31" s="0" t="s">
        <v>3565</v>
      </c>
      <c r="C31" s="0" t="s">
        <v>3566</v>
      </c>
      <c r="D31" s="0" t="s">
        <v>3586</v>
      </c>
      <c r="E31" s="0" t="s">
        <v>3587</v>
      </c>
      <c r="F31" s="0" t="s">
        <v>3530</v>
      </c>
      <c r="G31" s="0" t="s">
        <v>1496</v>
      </c>
    </row>
    <row customHeight="1" ht="11.25">
      <c r="A32" s="527" t="s">
        <v>14</v>
      </c>
      <c r="B32" s="0" t="s">
        <v>3565</v>
      </c>
      <c r="C32" s="0" t="s">
        <v>3566</v>
      </c>
      <c r="D32" s="0" t="s">
        <v>3588</v>
      </c>
      <c r="E32" s="0" t="s">
        <v>3589</v>
      </c>
      <c r="F32" s="0" t="s">
        <v>3530</v>
      </c>
      <c r="G32" s="0" t="s">
        <v>1498</v>
      </c>
    </row>
    <row customHeight="1" ht="11.25">
      <c r="A33" s="527" t="s">
        <v>14</v>
      </c>
      <c r="B33" s="0" t="s">
        <v>3590</v>
      </c>
      <c r="C33" s="0" t="s">
        <v>3591</v>
      </c>
      <c r="D33" s="0" t="s">
        <v>3592</v>
      </c>
      <c r="E33" s="0" t="s">
        <v>3593</v>
      </c>
      <c r="F33" s="0" t="s">
        <v>3530</v>
      </c>
      <c r="G33" s="0" t="s">
        <v>1500</v>
      </c>
    </row>
    <row customHeight="1" ht="11.25">
      <c r="A34" s="527" t="s">
        <v>14</v>
      </c>
      <c r="B34" s="0" t="s">
        <v>3590</v>
      </c>
      <c r="C34" s="0" t="s">
        <v>3591</v>
      </c>
      <c r="D34" s="0" t="s">
        <v>3590</v>
      </c>
      <c r="E34" s="0" t="s">
        <v>3591</v>
      </c>
      <c r="F34" s="0" t="s">
        <v>3527</v>
      </c>
      <c r="G34" s="0" t="s">
        <v>1502</v>
      </c>
    </row>
    <row customHeight="1" ht="11.25">
      <c r="A35" s="527" t="s">
        <v>14</v>
      </c>
      <c r="B35" s="0" t="s">
        <v>3590</v>
      </c>
      <c r="C35" s="0" t="s">
        <v>3591</v>
      </c>
      <c r="D35" s="0" t="s">
        <v>3594</v>
      </c>
      <c r="E35" s="0" t="s">
        <v>3595</v>
      </c>
      <c r="F35" s="0" t="s">
        <v>3530</v>
      </c>
      <c r="G35" s="0" t="s">
        <v>1507</v>
      </c>
    </row>
    <row customHeight="1" ht="11.25">
      <c r="A36" s="527" t="s">
        <v>14</v>
      </c>
      <c r="B36" s="0" t="s">
        <v>3590</v>
      </c>
      <c r="C36" s="0" t="s">
        <v>3591</v>
      </c>
      <c r="D36" s="0" t="s">
        <v>3596</v>
      </c>
      <c r="E36" s="0" t="s">
        <v>3597</v>
      </c>
      <c r="F36" s="0" t="s">
        <v>3530</v>
      </c>
      <c r="G36" s="0" t="s">
        <v>1512</v>
      </c>
    </row>
    <row customHeight="1" ht="11.25">
      <c r="A37" s="527" t="s">
        <v>14</v>
      </c>
      <c r="B37" s="0" t="s">
        <v>3590</v>
      </c>
      <c r="C37" s="0" t="s">
        <v>3591</v>
      </c>
      <c r="D37" s="0" t="s">
        <v>3598</v>
      </c>
      <c r="E37" s="0" t="s">
        <v>3599</v>
      </c>
      <c r="F37" s="0" t="s">
        <v>3530</v>
      </c>
      <c r="G37" s="0" t="s">
        <v>1516</v>
      </c>
    </row>
    <row customHeight="1" ht="11.25">
      <c r="A38" s="527" t="s">
        <v>14</v>
      </c>
      <c r="B38" s="0" t="s">
        <v>3590</v>
      </c>
      <c r="C38" s="0" t="s">
        <v>3591</v>
      </c>
      <c r="D38" s="0" t="s">
        <v>3600</v>
      </c>
      <c r="E38" s="0" t="s">
        <v>3601</v>
      </c>
      <c r="F38" s="0" t="s">
        <v>3530</v>
      </c>
      <c r="G38" s="0" t="s">
        <v>1524</v>
      </c>
    </row>
    <row customHeight="1" ht="11.25">
      <c r="A39" s="527" t="s">
        <v>14</v>
      </c>
      <c r="B39" s="0" t="s">
        <v>3602</v>
      </c>
      <c r="C39" s="0" t="s">
        <v>3603</v>
      </c>
      <c r="D39" s="0" t="s">
        <v>3602</v>
      </c>
      <c r="E39" s="0" t="s">
        <v>3603</v>
      </c>
      <c r="F39" s="0" t="s">
        <v>3527</v>
      </c>
      <c r="G39" s="0" t="s">
        <v>1530</v>
      </c>
    </row>
    <row customHeight="1" ht="11.25">
      <c r="A40" s="527" t="s">
        <v>14</v>
      </c>
      <c r="B40" s="0" t="s">
        <v>3602</v>
      </c>
      <c r="C40" s="0" t="s">
        <v>3603</v>
      </c>
      <c r="D40" s="0" t="s">
        <v>3604</v>
      </c>
      <c r="E40" s="0" t="s">
        <v>3605</v>
      </c>
      <c r="F40" s="0" t="s">
        <v>3569</v>
      </c>
      <c r="G40" s="0" t="s">
        <v>1535</v>
      </c>
    </row>
    <row customHeight="1" ht="11.25">
      <c r="A41" s="527" t="s">
        <v>14</v>
      </c>
      <c r="B41" s="0" t="s">
        <v>3602</v>
      </c>
      <c r="C41" s="0" t="s">
        <v>3603</v>
      </c>
      <c r="D41" s="0" t="s">
        <v>3606</v>
      </c>
      <c r="E41" s="0" t="s">
        <v>3607</v>
      </c>
      <c r="F41" s="0" t="s">
        <v>3530</v>
      </c>
      <c r="G41" s="0" t="s">
        <v>1539</v>
      </c>
    </row>
    <row customHeight="1" ht="11.25">
      <c r="A42" s="527" t="s">
        <v>14</v>
      </c>
      <c r="B42" s="0" t="s">
        <v>3602</v>
      </c>
      <c r="C42" s="0" t="s">
        <v>3603</v>
      </c>
      <c r="D42" s="0" t="s">
        <v>3608</v>
      </c>
      <c r="E42" s="0" t="s">
        <v>3609</v>
      </c>
      <c r="F42" s="0" t="s">
        <v>3530</v>
      </c>
      <c r="G42" s="0" t="s">
        <v>1542</v>
      </c>
    </row>
    <row customHeight="1" ht="11.25">
      <c r="A43" s="527" t="s">
        <v>14</v>
      </c>
      <c r="B43" s="0" t="s">
        <v>3602</v>
      </c>
      <c r="C43" s="0" t="s">
        <v>3603</v>
      </c>
      <c r="D43" s="0" t="s">
        <v>3610</v>
      </c>
      <c r="E43" s="0" t="s">
        <v>3611</v>
      </c>
      <c r="F43" s="0" t="s">
        <v>3530</v>
      </c>
      <c r="G43" s="0" t="s">
        <v>1549</v>
      </c>
    </row>
    <row customHeight="1" ht="11.25">
      <c r="A44" s="527" t="s">
        <v>14</v>
      </c>
      <c r="B44" s="0" t="s">
        <v>3602</v>
      </c>
      <c r="C44" s="0" t="s">
        <v>3603</v>
      </c>
      <c r="D44" s="0" t="s">
        <v>3612</v>
      </c>
      <c r="E44" s="0" t="s">
        <v>3613</v>
      </c>
      <c r="F44" s="0" t="s">
        <v>3530</v>
      </c>
      <c r="G44" s="0" t="s">
        <v>1558</v>
      </c>
    </row>
    <row customHeight="1" ht="11.25">
      <c r="A45" s="527" t="s">
        <v>14</v>
      </c>
      <c r="B45" s="0" t="s">
        <v>3602</v>
      </c>
      <c r="C45" s="0" t="s">
        <v>3603</v>
      </c>
      <c r="D45" s="0" t="s">
        <v>3614</v>
      </c>
      <c r="E45" s="0" t="s">
        <v>3615</v>
      </c>
      <c r="F45" s="0" t="s">
        <v>3530</v>
      </c>
      <c r="G45" s="0" t="s">
        <v>1563</v>
      </c>
    </row>
    <row customHeight="1" ht="11.25">
      <c r="A46" s="527" t="s">
        <v>14</v>
      </c>
      <c r="B46" s="0" t="s">
        <v>3602</v>
      </c>
      <c r="C46" s="0" t="s">
        <v>3603</v>
      </c>
      <c r="D46" s="0" t="s">
        <v>3616</v>
      </c>
      <c r="E46" s="0" t="s">
        <v>3617</v>
      </c>
      <c r="F46" s="0" t="s">
        <v>3530</v>
      </c>
      <c r="G46" s="0" t="s">
        <v>1567</v>
      </c>
    </row>
    <row customHeight="1" ht="11.25">
      <c r="A47" s="527" t="s">
        <v>14</v>
      </c>
      <c r="B47" s="0" t="s">
        <v>3602</v>
      </c>
      <c r="C47" s="0" t="s">
        <v>3603</v>
      </c>
      <c r="D47" s="0" t="s">
        <v>3618</v>
      </c>
      <c r="E47" s="0" t="s">
        <v>3619</v>
      </c>
      <c r="F47" s="0" t="s">
        <v>3530</v>
      </c>
      <c r="G47" s="0" t="s">
        <v>1573</v>
      </c>
    </row>
    <row customHeight="1" ht="11.25">
      <c r="A48" s="527" t="s">
        <v>14</v>
      </c>
      <c r="B48" s="0" t="s">
        <v>3602</v>
      </c>
      <c r="C48" s="0" t="s">
        <v>3603</v>
      </c>
      <c r="D48" s="0" t="s">
        <v>3620</v>
      </c>
      <c r="E48" s="0" t="s">
        <v>3621</v>
      </c>
      <c r="F48" s="0" t="s">
        <v>3530</v>
      </c>
      <c r="G48" s="0" t="s">
        <v>1578</v>
      </c>
    </row>
    <row customHeight="1" ht="11.25">
      <c r="A49" s="527" t="s">
        <v>14</v>
      </c>
      <c r="B49" s="0" t="s">
        <v>3602</v>
      </c>
      <c r="C49" s="0" t="s">
        <v>3603</v>
      </c>
      <c r="D49" s="0" t="s">
        <v>3622</v>
      </c>
      <c r="E49" s="0" t="s">
        <v>3623</v>
      </c>
      <c r="F49" s="0" t="s">
        <v>3530</v>
      </c>
      <c r="G49" s="0" t="s">
        <v>1581</v>
      </c>
    </row>
    <row customHeight="1" ht="11.25">
      <c r="A50" s="527" t="s">
        <v>14</v>
      </c>
      <c r="B50" s="0" t="s">
        <v>3602</v>
      </c>
      <c r="C50" s="0" t="s">
        <v>3603</v>
      </c>
      <c r="D50" s="0" t="s">
        <v>3624</v>
      </c>
      <c r="E50" s="0" t="s">
        <v>3625</v>
      </c>
      <c r="F50" s="0" t="s">
        <v>3530</v>
      </c>
      <c r="G50" s="0" t="s">
        <v>1585</v>
      </c>
    </row>
    <row customHeight="1" ht="11.25">
      <c r="A51" s="527" t="s">
        <v>14</v>
      </c>
      <c r="B51" s="0" t="s">
        <v>3602</v>
      </c>
      <c r="C51" s="0" t="s">
        <v>3603</v>
      </c>
      <c r="D51" s="0" t="s">
        <v>3626</v>
      </c>
      <c r="E51" s="0" t="s">
        <v>3627</v>
      </c>
      <c r="F51" s="0" t="s">
        <v>3569</v>
      </c>
      <c r="G51" s="0" t="s">
        <v>1589</v>
      </c>
    </row>
    <row customHeight="1" ht="11.25">
      <c r="A52" s="527" t="s">
        <v>14</v>
      </c>
      <c r="B52" s="0" t="s">
        <v>3628</v>
      </c>
      <c r="C52" s="0" t="s">
        <v>3629</v>
      </c>
      <c r="D52" s="0" t="s">
        <v>3628</v>
      </c>
      <c r="E52" s="0" t="s">
        <v>3629</v>
      </c>
      <c r="F52" s="0" t="s">
        <v>3527</v>
      </c>
      <c r="G52" s="0" t="s">
        <v>1593</v>
      </c>
    </row>
    <row customHeight="1" ht="11.25">
      <c r="A53" s="527" t="s">
        <v>14</v>
      </c>
      <c r="B53" s="0" t="s">
        <v>3628</v>
      </c>
      <c r="C53" s="0" t="s">
        <v>3629</v>
      </c>
      <c r="D53" s="0" t="s">
        <v>3630</v>
      </c>
      <c r="E53" s="0" t="s">
        <v>3631</v>
      </c>
      <c r="F53" s="0" t="s">
        <v>3530</v>
      </c>
      <c r="G53" s="0" t="s">
        <v>1595</v>
      </c>
    </row>
    <row customHeight="1" ht="11.25">
      <c r="A54" s="527" t="s">
        <v>14</v>
      </c>
      <c r="B54" s="0" t="s">
        <v>3628</v>
      </c>
      <c r="C54" s="0" t="s">
        <v>3629</v>
      </c>
      <c r="D54" s="0" t="s">
        <v>3632</v>
      </c>
      <c r="E54" s="0" t="s">
        <v>3633</v>
      </c>
      <c r="F54" s="0" t="s">
        <v>3530</v>
      </c>
      <c r="G54" s="0" t="s">
        <v>1598</v>
      </c>
    </row>
    <row customHeight="1" ht="11.25">
      <c r="A55" s="527" t="s">
        <v>14</v>
      </c>
      <c r="B55" s="0" t="s">
        <v>3628</v>
      </c>
      <c r="C55" s="0" t="s">
        <v>3629</v>
      </c>
      <c r="D55" s="0" t="s">
        <v>3634</v>
      </c>
      <c r="E55" s="0" t="s">
        <v>3635</v>
      </c>
      <c r="F55" s="0" t="s">
        <v>3530</v>
      </c>
      <c r="G55" s="0" t="s">
        <v>1602</v>
      </c>
    </row>
    <row customHeight="1" ht="11.25">
      <c r="A56" s="527" t="s">
        <v>14</v>
      </c>
      <c r="B56" s="0" t="s">
        <v>3628</v>
      </c>
      <c r="C56" s="0" t="s">
        <v>3629</v>
      </c>
      <c r="D56" s="0" t="s">
        <v>3636</v>
      </c>
      <c r="E56" s="0" t="s">
        <v>3637</v>
      </c>
      <c r="F56" s="0" t="s">
        <v>3530</v>
      </c>
      <c r="G56" s="0" t="s">
        <v>1605</v>
      </c>
    </row>
    <row customHeight="1" ht="11.25">
      <c r="A57" s="527" t="s">
        <v>14</v>
      </c>
      <c r="B57" s="0" t="s">
        <v>3628</v>
      </c>
      <c r="C57" s="0" t="s">
        <v>3629</v>
      </c>
      <c r="D57" s="0" t="s">
        <v>3638</v>
      </c>
      <c r="E57" s="0" t="s">
        <v>3639</v>
      </c>
      <c r="F57" s="0" t="s">
        <v>3530</v>
      </c>
      <c r="G57" s="0" t="s">
        <v>1608</v>
      </c>
    </row>
    <row customHeight="1" ht="11.25">
      <c r="A58" s="527" t="s">
        <v>14</v>
      </c>
      <c r="B58" s="0" t="s">
        <v>3628</v>
      </c>
      <c r="C58" s="0" t="s">
        <v>3629</v>
      </c>
      <c r="D58" s="0" t="s">
        <v>3640</v>
      </c>
      <c r="E58" s="0" t="s">
        <v>3641</v>
      </c>
      <c r="F58" s="0" t="s">
        <v>3530</v>
      </c>
      <c r="G58" s="0" t="s">
        <v>1611</v>
      </c>
    </row>
    <row customHeight="1" ht="11.25">
      <c r="A59" s="527" t="s">
        <v>14</v>
      </c>
      <c r="B59" s="0" t="s">
        <v>3628</v>
      </c>
      <c r="C59" s="0" t="s">
        <v>3629</v>
      </c>
      <c r="D59" s="0" t="s">
        <v>3642</v>
      </c>
      <c r="E59" s="0" t="s">
        <v>3643</v>
      </c>
      <c r="F59" s="0" t="s">
        <v>3530</v>
      </c>
      <c r="G59" s="0" t="s">
        <v>1615</v>
      </c>
    </row>
    <row customHeight="1" ht="11.25">
      <c r="A60" s="527" t="s">
        <v>14</v>
      </c>
      <c r="B60" s="0" t="s">
        <v>3644</v>
      </c>
      <c r="C60" s="0" t="s">
        <v>3645</v>
      </c>
      <c r="D60" s="0" t="s">
        <v>3644</v>
      </c>
      <c r="E60" s="0" t="s">
        <v>3645</v>
      </c>
      <c r="F60" s="0" t="s">
        <v>3527</v>
      </c>
      <c r="G60" s="0" t="s">
        <v>1618</v>
      </c>
    </row>
    <row customHeight="1" ht="11.25">
      <c r="A61" s="527" t="s">
        <v>14</v>
      </c>
      <c r="B61" s="0" t="s">
        <v>3644</v>
      </c>
      <c r="C61" s="0" t="s">
        <v>3645</v>
      </c>
      <c r="D61" s="0" t="s">
        <v>3646</v>
      </c>
      <c r="E61" s="0" t="s">
        <v>3647</v>
      </c>
      <c r="F61" s="0" t="s">
        <v>3530</v>
      </c>
      <c r="G61" s="0" t="s">
        <v>3648</v>
      </c>
    </row>
    <row customHeight="1" ht="11.25">
      <c r="A62" s="527" t="s">
        <v>14</v>
      </c>
      <c r="B62" s="0" t="s">
        <v>3644</v>
      </c>
      <c r="C62" s="0" t="s">
        <v>3645</v>
      </c>
      <c r="D62" s="0" t="s">
        <v>3649</v>
      </c>
      <c r="E62" s="0" t="s">
        <v>3650</v>
      </c>
      <c r="F62" s="0" t="s">
        <v>3530</v>
      </c>
      <c r="G62" s="0" t="s">
        <v>3651</v>
      </c>
    </row>
    <row customHeight="1" ht="11.25">
      <c r="A63" s="527" t="s">
        <v>14</v>
      </c>
      <c r="B63" s="0" t="s">
        <v>3644</v>
      </c>
      <c r="C63" s="0" t="s">
        <v>3645</v>
      </c>
      <c r="D63" s="0" t="s">
        <v>3652</v>
      </c>
      <c r="E63" s="0" t="s">
        <v>3653</v>
      </c>
      <c r="F63" s="0" t="s">
        <v>3530</v>
      </c>
      <c r="G63" s="0" t="s">
        <v>3654</v>
      </c>
    </row>
    <row customHeight="1" ht="11.25">
      <c r="A64" s="527" t="s">
        <v>14</v>
      </c>
      <c r="B64" s="0" t="s">
        <v>3644</v>
      </c>
      <c r="C64" s="0" t="s">
        <v>3645</v>
      </c>
      <c r="D64" s="0" t="s">
        <v>3655</v>
      </c>
      <c r="E64" s="0" t="s">
        <v>3656</v>
      </c>
      <c r="F64" s="0" t="s">
        <v>3530</v>
      </c>
      <c r="G64" s="0" t="s">
        <v>3657</v>
      </c>
    </row>
    <row customHeight="1" ht="11.25">
      <c r="A65" s="527" t="s">
        <v>14</v>
      </c>
      <c r="B65" s="0" t="s">
        <v>3644</v>
      </c>
      <c r="C65" s="0" t="s">
        <v>3645</v>
      </c>
      <c r="D65" s="0" t="s">
        <v>3658</v>
      </c>
      <c r="E65" s="0" t="s">
        <v>3659</v>
      </c>
      <c r="F65" s="0" t="s">
        <v>3530</v>
      </c>
      <c r="G65" s="0" t="s">
        <v>3660</v>
      </c>
    </row>
    <row customHeight="1" ht="11.25">
      <c r="A66" s="527" t="s">
        <v>14</v>
      </c>
      <c r="B66" s="0" t="s">
        <v>3644</v>
      </c>
      <c r="C66" s="0" t="s">
        <v>3645</v>
      </c>
      <c r="D66" s="0" t="s">
        <v>3661</v>
      </c>
      <c r="E66" s="0" t="s">
        <v>3662</v>
      </c>
      <c r="F66" s="0" t="s">
        <v>3530</v>
      </c>
      <c r="G66" s="0" t="s">
        <v>3663</v>
      </c>
    </row>
    <row customHeight="1" ht="11.25">
      <c r="A67" s="527" t="s">
        <v>14</v>
      </c>
      <c r="B67" s="0" t="s">
        <v>3644</v>
      </c>
      <c r="C67" s="0" t="s">
        <v>3645</v>
      </c>
      <c r="D67" s="0" t="s">
        <v>3664</v>
      </c>
      <c r="E67" s="0" t="s">
        <v>3665</v>
      </c>
      <c r="F67" s="0" t="s">
        <v>3530</v>
      </c>
      <c r="G67" s="0" t="s">
        <v>1937</v>
      </c>
    </row>
    <row customHeight="1" ht="11.25">
      <c r="A68" s="527" t="s">
        <v>14</v>
      </c>
      <c r="B68" s="0" t="s">
        <v>3644</v>
      </c>
      <c r="C68" s="0" t="s">
        <v>3645</v>
      </c>
      <c r="D68" s="0" t="s">
        <v>3666</v>
      </c>
      <c r="E68" s="0" t="s">
        <v>3667</v>
      </c>
      <c r="F68" s="0" t="s">
        <v>3530</v>
      </c>
      <c r="G68" s="0" t="s">
        <v>3668</v>
      </c>
    </row>
    <row customHeight="1" ht="11.25">
      <c r="A69" s="527" t="s">
        <v>14</v>
      </c>
      <c r="B69" s="0" t="s">
        <v>3644</v>
      </c>
      <c r="C69" s="0" t="s">
        <v>3645</v>
      </c>
      <c r="D69" s="0" t="s">
        <v>3669</v>
      </c>
      <c r="E69" s="0" t="s">
        <v>3670</v>
      </c>
      <c r="F69" s="0" t="s">
        <v>3530</v>
      </c>
      <c r="G69" s="0" t="s">
        <v>2148</v>
      </c>
    </row>
    <row customHeight="1" ht="11.25">
      <c r="A70" s="527" t="s">
        <v>14</v>
      </c>
      <c r="B70" s="0" t="s">
        <v>3644</v>
      </c>
      <c r="C70" s="0" t="s">
        <v>3645</v>
      </c>
      <c r="D70" s="0" t="s">
        <v>3671</v>
      </c>
      <c r="E70" s="0" t="s">
        <v>3672</v>
      </c>
      <c r="F70" s="0" t="s">
        <v>3530</v>
      </c>
      <c r="G70" s="0" t="s">
        <v>3673</v>
      </c>
    </row>
    <row customHeight="1" ht="11.25">
      <c r="A71" s="527" t="s">
        <v>14</v>
      </c>
      <c r="B71" s="0" t="s">
        <v>3674</v>
      </c>
      <c r="C71" s="0" t="s">
        <v>3675</v>
      </c>
      <c r="D71" s="0" t="s">
        <v>3676</v>
      </c>
      <c r="E71" s="0" t="s">
        <v>3677</v>
      </c>
      <c r="F71" s="0" t="s">
        <v>3530</v>
      </c>
      <c r="G71" s="0" t="s">
        <v>3678</v>
      </c>
    </row>
    <row customHeight="1" ht="11.25">
      <c r="A72" s="527" t="s">
        <v>14</v>
      </c>
      <c r="B72" s="0" t="s">
        <v>3674</v>
      </c>
      <c r="C72" s="0" t="s">
        <v>3675</v>
      </c>
      <c r="D72" s="0" t="s">
        <v>3674</v>
      </c>
      <c r="E72" s="0" t="s">
        <v>3675</v>
      </c>
      <c r="F72" s="0" t="s">
        <v>3527</v>
      </c>
      <c r="G72" s="0" t="s">
        <v>3679</v>
      </c>
    </row>
    <row customHeight="1" ht="11.25">
      <c r="A73" s="527" t="s">
        <v>14</v>
      </c>
      <c r="B73" s="0" t="s">
        <v>3674</v>
      </c>
      <c r="C73" s="0" t="s">
        <v>3675</v>
      </c>
      <c r="D73" s="0" t="s">
        <v>3680</v>
      </c>
      <c r="E73" s="0" t="s">
        <v>3681</v>
      </c>
      <c r="F73" s="0" t="s">
        <v>3530</v>
      </c>
      <c r="G73" s="0" t="s">
        <v>3682</v>
      </c>
    </row>
    <row customHeight="1" ht="11.25">
      <c r="A74" s="527" t="s">
        <v>14</v>
      </c>
      <c r="B74" s="0" t="s">
        <v>3674</v>
      </c>
      <c r="C74" s="0" t="s">
        <v>3675</v>
      </c>
      <c r="D74" s="0" t="s">
        <v>3683</v>
      </c>
      <c r="E74" s="0" t="s">
        <v>3684</v>
      </c>
      <c r="F74" s="0" t="s">
        <v>3530</v>
      </c>
      <c r="G74" s="0" t="s">
        <v>3685</v>
      </c>
    </row>
    <row customHeight="1" ht="11.25">
      <c r="A75" s="527" t="s">
        <v>14</v>
      </c>
      <c r="B75" s="0" t="s">
        <v>3674</v>
      </c>
      <c r="C75" s="0" t="s">
        <v>3675</v>
      </c>
      <c r="D75" s="0" t="s">
        <v>3686</v>
      </c>
      <c r="E75" s="0" t="s">
        <v>3687</v>
      </c>
      <c r="F75" s="0" t="s">
        <v>3530</v>
      </c>
      <c r="G75" s="0" t="s">
        <v>3688</v>
      </c>
    </row>
    <row customHeight="1" ht="11.25">
      <c r="A76" s="527" t="s">
        <v>14</v>
      </c>
      <c r="B76" s="0" t="s">
        <v>3689</v>
      </c>
      <c r="C76" s="0" t="s">
        <v>3690</v>
      </c>
      <c r="D76" s="0" t="s">
        <v>3689</v>
      </c>
      <c r="E76" s="0" t="s">
        <v>3690</v>
      </c>
      <c r="F76" s="0" t="s">
        <v>3527</v>
      </c>
      <c r="G76" s="0" t="s">
        <v>3691</v>
      </c>
    </row>
    <row customHeight="1" ht="11.25">
      <c r="A77" s="527" t="s">
        <v>14</v>
      </c>
      <c r="B77" s="0" t="s">
        <v>3689</v>
      </c>
      <c r="C77" s="0" t="s">
        <v>3690</v>
      </c>
      <c r="D77" s="0" t="s">
        <v>3692</v>
      </c>
      <c r="E77" s="0" t="s">
        <v>3693</v>
      </c>
      <c r="F77" s="0" t="s">
        <v>3530</v>
      </c>
      <c r="G77" s="0" t="s">
        <v>3694</v>
      </c>
    </row>
    <row customHeight="1" ht="11.25">
      <c r="A78" s="527" t="s">
        <v>14</v>
      </c>
      <c r="B78" s="0" t="s">
        <v>3689</v>
      </c>
      <c r="C78" s="0" t="s">
        <v>3690</v>
      </c>
      <c r="D78" s="0" t="s">
        <v>3695</v>
      </c>
      <c r="E78" s="0" t="s">
        <v>3696</v>
      </c>
      <c r="F78" s="0" t="s">
        <v>3530</v>
      </c>
      <c r="G78" s="0" t="s">
        <v>3697</v>
      </c>
    </row>
    <row customHeight="1" ht="11.25">
      <c r="A79" s="527" t="s">
        <v>14</v>
      </c>
      <c r="B79" s="0" t="s">
        <v>3689</v>
      </c>
      <c r="C79" s="0" t="s">
        <v>3690</v>
      </c>
      <c r="D79" s="0" t="s">
        <v>3698</v>
      </c>
      <c r="E79" s="0" t="s">
        <v>3699</v>
      </c>
      <c r="F79" s="0" t="s">
        <v>3530</v>
      </c>
      <c r="G79" s="0" t="s">
        <v>3700</v>
      </c>
    </row>
    <row customHeight="1" ht="11.25">
      <c r="A80" s="527" t="s">
        <v>14</v>
      </c>
      <c r="B80" s="0" t="s">
        <v>3689</v>
      </c>
      <c r="C80" s="0" t="s">
        <v>3690</v>
      </c>
      <c r="D80" s="0" t="s">
        <v>3701</v>
      </c>
      <c r="E80" s="0" t="s">
        <v>3702</v>
      </c>
      <c r="F80" s="0" t="s">
        <v>3530</v>
      </c>
      <c r="G80" s="0" t="s">
        <v>3703</v>
      </c>
    </row>
    <row customHeight="1" ht="11.25">
      <c r="A81" s="527" t="s">
        <v>14</v>
      </c>
      <c r="B81" s="0" t="s">
        <v>3689</v>
      </c>
      <c r="C81" s="0" t="s">
        <v>3690</v>
      </c>
      <c r="D81" s="0" t="s">
        <v>3704</v>
      </c>
      <c r="E81" s="0" t="s">
        <v>3705</v>
      </c>
      <c r="F81" s="0" t="s">
        <v>3530</v>
      </c>
      <c r="G81" s="0" t="s">
        <v>3706</v>
      </c>
    </row>
    <row customHeight="1" ht="11.25">
      <c r="A82" s="527" t="s">
        <v>14</v>
      </c>
      <c r="B82" s="0" t="s">
        <v>3689</v>
      </c>
      <c r="C82" s="0" t="s">
        <v>3690</v>
      </c>
      <c r="D82" s="0" t="s">
        <v>3707</v>
      </c>
      <c r="E82" s="0" t="s">
        <v>3708</v>
      </c>
      <c r="F82" s="0" t="s">
        <v>3530</v>
      </c>
      <c r="G82" s="0" t="s">
        <v>3709</v>
      </c>
    </row>
    <row customHeight="1" ht="11.25">
      <c r="A83" s="527" t="s">
        <v>14</v>
      </c>
      <c r="B83" s="0" t="s">
        <v>3689</v>
      </c>
      <c r="C83" s="0" t="s">
        <v>3690</v>
      </c>
      <c r="D83" s="0" t="s">
        <v>3710</v>
      </c>
      <c r="E83" s="0" t="s">
        <v>3711</v>
      </c>
      <c r="F83" s="0" t="s">
        <v>3530</v>
      </c>
      <c r="G83" s="0" t="s">
        <v>3712</v>
      </c>
    </row>
    <row customHeight="1" ht="11.25">
      <c r="A84" s="527" t="s">
        <v>14</v>
      </c>
      <c r="B84" s="0" t="s">
        <v>3713</v>
      </c>
      <c r="C84" s="0" t="s">
        <v>3714</v>
      </c>
      <c r="D84" s="0" t="s">
        <v>3713</v>
      </c>
      <c r="E84" s="0" t="s">
        <v>3714</v>
      </c>
      <c r="F84" s="0" t="s">
        <v>3715</v>
      </c>
      <c r="G84" s="0" t="s">
        <v>3716</v>
      </c>
    </row>
    <row customHeight="1" ht="11.25">
      <c r="A85" s="527" t="s">
        <v>14</v>
      </c>
      <c r="B85" s="0" t="s">
        <v>3717</v>
      </c>
      <c r="C85" s="0" t="s">
        <v>3718</v>
      </c>
      <c r="D85" s="0" t="s">
        <v>3717</v>
      </c>
      <c r="E85" s="0" t="s">
        <v>3718</v>
      </c>
      <c r="F85" s="0" t="s">
        <v>3715</v>
      </c>
      <c r="G85" s="0" t="s">
        <v>3719</v>
      </c>
    </row>
    <row customHeight="1" ht="11.25">
      <c r="A86" s="527" t="s">
        <v>14</v>
      </c>
      <c r="B86" s="0" t="s">
        <v>3720</v>
      </c>
      <c r="C86" s="0" t="s">
        <v>3721</v>
      </c>
      <c r="D86" s="0" t="s">
        <v>3720</v>
      </c>
      <c r="E86" s="0" t="s">
        <v>3721</v>
      </c>
      <c r="F86" s="0" t="s">
        <v>3715</v>
      </c>
      <c r="G86" s="0" t="s">
        <v>3722</v>
      </c>
    </row>
    <row customHeight="1" ht="11.25">
      <c r="A87" s="527" t="s">
        <v>14</v>
      </c>
      <c r="B87" s="0" t="s">
        <v>3723</v>
      </c>
      <c r="C87" s="0" t="s">
        <v>3724</v>
      </c>
      <c r="D87" s="0" t="s">
        <v>3723</v>
      </c>
      <c r="E87" s="0" t="s">
        <v>3724</v>
      </c>
      <c r="F87" s="0" t="s">
        <v>3715</v>
      </c>
      <c r="G87" s="0" t="s">
        <v>3725</v>
      </c>
    </row>
    <row customHeight="1" ht="11.25">
      <c r="A88" s="527" t="s">
        <v>14</v>
      </c>
      <c r="B88" s="0" t="s">
        <v>3726</v>
      </c>
      <c r="C88" s="0" t="s">
        <v>3727</v>
      </c>
      <c r="D88" s="0" t="s">
        <v>3726</v>
      </c>
      <c r="E88" s="0" t="s">
        <v>3727</v>
      </c>
      <c r="F88" s="0" t="s">
        <v>3715</v>
      </c>
      <c r="G88" s="0" t="s">
        <v>3728</v>
      </c>
    </row>
    <row customHeight="1" ht="11.25">
      <c r="A89" s="527" t="s">
        <v>14</v>
      </c>
      <c r="B89" s="0" t="s">
        <v>3729</v>
      </c>
      <c r="C89" s="0" t="s">
        <v>3730</v>
      </c>
      <c r="D89" s="0" t="s">
        <v>3729</v>
      </c>
      <c r="E89" s="0" t="s">
        <v>3730</v>
      </c>
      <c r="F89" s="0" t="s">
        <v>3715</v>
      </c>
      <c r="G89" s="0" t="s">
        <v>3731</v>
      </c>
    </row>
    <row customHeight="1" ht="11.25">
      <c r="A90" s="527" t="s">
        <v>14</v>
      </c>
      <c r="B90" s="0" t="s">
        <v>3732</v>
      </c>
      <c r="C90" s="0" t="s">
        <v>3733</v>
      </c>
      <c r="D90" s="0" t="s">
        <v>3732</v>
      </c>
      <c r="E90" s="0" t="s">
        <v>3733</v>
      </c>
      <c r="F90" s="0" t="s">
        <v>3715</v>
      </c>
      <c r="G90" s="0" t="s">
        <v>3734</v>
      </c>
    </row>
    <row customHeight="1" ht="11.25">
      <c r="A91" s="527" t="s">
        <v>14</v>
      </c>
      <c r="B91" s="0" t="s">
        <v>3735</v>
      </c>
      <c r="C91" s="0" t="s">
        <v>3736</v>
      </c>
      <c r="D91" s="0" t="s">
        <v>3735</v>
      </c>
      <c r="E91" s="0" t="s">
        <v>3736</v>
      </c>
      <c r="F91" s="0" t="s">
        <v>3715</v>
      </c>
      <c r="G91" s="0" t="s">
        <v>3737</v>
      </c>
    </row>
    <row customHeight="1" ht="11.25">
      <c r="A92" s="527" t="s">
        <v>14</v>
      </c>
      <c r="B92" s="0" t="s">
        <v>3738</v>
      </c>
      <c r="C92" s="0" t="s">
        <v>3739</v>
      </c>
      <c r="D92" s="0" t="s">
        <v>3738</v>
      </c>
      <c r="E92" s="0" t="s">
        <v>3739</v>
      </c>
      <c r="F92" s="0" t="s">
        <v>3715</v>
      </c>
      <c r="G92" s="0" t="s">
        <v>3740</v>
      </c>
    </row>
    <row customHeight="1" ht="11.25">
      <c r="A93" s="527" t="s">
        <v>14</v>
      </c>
      <c r="B93" s="0" t="s">
        <v>97</v>
      </c>
      <c r="C93" s="0" t="s">
        <v>98</v>
      </c>
      <c r="D93" s="0" t="s">
        <v>97</v>
      </c>
      <c r="E93" s="0" t="s">
        <v>98</v>
      </c>
      <c r="F93" s="0" t="s">
        <v>3715</v>
      </c>
      <c r="G93" s="0" t="s">
        <v>96</v>
      </c>
    </row>
    <row customHeight="1" ht="11.25">
      <c r="A94" s="527" t="s">
        <v>14</v>
      </c>
      <c r="B94" s="0" t="s">
        <v>3741</v>
      </c>
      <c r="C94" s="0" t="s">
        <v>3742</v>
      </c>
      <c r="D94" s="0" t="s">
        <v>3741</v>
      </c>
      <c r="E94" s="0" t="s">
        <v>3742</v>
      </c>
      <c r="F94" s="0" t="s">
        <v>3715</v>
      </c>
      <c r="G94" s="0" t="s">
        <v>3743</v>
      </c>
    </row>
    <row customHeight="1" ht="11.25">
      <c r="A95" s="527" t="s">
        <v>14</v>
      </c>
      <c r="B95" s="0" t="s">
        <v>3744</v>
      </c>
      <c r="C95" s="0" t="s">
        <v>3745</v>
      </c>
      <c r="D95" s="0" t="s">
        <v>3744</v>
      </c>
      <c r="E95" s="0" t="s">
        <v>3745</v>
      </c>
      <c r="F95" s="0" t="s">
        <v>3715</v>
      </c>
      <c r="G95" s="0" t="s">
        <v>3746</v>
      </c>
    </row>
    <row customHeight="1" ht="11.25">
      <c r="A96" s="527" t="s">
        <v>14</v>
      </c>
      <c r="B96" s="0" t="s">
        <v>3747</v>
      </c>
      <c r="C96" s="0" t="s">
        <v>3748</v>
      </c>
      <c r="D96" s="0" t="s">
        <v>3749</v>
      </c>
      <c r="E96" s="0" t="s">
        <v>3750</v>
      </c>
      <c r="F96" s="0" t="s">
        <v>3530</v>
      </c>
      <c r="G96" s="0" t="s">
        <v>3751</v>
      </c>
    </row>
    <row customHeight="1" ht="11.25">
      <c r="A97" s="527" t="s">
        <v>14</v>
      </c>
      <c r="B97" s="0" t="s">
        <v>3747</v>
      </c>
      <c r="C97" s="0" t="s">
        <v>3748</v>
      </c>
      <c r="D97" s="0" t="s">
        <v>3752</v>
      </c>
      <c r="E97" s="0" t="s">
        <v>3753</v>
      </c>
      <c r="F97" s="0" t="s">
        <v>3530</v>
      </c>
      <c r="G97" s="0" t="s">
        <v>3754</v>
      </c>
    </row>
    <row customHeight="1" ht="11.25">
      <c r="A98" s="527" t="s">
        <v>14</v>
      </c>
      <c r="B98" s="0" t="s">
        <v>3747</v>
      </c>
      <c r="C98" s="0" t="s">
        <v>3748</v>
      </c>
      <c r="D98" s="0" t="s">
        <v>3755</v>
      </c>
      <c r="E98" s="0" t="s">
        <v>3756</v>
      </c>
      <c r="F98" s="0" t="s">
        <v>3530</v>
      </c>
      <c r="G98" s="0" t="s">
        <v>3757</v>
      </c>
    </row>
    <row customHeight="1" ht="11.25">
      <c r="A99" s="527" t="s">
        <v>14</v>
      </c>
      <c r="B99" s="0" t="s">
        <v>3747</v>
      </c>
      <c r="C99" s="0" t="s">
        <v>3748</v>
      </c>
      <c r="D99" s="0" t="s">
        <v>3680</v>
      </c>
      <c r="E99" s="0" t="s">
        <v>3758</v>
      </c>
      <c r="F99" s="0" t="s">
        <v>3530</v>
      </c>
      <c r="G99" s="0" t="s">
        <v>3759</v>
      </c>
    </row>
    <row customHeight="1" ht="11.25">
      <c r="A100" s="527" t="s">
        <v>14</v>
      </c>
      <c r="B100" s="0" t="s">
        <v>3747</v>
      </c>
      <c r="C100" s="0" t="s">
        <v>3748</v>
      </c>
      <c r="D100" s="0" t="s">
        <v>3760</v>
      </c>
      <c r="E100" s="0" t="s">
        <v>3761</v>
      </c>
      <c r="F100" s="0" t="s">
        <v>3530</v>
      </c>
      <c r="G100" s="0" t="s">
        <v>3762</v>
      </c>
    </row>
    <row customHeight="1" ht="11.25">
      <c r="A101" s="527" t="s">
        <v>14</v>
      </c>
      <c r="B101" s="0" t="s">
        <v>3747</v>
      </c>
      <c r="C101" s="0" t="s">
        <v>3748</v>
      </c>
      <c r="D101" s="0" t="s">
        <v>3747</v>
      </c>
      <c r="E101" s="0" t="s">
        <v>3748</v>
      </c>
      <c r="F101" s="0" t="s">
        <v>3527</v>
      </c>
      <c r="G101" s="0" t="s">
        <v>3763</v>
      </c>
    </row>
    <row customHeight="1" ht="11.25">
      <c r="A102" s="527" t="s">
        <v>14</v>
      </c>
      <c r="B102" s="0" t="s">
        <v>3747</v>
      </c>
      <c r="C102" s="0" t="s">
        <v>3748</v>
      </c>
      <c r="D102" s="0" t="s">
        <v>3764</v>
      </c>
      <c r="E102" s="0" t="s">
        <v>3765</v>
      </c>
      <c r="F102" s="0" t="s">
        <v>3530</v>
      </c>
      <c r="G102" s="0" t="s">
        <v>3766</v>
      </c>
    </row>
    <row customHeight="1" ht="11.25">
      <c r="A103" s="527" t="s">
        <v>14</v>
      </c>
      <c r="B103" s="0" t="s">
        <v>3747</v>
      </c>
      <c r="C103" s="0" t="s">
        <v>3748</v>
      </c>
      <c r="D103" s="0" t="s">
        <v>3767</v>
      </c>
      <c r="E103" s="0" t="s">
        <v>3768</v>
      </c>
      <c r="F103" s="0" t="s">
        <v>3530</v>
      </c>
      <c r="G103" s="0" t="s">
        <v>3769</v>
      </c>
    </row>
    <row customHeight="1" ht="11.25">
      <c r="A104" s="527" t="s">
        <v>14</v>
      </c>
      <c r="B104" s="0" t="s">
        <v>3747</v>
      </c>
      <c r="C104" s="0" t="s">
        <v>3748</v>
      </c>
      <c r="D104" s="0" t="s">
        <v>3770</v>
      </c>
      <c r="E104" s="0" t="s">
        <v>3771</v>
      </c>
      <c r="F104" s="0" t="s">
        <v>3530</v>
      </c>
      <c r="G104" s="0" t="s">
        <v>3772</v>
      </c>
    </row>
    <row customHeight="1" ht="11.25">
      <c r="A105" s="527" t="s">
        <v>14</v>
      </c>
      <c r="B105" s="0" t="s">
        <v>3747</v>
      </c>
      <c r="C105" s="0" t="s">
        <v>3748</v>
      </c>
      <c r="D105" s="0" t="s">
        <v>3773</v>
      </c>
      <c r="E105" s="0" t="s">
        <v>3774</v>
      </c>
      <c r="F105" s="0" t="s">
        <v>3530</v>
      </c>
      <c r="G105" s="0" t="s">
        <v>3775</v>
      </c>
    </row>
    <row customHeight="1" ht="11.25">
      <c r="A106" s="527" t="s">
        <v>14</v>
      </c>
      <c r="B106" s="0" t="s">
        <v>3747</v>
      </c>
      <c r="C106" s="0" t="s">
        <v>3748</v>
      </c>
      <c r="D106" s="0" t="s">
        <v>3776</v>
      </c>
      <c r="E106" s="0" t="s">
        <v>3777</v>
      </c>
      <c r="F106" s="0" t="s">
        <v>3530</v>
      </c>
      <c r="G106" s="0" t="s">
        <v>3778</v>
      </c>
    </row>
    <row customHeight="1" ht="11.25">
      <c r="A107" s="527" t="s">
        <v>14</v>
      </c>
      <c r="B107" s="0" t="s">
        <v>3747</v>
      </c>
      <c r="C107" s="0" t="s">
        <v>3748</v>
      </c>
      <c r="D107" s="0" t="s">
        <v>3779</v>
      </c>
      <c r="E107" s="0" t="s">
        <v>3780</v>
      </c>
      <c r="F107" s="0" t="s">
        <v>3530</v>
      </c>
      <c r="G107" s="0" t="s">
        <v>3781</v>
      </c>
    </row>
    <row customHeight="1" ht="11.25">
      <c r="A108" s="527" t="s">
        <v>14</v>
      </c>
      <c r="B108" s="0" t="s">
        <v>3747</v>
      </c>
      <c r="C108" s="0" t="s">
        <v>3748</v>
      </c>
      <c r="D108" s="0" t="s">
        <v>3707</v>
      </c>
      <c r="E108" s="0" t="s">
        <v>3782</v>
      </c>
      <c r="F108" s="0" t="s">
        <v>3530</v>
      </c>
      <c r="G108" s="0" t="s">
        <v>3783</v>
      </c>
    </row>
    <row customHeight="1" ht="11.25">
      <c r="A109" s="527" t="s">
        <v>14</v>
      </c>
      <c r="B109" s="0" t="s">
        <v>3747</v>
      </c>
      <c r="C109" s="0" t="s">
        <v>3748</v>
      </c>
      <c r="D109" s="0" t="s">
        <v>3784</v>
      </c>
      <c r="E109" s="0" t="s">
        <v>3785</v>
      </c>
      <c r="F109" s="0" t="s">
        <v>3530</v>
      </c>
      <c r="G109" s="0" t="s">
        <v>3786</v>
      </c>
    </row>
    <row customHeight="1" ht="11.25">
      <c r="A110" s="527" t="s">
        <v>14</v>
      </c>
      <c r="B110" s="0" t="s">
        <v>3787</v>
      </c>
      <c r="C110" s="0" t="s">
        <v>3788</v>
      </c>
      <c r="D110" s="0" t="s">
        <v>3789</v>
      </c>
      <c r="E110" s="0" t="s">
        <v>3790</v>
      </c>
      <c r="F110" s="0" t="s">
        <v>3530</v>
      </c>
      <c r="G110" s="0" t="s">
        <v>3791</v>
      </c>
    </row>
    <row customHeight="1" ht="11.25">
      <c r="A111" s="527" t="s">
        <v>14</v>
      </c>
      <c r="B111" s="0" t="s">
        <v>3787</v>
      </c>
      <c r="C111" s="0" t="s">
        <v>3788</v>
      </c>
      <c r="D111" s="0" t="s">
        <v>3792</v>
      </c>
      <c r="E111" s="0" t="s">
        <v>3793</v>
      </c>
      <c r="F111" s="0" t="s">
        <v>3530</v>
      </c>
      <c r="G111" s="0" t="s">
        <v>3794</v>
      </c>
    </row>
    <row customHeight="1" ht="11.25">
      <c r="A112" s="527" t="s">
        <v>14</v>
      </c>
      <c r="B112" s="0" t="s">
        <v>3787</v>
      </c>
      <c r="C112" s="0" t="s">
        <v>3788</v>
      </c>
      <c r="D112" s="0" t="s">
        <v>3787</v>
      </c>
      <c r="E112" s="0" t="s">
        <v>3788</v>
      </c>
      <c r="F112" s="0" t="s">
        <v>3527</v>
      </c>
      <c r="G112" s="0" t="s">
        <v>3795</v>
      </c>
    </row>
    <row customHeight="1" ht="11.25">
      <c r="A113" s="527" t="s">
        <v>14</v>
      </c>
      <c r="B113" s="0" t="s">
        <v>3787</v>
      </c>
      <c r="C113" s="0" t="s">
        <v>3788</v>
      </c>
      <c r="D113" s="0" t="s">
        <v>3796</v>
      </c>
      <c r="E113" s="0" t="s">
        <v>3797</v>
      </c>
      <c r="F113" s="0" t="s">
        <v>3530</v>
      </c>
      <c r="G113" s="0" t="s">
        <v>3798</v>
      </c>
    </row>
    <row customHeight="1" ht="11.25">
      <c r="A114" s="527" t="s">
        <v>14</v>
      </c>
      <c r="B114" s="0" t="s">
        <v>3787</v>
      </c>
      <c r="C114" s="0" t="s">
        <v>3788</v>
      </c>
      <c r="D114" s="0" t="s">
        <v>3612</v>
      </c>
      <c r="E114" s="0" t="s">
        <v>3799</v>
      </c>
      <c r="F114" s="0" t="s">
        <v>3530</v>
      </c>
      <c r="G114" s="0" t="s">
        <v>3800</v>
      </c>
    </row>
    <row customHeight="1" ht="11.25">
      <c r="A115" s="527" t="s">
        <v>14</v>
      </c>
      <c r="B115" s="0" t="s">
        <v>3787</v>
      </c>
      <c r="C115" s="0" t="s">
        <v>3788</v>
      </c>
      <c r="D115" s="0" t="s">
        <v>3801</v>
      </c>
      <c r="E115" s="0" t="s">
        <v>3802</v>
      </c>
      <c r="F115" s="0" t="s">
        <v>3530</v>
      </c>
      <c r="G115" s="0" t="s">
        <v>3803</v>
      </c>
    </row>
    <row customHeight="1" ht="11.25">
      <c r="A116" s="527" t="s">
        <v>14</v>
      </c>
      <c r="B116" s="0" t="s">
        <v>3787</v>
      </c>
      <c r="C116" s="0" t="s">
        <v>3788</v>
      </c>
      <c r="D116" s="0" t="s">
        <v>3804</v>
      </c>
      <c r="E116" s="0" t="s">
        <v>3805</v>
      </c>
      <c r="F116" s="0" t="s">
        <v>3530</v>
      </c>
      <c r="G116" s="0" t="s">
        <v>3806</v>
      </c>
    </row>
    <row customHeight="1" ht="11.25">
      <c r="A117" s="527" t="s">
        <v>14</v>
      </c>
      <c r="B117" s="0" t="s">
        <v>3787</v>
      </c>
      <c r="C117" s="0" t="s">
        <v>3788</v>
      </c>
      <c r="D117" s="0" t="s">
        <v>3807</v>
      </c>
      <c r="E117" s="0" t="s">
        <v>3808</v>
      </c>
      <c r="F117" s="0" t="s">
        <v>3530</v>
      </c>
      <c r="G117" s="0" t="s">
        <v>3809</v>
      </c>
    </row>
    <row customHeight="1" ht="11.25">
      <c r="A118" s="527" t="s">
        <v>14</v>
      </c>
      <c r="B118" s="0" t="s">
        <v>3787</v>
      </c>
      <c r="C118" s="0" t="s">
        <v>3788</v>
      </c>
      <c r="D118" s="0" t="s">
        <v>3810</v>
      </c>
      <c r="E118" s="0" t="s">
        <v>3811</v>
      </c>
      <c r="F118" s="0" t="s">
        <v>3530</v>
      </c>
      <c r="G118" s="0" t="s">
        <v>3812</v>
      </c>
    </row>
    <row customHeight="1" ht="11.25">
      <c r="A119" s="527" t="s">
        <v>14</v>
      </c>
      <c r="B119" s="0" t="s">
        <v>3787</v>
      </c>
      <c r="C119" s="0" t="s">
        <v>3788</v>
      </c>
      <c r="D119" s="0" t="s">
        <v>3813</v>
      </c>
      <c r="E119" s="0" t="s">
        <v>3814</v>
      </c>
      <c r="F119" s="0" t="s">
        <v>3530</v>
      </c>
      <c r="G119" s="0" t="s">
        <v>3815</v>
      </c>
    </row>
    <row customHeight="1" ht="11.25">
      <c r="A120" s="527" t="s">
        <v>14</v>
      </c>
      <c r="B120" s="0" t="s">
        <v>3816</v>
      </c>
      <c r="C120" s="0" t="s">
        <v>3817</v>
      </c>
      <c r="D120" s="0" t="s">
        <v>3816</v>
      </c>
      <c r="E120" s="0" t="s">
        <v>3817</v>
      </c>
      <c r="F120" s="0" t="s">
        <v>3527</v>
      </c>
      <c r="G120" s="0" t="s">
        <v>3818</v>
      </c>
    </row>
    <row customHeight="1" ht="11.25">
      <c r="A121" s="527" t="s">
        <v>14</v>
      </c>
      <c r="B121" s="0" t="s">
        <v>3816</v>
      </c>
      <c r="C121" s="0" t="s">
        <v>3817</v>
      </c>
      <c r="D121" s="0" t="s">
        <v>3819</v>
      </c>
      <c r="E121" s="0" t="s">
        <v>3820</v>
      </c>
      <c r="F121" s="0" t="s">
        <v>3530</v>
      </c>
      <c r="G121" s="0" t="s">
        <v>3821</v>
      </c>
    </row>
    <row customHeight="1" ht="11.25">
      <c r="A122" s="527" t="s">
        <v>14</v>
      </c>
      <c r="B122" s="0" t="s">
        <v>3816</v>
      </c>
      <c r="C122" s="0" t="s">
        <v>3817</v>
      </c>
      <c r="D122" s="0" t="s">
        <v>3822</v>
      </c>
      <c r="E122" s="0" t="s">
        <v>3823</v>
      </c>
      <c r="F122" s="0" t="s">
        <v>3530</v>
      </c>
      <c r="G122" s="0" t="s">
        <v>3824</v>
      </c>
    </row>
    <row customHeight="1" ht="11.25">
      <c r="A123" s="527" t="s">
        <v>14</v>
      </c>
      <c r="B123" s="0" t="s">
        <v>3816</v>
      </c>
      <c r="C123" s="0" t="s">
        <v>3817</v>
      </c>
      <c r="D123" s="0" t="s">
        <v>3825</v>
      </c>
      <c r="E123" s="0" t="s">
        <v>3826</v>
      </c>
      <c r="F123" s="0" t="s">
        <v>3530</v>
      </c>
      <c r="G123" s="0" t="s">
        <v>3827</v>
      </c>
    </row>
    <row customHeight="1" ht="11.25">
      <c r="A124" s="527" t="s">
        <v>14</v>
      </c>
      <c r="B124" s="0" t="s">
        <v>3816</v>
      </c>
      <c r="C124" s="0" t="s">
        <v>3817</v>
      </c>
      <c r="D124" s="0" t="s">
        <v>3828</v>
      </c>
      <c r="E124" s="0" t="s">
        <v>3829</v>
      </c>
      <c r="F124" s="0" t="s">
        <v>3530</v>
      </c>
      <c r="G124" s="0" t="s">
        <v>3830</v>
      </c>
    </row>
    <row customHeight="1" ht="11.25">
      <c r="A125" s="527" t="s">
        <v>14</v>
      </c>
      <c r="B125" s="0" t="s">
        <v>3816</v>
      </c>
      <c r="C125" s="0" t="s">
        <v>3817</v>
      </c>
      <c r="D125" s="0" t="s">
        <v>3831</v>
      </c>
      <c r="E125" s="0" t="s">
        <v>3832</v>
      </c>
      <c r="F125" s="0" t="s">
        <v>3530</v>
      </c>
      <c r="G125" s="0" t="s">
        <v>3833</v>
      </c>
    </row>
    <row customHeight="1" ht="11.25">
      <c r="A126" s="527" t="s">
        <v>14</v>
      </c>
      <c r="B126" s="0" t="s">
        <v>3816</v>
      </c>
      <c r="C126" s="0" t="s">
        <v>3817</v>
      </c>
      <c r="D126" s="0" t="s">
        <v>3834</v>
      </c>
      <c r="E126" s="0" t="s">
        <v>3835</v>
      </c>
      <c r="F126" s="0" t="s">
        <v>3530</v>
      </c>
      <c r="G126" s="0" t="s">
        <v>3836</v>
      </c>
    </row>
    <row customHeight="1" ht="11.25">
      <c r="A127" s="527" t="s">
        <v>14</v>
      </c>
      <c r="B127" s="0" t="s">
        <v>3816</v>
      </c>
      <c r="C127" s="0" t="s">
        <v>3817</v>
      </c>
      <c r="D127" s="0" t="s">
        <v>3837</v>
      </c>
      <c r="E127" s="0" t="s">
        <v>3838</v>
      </c>
      <c r="F127" s="0" t="s">
        <v>3530</v>
      </c>
      <c r="G127" s="0" t="s">
        <v>3839</v>
      </c>
    </row>
    <row customHeight="1" ht="11.25">
      <c r="A128" s="527" t="s">
        <v>14</v>
      </c>
      <c r="B128" s="0" t="s">
        <v>3816</v>
      </c>
      <c r="C128" s="0" t="s">
        <v>3817</v>
      </c>
      <c r="D128" s="0" t="s">
        <v>3840</v>
      </c>
      <c r="E128" s="0" t="s">
        <v>3841</v>
      </c>
      <c r="F128" s="0" t="s">
        <v>3530</v>
      </c>
      <c r="G128" s="0" t="s">
        <v>3842</v>
      </c>
    </row>
    <row customHeight="1" ht="11.25">
      <c r="A129" s="527" t="s">
        <v>14</v>
      </c>
      <c r="B129" s="0" t="s">
        <v>3816</v>
      </c>
      <c r="C129" s="0" t="s">
        <v>3817</v>
      </c>
      <c r="D129" s="0" t="s">
        <v>3843</v>
      </c>
      <c r="E129" s="0" t="s">
        <v>3844</v>
      </c>
      <c r="F129" s="0" t="s">
        <v>3530</v>
      </c>
      <c r="G129" s="0" t="s">
        <v>3845</v>
      </c>
    </row>
    <row customHeight="1" ht="11.25">
      <c r="A130" s="527" t="s">
        <v>14</v>
      </c>
      <c r="B130" s="0" t="s">
        <v>3846</v>
      </c>
      <c r="C130" s="0" t="s">
        <v>3847</v>
      </c>
      <c r="D130" s="0" t="s">
        <v>3848</v>
      </c>
      <c r="E130" s="0" t="s">
        <v>3849</v>
      </c>
      <c r="F130" s="0" t="s">
        <v>3530</v>
      </c>
      <c r="G130" s="0" t="s">
        <v>3850</v>
      </c>
    </row>
    <row customHeight="1" ht="11.25">
      <c r="A131" s="527" t="s">
        <v>14</v>
      </c>
      <c r="B131" s="0" t="s">
        <v>3846</v>
      </c>
      <c r="C131" s="0" t="s">
        <v>3847</v>
      </c>
      <c r="D131" s="0" t="s">
        <v>3851</v>
      </c>
      <c r="E131" s="0" t="s">
        <v>3852</v>
      </c>
      <c r="F131" s="0" t="s">
        <v>3530</v>
      </c>
      <c r="G131" s="0" t="s">
        <v>3853</v>
      </c>
    </row>
    <row customHeight="1" ht="11.25">
      <c r="A132" s="527" t="s">
        <v>14</v>
      </c>
      <c r="B132" s="0" t="s">
        <v>3846</v>
      </c>
      <c r="C132" s="0" t="s">
        <v>3847</v>
      </c>
      <c r="D132" s="0" t="s">
        <v>3854</v>
      </c>
      <c r="E132" s="0" t="s">
        <v>3855</v>
      </c>
      <c r="F132" s="0" t="s">
        <v>3530</v>
      </c>
      <c r="G132" s="0" t="s">
        <v>3856</v>
      </c>
    </row>
    <row customHeight="1" ht="11.25">
      <c r="A133" s="527" t="s">
        <v>14</v>
      </c>
      <c r="B133" s="0" t="s">
        <v>3846</v>
      </c>
      <c r="C133" s="0" t="s">
        <v>3847</v>
      </c>
      <c r="D133" s="0" t="s">
        <v>3846</v>
      </c>
      <c r="E133" s="0" t="s">
        <v>3847</v>
      </c>
      <c r="F133" s="0" t="s">
        <v>3527</v>
      </c>
      <c r="G133" s="0" t="s">
        <v>3857</v>
      </c>
    </row>
    <row customHeight="1" ht="11.25">
      <c r="A134" s="527" t="s">
        <v>14</v>
      </c>
      <c r="B134" s="0" t="s">
        <v>3846</v>
      </c>
      <c r="C134" s="0" t="s">
        <v>3847</v>
      </c>
      <c r="D134" s="0" t="s">
        <v>3858</v>
      </c>
      <c r="E134" s="0" t="s">
        <v>3859</v>
      </c>
      <c r="F134" s="0" t="s">
        <v>3569</v>
      </c>
      <c r="G134" s="0" t="s">
        <v>3860</v>
      </c>
    </row>
    <row customHeight="1" ht="11.25">
      <c r="A135" s="527" t="s">
        <v>14</v>
      </c>
      <c r="B135" s="0" t="s">
        <v>3846</v>
      </c>
      <c r="C135" s="0" t="s">
        <v>3847</v>
      </c>
      <c r="D135" s="0" t="s">
        <v>3861</v>
      </c>
      <c r="E135" s="0" t="s">
        <v>3862</v>
      </c>
      <c r="F135" s="0" t="s">
        <v>3530</v>
      </c>
      <c r="G135" s="0" t="s">
        <v>3863</v>
      </c>
    </row>
    <row customHeight="1" ht="11.25">
      <c r="A136" s="527" t="s">
        <v>14</v>
      </c>
      <c r="B136" s="0" t="s">
        <v>3846</v>
      </c>
      <c r="C136" s="0" t="s">
        <v>3847</v>
      </c>
      <c r="D136" s="0" t="s">
        <v>3864</v>
      </c>
      <c r="E136" s="0" t="s">
        <v>3865</v>
      </c>
      <c r="F136" s="0" t="s">
        <v>3530</v>
      </c>
      <c r="G136" s="0" t="s">
        <v>3866</v>
      </c>
    </row>
    <row customHeight="1" ht="11.25">
      <c r="A137" s="527" t="s">
        <v>14</v>
      </c>
      <c r="B137" s="0" t="s">
        <v>3846</v>
      </c>
      <c r="C137" s="0" t="s">
        <v>3847</v>
      </c>
      <c r="D137" s="0" t="s">
        <v>3600</v>
      </c>
      <c r="E137" s="0" t="s">
        <v>3867</v>
      </c>
      <c r="F137" s="0" t="s">
        <v>3530</v>
      </c>
      <c r="G137" s="0" t="s">
        <v>3868</v>
      </c>
    </row>
    <row customHeight="1" ht="11.25">
      <c r="A138" s="527" t="s">
        <v>14</v>
      </c>
      <c r="B138" s="0" t="s">
        <v>3846</v>
      </c>
      <c r="C138" s="0" t="s">
        <v>3847</v>
      </c>
      <c r="D138" s="0" t="s">
        <v>3869</v>
      </c>
      <c r="E138" s="0" t="s">
        <v>3870</v>
      </c>
      <c r="F138" s="0" t="s">
        <v>3530</v>
      </c>
      <c r="G138" s="0" t="s">
        <v>3871</v>
      </c>
    </row>
    <row customHeight="1" ht="11.25">
      <c r="A139" s="527" t="s">
        <v>14</v>
      </c>
      <c r="B139" s="0" t="s">
        <v>3846</v>
      </c>
      <c r="C139" s="0" t="s">
        <v>3847</v>
      </c>
      <c r="D139" s="0" t="s">
        <v>3872</v>
      </c>
      <c r="E139" s="0" t="s">
        <v>3873</v>
      </c>
      <c r="F139" s="0" t="s">
        <v>3530</v>
      </c>
      <c r="G139" s="0" t="s">
        <v>3874</v>
      </c>
    </row>
    <row customHeight="1" ht="11.25">
      <c r="A140" s="527" t="s">
        <v>14</v>
      </c>
      <c r="B140" s="0" t="s">
        <v>3875</v>
      </c>
      <c r="C140" s="0" t="s">
        <v>3876</v>
      </c>
      <c r="D140" s="0" t="s">
        <v>3877</v>
      </c>
      <c r="E140" s="0" t="s">
        <v>3878</v>
      </c>
      <c r="F140" s="0" t="s">
        <v>3530</v>
      </c>
      <c r="G140" s="0" t="s">
        <v>3879</v>
      </c>
    </row>
    <row customHeight="1" ht="11.25">
      <c r="A141" s="527" t="s">
        <v>14</v>
      </c>
      <c r="B141" s="0" t="s">
        <v>3875</v>
      </c>
      <c r="C141" s="0" t="s">
        <v>3876</v>
      </c>
      <c r="D141" s="0" t="s">
        <v>3880</v>
      </c>
      <c r="E141" s="0" t="s">
        <v>3881</v>
      </c>
      <c r="F141" s="0" t="s">
        <v>3530</v>
      </c>
      <c r="G141" s="0" t="s">
        <v>3882</v>
      </c>
    </row>
    <row customHeight="1" ht="11.25">
      <c r="A142" s="527" t="s">
        <v>14</v>
      </c>
      <c r="B142" s="0" t="s">
        <v>3875</v>
      </c>
      <c r="C142" s="0" t="s">
        <v>3876</v>
      </c>
      <c r="D142" s="0" t="s">
        <v>3883</v>
      </c>
      <c r="E142" s="0" t="s">
        <v>3884</v>
      </c>
      <c r="F142" s="0" t="s">
        <v>3530</v>
      </c>
      <c r="G142" s="0" t="s">
        <v>3885</v>
      </c>
    </row>
    <row customHeight="1" ht="11.25">
      <c r="A143" s="527" t="s">
        <v>14</v>
      </c>
      <c r="B143" s="0" t="s">
        <v>3875</v>
      </c>
      <c r="C143" s="0" t="s">
        <v>3876</v>
      </c>
      <c r="D143" s="0" t="s">
        <v>3875</v>
      </c>
      <c r="E143" s="0" t="s">
        <v>3876</v>
      </c>
      <c r="F143" s="0" t="s">
        <v>3527</v>
      </c>
      <c r="G143" s="0" t="s">
        <v>3886</v>
      </c>
    </row>
    <row customHeight="1" ht="11.25">
      <c r="A144" s="527" t="s">
        <v>14</v>
      </c>
      <c r="B144" s="0" t="s">
        <v>3875</v>
      </c>
      <c r="C144" s="0" t="s">
        <v>3876</v>
      </c>
      <c r="D144" s="0" t="s">
        <v>3887</v>
      </c>
      <c r="E144" s="0" t="s">
        <v>3888</v>
      </c>
      <c r="F144" s="0" t="s">
        <v>3530</v>
      </c>
      <c r="G144" s="0" t="s">
        <v>3889</v>
      </c>
    </row>
    <row customHeight="1" ht="11.25">
      <c r="A145" s="527" t="s">
        <v>14</v>
      </c>
      <c r="B145" s="0" t="s">
        <v>3875</v>
      </c>
      <c r="C145" s="0" t="s">
        <v>3876</v>
      </c>
      <c r="D145" s="0" t="s">
        <v>3890</v>
      </c>
      <c r="E145" s="0" t="s">
        <v>3891</v>
      </c>
      <c r="F145" s="0" t="s">
        <v>3530</v>
      </c>
      <c r="G145" s="0" t="s">
        <v>3892</v>
      </c>
    </row>
    <row customHeight="1" ht="11.25">
      <c r="A146" s="527" t="s">
        <v>14</v>
      </c>
      <c r="B146" s="0" t="s">
        <v>3875</v>
      </c>
      <c r="C146" s="0" t="s">
        <v>3876</v>
      </c>
      <c r="D146" s="0" t="s">
        <v>3893</v>
      </c>
      <c r="E146" s="0" t="s">
        <v>3894</v>
      </c>
      <c r="F146" s="0" t="s">
        <v>3530</v>
      </c>
      <c r="G146" s="0" t="s">
        <v>3895</v>
      </c>
    </row>
    <row customHeight="1" ht="11.25">
      <c r="A147" s="527" t="s">
        <v>14</v>
      </c>
      <c r="B147" s="0" t="s">
        <v>3875</v>
      </c>
      <c r="C147" s="0" t="s">
        <v>3876</v>
      </c>
      <c r="D147" s="0" t="s">
        <v>3896</v>
      </c>
      <c r="E147" s="0" t="s">
        <v>3897</v>
      </c>
      <c r="F147" s="0" t="s">
        <v>3530</v>
      </c>
      <c r="G147" s="0" t="s">
        <v>3898</v>
      </c>
    </row>
    <row customHeight="1" ht="11.25">
      <c r="A148" s="527" t="s">
        <v>14</v>
      </c>
      <c r="B148" s="0" t="s">
        <v>3875</v>
      </c>
      <c r="C148" s="0" t="s">
        <v>3876</v>
      </c>
      <c r="D148" s="0" t="s">
        <v>3578</v>
      </c>
      <c r="E148" s="0" t="s">
        <v>3899</v>
      </c>
      <c r="F148" s="0" t="s">
        <v>3530</v>
      </c>
      <c r="G148" s="0" t="s">
        <v>3900</v>
      </c>
    </row>
    <row customHeight="1" ht="11.25">
      <c r="A149" s="527" t="s">
        <v>14</v>
      </c>
      <c r="B149" s="0" t="s">
        <v>3875</v>
      </c>
      <c r="C149" s="0" t="s">
        <v>3876</v>
      </c>
      <c r="D149" s="0" t="s">
        <v>3901</v>
      </c>
      <c r="E149" s="0" t="s">
        <v>3902</v>
      </c>
      <c r="F149" s="0" t="s">
        <v>3530</v>
      </c>
      <c r="G149" s="0" t="s">
        <v>3903</v>
      </c>
    </row>
    <row customHeight="1" ht="11.25">
      <c r="A150" s="527" t="s">
        <v>14</v>
      </c>
      <c r="B150" s="0" t="s">
        <v>3875</v>
      </c>
      <c r="C150" s="0" t="s">
        <v>3876</v>
      </c>
      <c r="D150" s="0" t="s">
        <v>3904</v>
      </c>
      <c r="E150" s="0" t="s">
        <v>3905</v>
      </c>
      <c r="F150" s="0" t="s">
        <v>3530</v>
      </c>
      <c r="G150" s="0" t="s">
        <v>3906</v>
      </c>
    </row>
    <row customHeight="1" ht="11.25">
      <c r="A151" s="527" t="s">
        <v>14</v>
      </c>
      <c r="B151" s="0" t="s">
        <v>3875</v>
      </c>
      <c r="C151" s="0" t="s">
        <v>3876</v>
      </c>
      <c r="D151" s="0" t="s">
        <v>3907</v>
      </c>
      <c r="E151" s="0" t="s">
        <v>3908</v>
      </c>
      <c r="F151" s="0" t="s">
        <v>3530</v>
      </c>
      <c r="G151" s="0" t="s">
        <v>3909</v>
      </c>
    </row>
    <row customHeight="1" ht="11.25">
      <c r="A152" s="527" t="s">
        <v>14</v>
      </c>
      <c r="B152" s="0" t="s">
        <v>3910</v>
      </c>
      <c r="C152" s="0" t="s">
        <v>3911</v>
      </c>
      <c r="D152" s="0" t="s">
        <v>3912</v>
      </c>
      <c r="E152" s="0" t="s">
        <v>3913</v>
      </c>
      <c r="F152" s="0" t="s">
        <v>3530</v>
      </c>
      <c r="G152" s="0" t="s">
        <v>3914</v>
      </c>
    </row>
    <row customHeight="1" ht="11.25">
      <c r="A153" s="527" t="s">
        <v>14</v>
      </c>
      <c r="B153" s="0" t="s">
        <v>3910</v>
      </c>
      <c r="C153" s="0" t="s">
        <v>3911</v>
      </c>
      <c r="D153" s="0" t="s">
        <v>3910</v>
      </c>
      <c r="E153" s="0" t="s">
        <v>3911</v>
      </c>
      <c r="F153" s="0" t="s">
        <v>3527</v>
      </c>
      <c r="G153" s="0" t="s">
        <v>3915</v>
      </c>
    </row>
    <row customHeight="1" ht="11.25">
      <c r="A154" s="527" t="s">
        <v>14</v>
      </c>
      <c r="B154" s="0" t="s">
        <v>3910</v>
      </c>
      <c r="C154" s="0" t="s">
        <v>3911</v>
      </c>
      <c r="D154" s="0" t="s">
        <v>3537</v>
      </c>
      <c r="E154" s="0" t="s">
        <v>3916</v>
      </c>
      <c r="F154" s="0" t="s">
        <v>3530</v>
      </c>
      <c r="G154" s="0" t="s">
        <v>3917</v>
      </c>
    </row>
    <row customHeight="1" ht="11.25">
      <c r="A155" s="527" t="s">
        <v>14</v>
      </c>
      <c r="B155" s="0" t="s">
        <v>3910</v>
      </c>
      <c r="C155" s="0" t="s">
        <v>3911</v>
      </c>
      <c r="D155" s="0" t="s">
        <v>3918</v>
      </c>
      <c r="E155" s="0" t="s">
        <v>3919</v>
      </c>
      <c r="F155" s="0" t="s">
        <v>3530</v>
      </c>
      <c r="G155" s="0" t="s">
        <v>3920</v>
      </c>
    </row>
    <row customHeight="1" ht="11.25">
      <c r="A156" s="527" t="s">
        <v>14</v>
      </c>
      <c r="B156" s="0" t="s">
        <v>3910</v>
      </c>
      <c r="C156" s="0" t="s">
        <v>3911</v>
      </c>
      <c r="D156" s="0" t="s">
        <v>3893</v>
      </c>
      <c r="E156" s="0" t="s">
        <v>3921</v>
      </c>
      <c r="F156" s="0" t="s">
        <v>3530</v>
      </c>
      <c r="G156" s="0" t="s">
        <v>3922</v>
      </c>
    </row>
    <row customHeight="1" ht="11.25">
      <c r="A157" s="527" t="s">
        <v>14</v>
      </c>
      <c r="B157" s="0" t="s">
        <v>3910</v>
      </c>
      <c r="C157" s="0" t="s">
        <v>3911</v>
      </c>
      <c r="D157" s="0" t="s">
        <v>3923</v>
      </c>
      <c r="E157" s="0" t="s">
        <v>3924</v>
      </c>
      <c r="F157" s="0" t="s">
        <v>3530</v>
      </c>
      <c r="G157" s="0" t="s">
        <v>3925</v>
      </c>
    </row>
    <row customHeight="1" ht="11.25">
      <c r="A158" s="527" t="s">
        <v>14</v>
      </c>
      <c r="B158" s="0" t="s">
        <v>3910</v>
      </c>
      <c r="C158" s="0" t="s">
        <v>3911</v>
      </c>
      <c r="D158" s="0" t="s">
        <v>3926</v>
      </c>
      <c r="E158" s="0" t="s">
        <v>3927</v>
      </c>
      <c r="F158" s="0" t="s">
        <v>3530</v>
      </c>
      <c r="G158" s="0" t="s">
        <v>3928</v>
      </c>
    </row>
    <row customHeight="1" ht="11.25">
      <c r="A159" s="527" t="s">
        <v>14</v>
      </c>
      <c r="B159" s="0" t="s">
        <v>3910</v>
      </c>
      <c r="C159" s="0" t="s">
        <v>3911</v>
      </c>
      <c r="D159" s="0" t="s">
        <v>3929</v>
      </c>
      <c r="E159" s="0" t="s">
        <v>3930</v>
      </c>
      <c r="F159" s="0" t="s">
        <v>3530</v>
      </c>
      <c r="G159" s="0" t="s">
        <v>3931</v>
      </c>
    </row>
    <row customHeight="1" ht="11.25">
      <c r="A160" s="527" t="s">
        <v>14</v>
      </c>
      <c r="B160" s="0" t="s">
        <v>3910</v>
      </c>
      <c r="C160" s="0" t="s">
        <v>3911</v>
      </c>
      <c r="D160" s="0" t="s">
        <v>3932</v>
      </c>
      <c r="E160" s="0" t="s">
        <v>3933</v>
      </c>
      <c r="F160" s="0" t="s">
        <v>3530</v>
      </c>
      <c r="G160" s="0" t="s">
        <v>3934</v>
      </c>
    </row>
    <row customHeight="1" ht="11.25">
      <c r="A161" s="527" t="s">
        <v>14</v>
      </c>
      <c r="B161" s="0" t="s">
        <v>3935</v>
      </c>
      <c r="C161" s="0" t="s">
        <v>3936</v>
      </c>
      <c r="D161" s="0" t="s">
        <v>3937</v>
      </c>
      <c r="E161" s="0" t="s">
        <v>3938</v>
      </c>
      <c r="F161" s="0" t="s">
        <v>3530</v>
      </c>
      <c r="G161" s="0" t="s">
        <v>3939</v>
      </c>
    </row>
    <row customHeight="1" ht="11.25">
      <c r="A162" s="527" t="s">
        <v>14</v>
      </c>
      <c r="B162" s="0" t="s">
        <v>3935</v>
      </c>
      <c r="C162" s="0" t="s">
        <v>3936</v>
      </c>
      <c r="D162" s="0" t="s">
        <v>3940</v>
      </c>
      <c r="E162" s="0" t="s">
        <v>3941</v>
      </c>
      <c r="F162" s="0" t="s">
        <v>3530</v>
      </c>
      <c r="G162" s="0" t="s">
        <v>3942</v>
      </c>
    </row>
    <row customHeight="1" ht="11.25">
      <c r="A163" s="527" t="s">
        <v>14</v>
      </c>
      <c r="B163" s="0" t="s">
        <v>3935</v>
      </c>
      <c r="C163" s="0" t="s">
        <v>3936</v>
      </c>
      <c r="D163" s="0" t="s">
        <v>3943</v>
      </c>
      <c r="E163" s="0" t="s">
        <v>3944</v>
      </c>
      <c r="F163" s="0" t="s">
        <v>3530</v>
      </c>
      <c r="G163" s="0" t="s">
        <v>3945</v>
      </c>
    </row>
    <row customHeight="1" ht="11.25">
      <c r="A164" s="527" t="s">
        <v>14</v>
      </c>
      <c r="B164" s="0" t="s">
        <v>3935</v>
      </c>
      <c r="C164" s="0" t="s">
        <v>3936</v>
      </c>
      <c r="D164" s="0" t="s">
        <v>3946</v>
      </c>
      <c r="E164" s="0" t="s">
        <v>3947</v>
      </c>
      <c r="F164" s="0" t="s">
        <v>3948</v>
      </c>
      <c r="G164" s="0" t="s">
        <v>3949</v>
      </c>
    </row>
    <row customHeight="1" ht="11.25">
      <c r="A165" s="527" t="s">
        <v>14</v>
      </c>
      <c r="B165" s="0" t="s">
        <v>3935</v>
      </c>
      <c r="C165" s="0" t="s">
        <v>3936</v>
      </c>
      <c r="D165" s="0" t="s">
        <v>3950</v>
      </c>
      <c r="E165" s="0" t="s">
        <v>3951</v>
      </c>
      <c r="F165" s="0" t="s">
        <v>3530</v>
      </c>
      <c r="G165" s="0" t="s">
        <v>3952</v>
      </c>
    </row>
    <row customHeight="1" ht="11.25">
      <c r="A166" s="527" t="s">
        <v>14</v>
      </c>
      <c r="B166" s="0" t="s">
        <v>3935</v>
      </c>
      <c r="C166" s="0" t="s">
        <v>3936</v>
      </c>
      <c r="D166" s="0" t="s">
        <v>3953</v>
      </c>
      <c r="E166" s="0" t="s">
        <v>3954</v>
      </c>
      <c r="F166" s="0" t="s">
        <v>3530</v>
      </c>
      <c r="G166" s="0" t="s">
        <v>3955</v>
      </c>
    </row>
    <row customHeight="1" ht="11.25">
      <c r="A167" s="527" t="s">
        <v>14</v>
      </c>
      <c r="B167" s="0" t="s">
        <v>3935</v>
      </c>
      <c r="C167" s="0" t="s">
        <v>3936</v>
      </c>
      <c r="D167" s="0" t="s">
        <v>3956</v>
      </c>
      <c r="E167" s="0" t="s">
        <v>3957</v>
      </c>
      <c r="F167" s="0" t="s">
        <v>3530</v>
      </c>
      <c r="G167" s="0" t="s">
        <v>3958</v>
      </c>
    </row>
    <row customHeight="1" ht="11.25">
      <c r="A168" s="527" t="s">
        <v>14</v>
      </c>
      <c r="B168" s="0" t="s">
        <v>3935</v>
      </c>
      <c r="C168" s="0" t="s">
        <v>3936</v>
      </c>
      <c r="D168" s="0" t="s">
        <v>3935</v>
      </c>
      <c r="E168" s="0" t="s">
        <v>3936</v>
      </c>
      <c r="F168" s="0" t="s">
        <v>3527</v>
      </c>
      <c r="G168" s="0" t="s">
        <v>3959</v>
      </c>
    </row>
    <row customHeight="1" ht="11.25">
      <c r="A169" s="527" t="s">
        <v>14</v>
      </c>
      <c r="B169" s="0" t="s">
        <v>3935</v>
      </c>
      <c r="C169" s="0" t="s">
        <v>3936</v>
      </c>
      <c r="D169" s="0" t="s">
        <v>3960</v>
      </c>
      <c r="E169" s="0" t="s">
        <v>3961</v>
      </c>
      <c r="F169" s="0" t="s">
        <v>3530</v>
      </c>
      <c r="G169" s="0" t="s">
        <v>3962</v>
      </c>
    </row>
    <row customHeight="1" ht="11.25">
      <c r="A170" s="527" t="s">
        <v>14</v>
      </c>
      <c r="B170" s="0" t="s">
        <v>3935</v>
      </c>
      <c r="C170" s="0" t="s">
        <v>3936</v>
      </c>
      <c r="D170" s="0" t="s">
        <v>3963</v>
      </c>
      <c r="E170" s="0" t="s">
        <v>3964</v>
      </c>
      <c r="F170" s="0" t="s">
        <v>3530</v>
      </c>
      <c r="G170" s="0" t="s">
        <v>3965</v>
      </c>
    </row>
    <row customHeight="1" ht="11.25">
      <c r="A171" s="527" t="s">
        <v>14</v>
      </c>
      <c r="B171" s="0" t="s">
        <v>3935</v>
      </c>
      <c r="C171" s="0" t="s">
        <v>3936</v>
      </c>
      <c r="D171" s="0" t="s">
        <v>3966</v>
      </c>
      <c r="E171" s="0" t="s">
        <v>3967</v>
      </c>
      <c r="F171" s="0" t="s">
        <v>3530</v>
      </c>
      <c r="G171" s="0" t="s">
        <v>3968</v>
      </c>
    </row>
    <row customHeight="1" ht="11.25">
      <c r="A172" s="527" t="s">
        <v>14</v>
      </c>
      <c r="B172" s="0" t="s">
        <v>3935</v>
      </c>
      <c r="C172" s="0" t="s">
        <v>3936</v>
      </c>
      <c r="D172" s="0" t="s">
        <v>3969</v>
      </c>
      <c r="E172" s="0" t="s">
        <v>3970</v>
      </c>
      <c r="F172" s="0" t="s">
        <v>3530</v>
      </c>
      <c r="G172" s="0" t="s">
        <v>3971</v>
      </c>
    </row>
    <row customHeight="1" ht="11.25">
      <c r="A173" s="527" t="s">
        <v>14</v>
      </c>
      <c r="B173" s="0" t="s">
        <v>3935</v>
      </c>
      <c r="C173" s="0" t="s">
        <v>3936</v>
      </c>
      <c r="D173" s="0" t="s">
        <v>3972</v>
      </c>
      <c r="E173" s="0" t="s">
        <v>3973</v>
      </c>
      <c r="F173" s="0" t="s">
        <v>3530</v>
      </c>
      <c r="G173" s="0" t="s">
        <v>3974</v>
      </c>
    </row>
    <row customHeight="1" ht="11.25">
      <c r="A174" s="527" t="s">
        <v>14</v>
      </c>
      <c r="B174" s="0" t="s">
        <v>3975</v>
      </c>
      <c r="C174" s="0" t="s">
        <v>3976</v>
      </c>
      <c r="D174" s="0" t="s">
        <v>3977</v>
      </c>
      <c r="E174" s="0" t="s">
        <v>3978</v>
      </c>
      <c r="F174" s="0" t="s">
        <v>3530</v>
      </c>
      <c r="G174" s="0" t="s">
        <v>3979</v>
      </c>
    </row>
    <row customHeight="1" ht="11.25">
      <c r="A175" s="527" t="s">
        <v>14</v>
      </c>
      <c r="B175" s="0" t="s">
        <v>3975</v>
      </c>
      <c r="C175" s="0" t="s">
        <v>3976</v>
      </c>
      <c r="D175" s="0" t="s">
        <v>3980</v>
      </c>
      <c r="E175" s="0" t="s">
        <v>3981</v>
      </c>
      <c r="F175" s="0" t="s">
        <v>3530</v>
      </c>
      <c r="G175" s="0" t="s">
        <v>3982</v>
      </c>
    </row>
    <row customHeight="1" ht="11.25">
      <c r="A176" s="527" t="s">
        <v>14</v>
      </c>
      <c r="B176" s="0" t="s">
        <v>3975</v>
      </c>
      <c r="C176" s="0" t="s">
        <v>3976</v>
      </c>
      <c r="D176" s="0" t="s">
        <v>3983</v>
      </c>
      <c r="E176" s="0" t="s">
        <v>3984</v>
      </c>
      <c r="F176" s="0" t="s">
        <v>3530</v>
      </c>
      <c r="G176" s="0" t="s">
        <v>3985</v>
      </c>
    </row>
    <row customHeight="1" ht="11.25">
      <c r="A177" s="527" t="s">
        <v>14</v>
      </c>
      <c r="B177" s="0" t="s">
        <v>3975</v>
      </c>
      <c r="C177" s="0" t="s">
        <v>3976</v>
      </c>
      <c r="D177" s="0" t="s">
        <v>3986</v>
      </c>
      <c r="E177" s="0" t="s">
        <v>3987</v>
      </c>
      <c r="F177" s="0" t="s">
        <v>3530</v>
      </c>
      <c r="G177" s="0" t="s">
        <v>3988</v>
      </c>
    </row>
    <row customHeight="1" ht="11.25">
      <c r="A178" s="527" t="s">
        <v>14</v>
      </c>
      <c r="B178" s="0" t="s">
        <v>3975</v>
      </c>
      <c r="C178" s="0" t="s">
        <v>3976</v>
      </c>
      <c r="D178" s="0" t="s">
        <v>3975</v>
      </c>
      <c r="E178" s="0" t="s">
        <v>3976</v>
      </c>
      <c r="F178" s="0" t="s">
        <v>3527</v>
      </c>
      <c r="G178" s="0" t="s">
        <v>3989</v>
      </c>
    </row>
    <row customHeight="1" ht="11.25">
      <c r="A179" s="527" t="s">
        <v>14</v>
      </c>
      <c r="B179" s="0" t="s">
        <v>3975</v>
      </c>
      <c r="C179" s="0" t="s">
        <v>3976</v>
      </c>
      <c r="D179" s="0" t="s">
        <v>3990</v>
      </c>
      <c r="E179" s="0" t="s">
        <v>3991</v>
      </c>
      <c r="F179" s="0" t="s">
        <v>3530</v>
      </c>
      <c r="G179" s="0" t="s">
        <v>3992</v>
      </c>
    </row>
    <row customHeight="1" ht="11.25">
      <c r="A180" s="527" t="s">
        <v>14</v>
      </c>
      <c r="B180" s="0" t="s">
        <v>3975</v>
      </c>
      <c r="C180" s="0" t="s">
        <v>3976</v>
      </c>
      <c r="D180" s="0" t="s">
        <v>3993</v>
      </c>
      <c r="E180" s="0" t="s">
        <v>3994</v>
      </c>
      <c r="F180" s="0" t="s">
        <v>3530</v>
      </c>
      <c r="G180" s="0" t="s">
        <v>3995</v>
      </c>
    </row>
    <row customHeight="1" ht="11.25">
      <c r="A181" s="527" t="s">
        <v>14</v>
      </c>
      <c r="B181" s="0" t="s">
        <v>3975</v>
      </c>
      <c r="C181" s="0" t="s">
        <v>3976</v>
      </c>
      <c r="D181" s="0" t="s">
        <v>3996</v>
      </c>
      <c r="E181" s="0" t="s">
        <v>3997</v>
      </c>
      <c r="F181" s="0" t="s">
        <v>3530</v>
      </c>
      <c r="G181" s="0" t="s">
        <v>3998</v>
      </c>
    </row>
    <row customHeight="1" ht="11.25">
      <c r="A182" s="527" t="s">
        <v>14</v>
      </c>
      <c r="B182" s="0" t="s">
        <v>3975</v>
      </c>
      <c r="C182" s="0" t="s">
        <v>3976</v>
      </c>
      <c r="D182" s="0" t="s">
        <v>3999</v>
      </c>
      <c r="E182" s="0" t="s">
        <v>4000</v>
      </c>
      <c r="F182" s="0" t="s">
        <v>3530</v>
      </c>
      <c r="G182" s="0" t="s">
        <v>4001</v>
      </c>
    </row>
    <row customHeight="1" ht="11.25">
      <c r="A183" s="527" t="s">
        <v>14</v>
      </c>
      <c r="B183" s="0" t="s">
        <v>3975</v>
      </c>
      <c r="C183" s="0" t="s">
        <v>3976</v>
      </c>
      <c r="D183" s="0" t="s">
        <v>4002</v>
      </c>
      <c r="E183" s="0" t="s">
        <v>4003</v>
      </c>
      <c r="F183" s="0" t="s">
        <v>3530</v>
      </c>
      <c r="G183" s="0" t="s">
        <v>4004</v>
      </c>
    </row>
    <row customHeight="1" ht="11.25">
      <c r="A184" s="527" t="s">
        <v>14</v>
      </c>
      <c r="B184" s="0" t="s">
        <v>3975</v>
      </c>
      <c r="C184" s="0" t="s">
        <v>3976</v>
      </c>
      <c r="D184" s="0" t="s">
        <v>4005</v>
      </c>
      <c r="E184" s="0" t="s">
        <v>4006</v>
      </c>
      <c r="F184" s="0" t="s">
        <v>3530</v>
      </c>
      <c r="G184" s="0" t="s">
        <v>4007</v>
      </c>
    </row>
    <row customHeight="1" ht="11.25">
      <c r="A185" s="527" t="s">
        <v>14</v>
      </c>
      <c r="B185" s="0" t="s">
        <v>4008</v>
      </c>
      <c r="C185" s="0" t="s">
        <v>4009</v>
      </c>
      <c r="D185" s="0" t="s">
        <v>4010</v>
      </c>
      <c r="E185" s="0" t="s">
        <v>4011</v>
      </c>
      <c r="F185" s="0" t="s">
        <v>3530</v>
      </c>
      <c r="G185" s="0" t="s">
        <v>4012</v>
      </c>
    </row>
    <row customHeight="1" ht="11.25">
      <c r="A186" s="527" t="s">
        <v>14</v>
      </c>
      <c r="B186" s="0" t="s">
        <v>4008</v>
      </c>
      <c r="C186" s="0" t="s">
        <v>4009</v>
      </c>
      <c r="D186" s="0" t="s">
        <v>4013</v>
      </c>
      <c r="E186" s="0" t="s">
        <v>4014</v>
      </c>
      <c r="F186" s="0" t="s">
        <v>3530</v>
      </c>
      <c r="G186" s="0" t="s">
        <v>4015</v>
      </c>
    </row>
    <row customHeight="1" ht="11.25">
      <c r="A187" s="527" t="s">
        <v>14</v>
      </c>
      <c r="B187" s="0" t="s">
        <v>4008</v>
      </c>
      <c r="C187" s="0" t="s">
        <v>4009</v>
      </c>
      <c r="D187" s="0" t="s">
        <v>4016</v>
      </c>
      <c r="E187" s="0" t="s">
        <v>4017</v>
      </c>
      <c r="F187" s="0" t="s">
        <v>3530</v>
      </c>
      <c r="G187" s="0" t="s">
        <v>4018</v>
      </c>
    </row>
    <row customHeight="1" ht="11.25">
      <c r="A188" s="527" t="s">
        <v>14</v>
      </c>
      <c r="B188" s="0" t="s">
        <v>4008</v>
      </c>
      <c r="C188" s="0" t="s">
        <v>4009</v>
      </c>
      <c r="D188" s="0" t="s">
        <v>4008</v>
      </c>
      <c r="E188" s="0" t="s">
        <v>4009</v>
      </c>
      <c r="F188" s="0" t="s">
        <v>3527</v>
      </c>
      <c r="G188" s="0" t="s">
        <v>4019</v>
      </c>
    </row>
    <row customHeight="1" ht="11.25">
      <c r="A189" s="527" t="s">
        <v>14</v>
      </c>
      <c r="B189" s="0" t="s">
        <v>4008</v>
      </c>
      <c r="C189" s="0" t="s">
        <v>4009</v>
      </c>
      <c r="D189" s="0" t="s">
        <v>4020</v>
      </c>
      <c r="E189" s="0" t="s">
        <v>4021</v>
      </c>
      <c r="F189" s="0" t="s">
        <v>3569</v>
      </c>
      <c r="G189" s="0" t="s">
        <v>4022</v>
      </c>
    </row>
    <row customHeight="1" ht="11.25">
      <c r="A190" s="527" t="s">
        <v>14</v>
      </c>
      <c r="B190" s="0" t="s">
        <v>4008</v>
      </c>
      <c r="C190" s="0" t="s">
        <v>4009</v>
      </c>
      <c r="D190" s="0" t="s">
        <v>4023</v>
      </c>
      <c r="E190" s="0" t="s">
        <v>4024</v>
      </c>
      <c r="F190" s="0" t="s">
        <v>3530</v>
      </c>
      <c r="G190" s="0" t="s">
        <v>4025</v>
      </c>
    </row>
    <row customHeight="1" ht="11.25">
      <c r="A191" s="527" t="s">
        <v>14</v>
      </c>
      <c r="B191" s="0" t="s">
        <v>4008</v>
      </c>
      <c r="C191" s="0" t="s">
        <v>4009</v>
      </c>
      <c r="D191" s="0" t="s">
        <v>4026</v>
      </c>
      <c r="E191" s="0" t="s">
        <v>4027</v>
      </c>
      <c r="F191" s="0" t="s">
        <v>3530</v>
      </c>
      <c r="G191" s="0" t="s">
        <v>4028</v>
      </c>
    </row>
    <row customHeight="1" ht="11.25">
      <c r="A192" s="527" t="s">
        <v>14</v>
      </c>
      <c r="B192" s="0" t="s">
        <v>4008</v>
      </c>
      <c r="C192" s="0" t="s">
        <v>4009</v>
      </c>
      <c r="D192" s="0" t="s">
        <v>4029</v>
      </c>
      <c r="E192" s="0" t="s">
        <v>4030</v>
      </c>
      <c r="F192" s="0" t="s">
        <v>3530</v>
      </c>
      <c r="G192" s="0" t="s">
        <v>4031</v>
      </c>
    </row>
    <row customHeight="1" ht="11.25">
      <c r="A193" s="527" t="s">
        <v>14</v>
      </c>
      <c r="B193" s="0" t="s">
        <v>4032</v>
      </c>
      <c r="C193" s="0" t="s">
        <v>4033</v>
      </c>
      <c r="D193" s="0" t="s">
        <v>4034</v>
      </c>
      <c r="E193" s="0" t="s">
        <v>4035</v>
      </c>
      <c r="F193" s="0" t="s">
        <v>3530</v>
      </c>
      <c r="G193" s="0" t="s">
        <v>4036</v>
      </c>
    </row>
    <row customHeight="1" ht="11.25">
      <c r="A194" s="527" t="s">
        <v>14</v>
      </c>
      <c r="B194" s="0" t="s">
        <v>4032</v>
      </c>
      <c r="C194" s="0" t="s">
        <v>4033</v>
      </c>
      <c r="D194" s="0" t="s">
        <v>4037</v>
      </c>
      <c r="E194" s="0" t="s">
        <v>4038</v>
      </c>
      <c r="F194" s="0" t="s">
        <v>3530</v>
      </c>
      <c r="G194" s="0" t="s">
        <v>4039</v>
      </c>
    </row>
    <row customHeight="1" ht="11.25">
      <c r="A195" s="527" t="s">
        <v>14</v>
      </c>
      <c r="B195" s="0" t="s">
        <v>4032</v>
      </c>
      <c r="C195" s="0" t="s">
        <v>4033</v>
      </c>
      <c r="D195" s="0" t="s">
        <v>4040</v>
      </c>
      <c r="E195" s="0" t="s">
        <v>4041</v>
      </c>
      <c r="F195" s="0" t="s">
        <v>3569</v>
      </c>
      <c r="G195" s="0" t="s">
        <v>4042</v>
      </c>
    </row>
    <row customHeight="1" ht="11.25">
      <c r="A196" s="527" t="s">
        <v>14</v>
      </c>
      <c r="B196" s="0" t="s">
        <v>4032</v>
      </c>
      <c r="C196" s="0" t="s">
        <v>4033</v>
      </c>
      <c r="D196" s="0" t="s">
        <v>4043</v>
      </c>
      <c r="E196" s="0" t="s">
        <v>4044</v>
      </c>
      <c r="F196" s="0" t="s">
        <v>3530</v>
      </c>
      <c r="G196" s="0" t="s">
        <v>4045</v>
      </c>
    </row>
    <row customHeight="1" ht="11.25">
      <c r="A197" s="527" t="s">
        <v>14</v>
      </c>
      <c r="B197" s="0" t="s">
        <v>4032</v>
      </c>
      <c r="C197" s="0" t="s">
        <v>4033</v>
      </c>
      <c r="D197" s="0" t="s">
        <v>4046</v>
      </c>
      <c r="E197" s="0" t="s">
        <v>4047</v>
      </c>
      <c r="F197" s="0" t="s">
        <v>3530</v>
      </c>
      <c r="G197" s="0" t="s">
        <v>4048</v>
      </c>
    </row>
    <row customHeight="1" ht="11.25">
      <c r="A198" s="527" t="s">
        <v>14</v>
      </c>
      <c r="B198" s="0" t="s">
        <v>4032</v>
      </c>
      <c r="C198" s="0" t="s">
        <v>4033</v>
      </c>
      <c r="D198" s="0" t="s">
        <v>3822</v>
      </c>
      <c r="E198" s="0" t="s">
        <v>4049</v>
      </c>
      <c r="F198" s="0" t="s">
        <v>3530</v>
      </c>
      <c r="G198" s="0" t="s">
        <v>4050</v>
      </c>
    </row>
    <row customHeight="1" ht="11.25">
      <c r="A199" s="527" t="s">
        <v>14</v>
      </c>
      <c r="B199" s="0" t="s">
        <v>4032</v>
      </c>
      <c r="C199" s="0" t="s">
        <v>4033</v>
      </c>
      <c r="D199" s="0" t="s">
        <v>4051</v>
      </c>
      <c r="E199" s="0" t="s">
        <v>4052</v>
      </c>
      <c r="F199" s="0" t="s">
        <v>3530</v>
      </c>
      <c r="G199" s="0" t="s">
        <v>4053</v>
      </c>
    </row>
    <row customHeight="1" ht="11.25">
      <c r="A200" s="527" t="s">
        <v>14</v>
      </c>
      <c r="B200" s="0" t="s">
        <v>4032</v>
      </c>
      <c r="C200" s="0" t="s">
        <v>4033</v>
      </c>
      <c r="D200" s="0" t="s">
        <v>3770</v>
      </c>
      <c r="E200" s="0" t="s">
        <v>4054</v>
      </c>
      <c r="F200" s="0" t="s">
        <v>3530</v>
      </c>
      <c r="G200" s="0" t="s">
        <v>4055</v>
      </c>
    </row>
    <row customHeight="1" ht="11.25">
      <c r="A201" s="527" t="s">
        <v>14</v>
      </c>
      <c r="B201" s="0" t="s">
        <v>4032</v>
      </c>
      <c r="C201" s="0" t="s">
        <v>4033</v>
      </c>
      <c r="D201" s="0" t="s">
        <v>4032</v>
      </c>
      <c r="E201" s="0" t="s">
        <v>4033</v>
      </c>
      <c r="F201" s="0" t="s">
        <v>3527</v>
      </c>
      <c r="G201" s="0" t="s">
        <v>4056</v>
      </c>
    </row>
    <row customHeight="1" ht="11.25">
      <c r="A202" s="527" t="s">
        <v>14</v>
      </c>
      <c r="B202" s="0" t="s">
        <v>4032</v>
      </c>
      <c r="C202" s="0" t="s">
        <v>4033</v>
      </c>
      <c r="D202" s="0" t="s">
        <v>4057</v>
      </c>
      <c r="E202" s="0" t="s">
        <v>4058</v>
      </c>
      <c r="F202" s="0" t="s">
        <v>3569</v>
      </c>
      <c r="G202" s="0" t="s">
        <v>4059</v>
      </c>
    </row>
    <row customHeight="1" ht="11.25">
      <c r="A203" s="527" t="s">
        <v>14</v>
      </c>
      <c r="B203" s="0" t="s">
        <v>4032</v>
      </c>
      <c r="C203" s="0" t="s">
        <v>4033</v>
      </c>
      <c r="D203" s="0" t="s">
        <v>4060</v>
      </c>
      <c r="E203" s="0" t="s">
        <v>4061</v>
      </c>
      <c r="F203" s="0" t="s">
        <v>3530</v>
      </c>
      <c r="G203" s="0" t="s">
        <v>4062</v>
      </c>
    </row>
    <row customHeight="1" ht="11.25">
      <c r="A204" s="527" t="s">
        <v>14</v>
      </c>
      <c r="B204" s="0" t="s">
        <v>4032</v>
      </c>
      <c r="C204" s="0" t="s">
        <v>4033</v>
      </c>
      <c r="D204" s="0" t="s">
        <v>4063</v>
      </c>
      <c r="E204" s="0" t="s">
        <v>4064</v>
      </c>
      <c r="F204" s="0" t="s">
        <v>3530</v>
      </c>
      <c r="G204" s="0" t="s">
        <v>4065</v>
      </c>
    </row>
    <row customHeight="1" ht="11.25">
      <c r="A205" s="527" t="s">
        <v>14</v>
      </c>
      <c r="B205" s="0" t="s">
        <v>4032</v>
      </c>
      <c r="C205" s="0" t="s">
        <v>4033</v>
      </c>
      <c r="D205" s="0" t="s">
        <v>4066</v>
      </c>
      <c r="E205" s="0" t="s">
        <v>4067</v>
      </c>
      <c r="F205" s="0" t="s">
        <v>3530</v>
      </c>
      <c r="G205" s="0" t="s">
        <v>4068</v>
      </c>
    </row>
    <row customHeight="1" ht="11.25">
      <c r="A206" s="527" t="s">
        <v>14</v>
      </c>
      <c r="B206" s="0" t="s">
        <v>4032</v>
      </c>
      <c r="C206" s="0" t="s">
        <v>4033</v>
      </c>
      <c r="D206" s="0" t="s">
        <v>4069</v>
      </c>
      <c r="E206" s="0" t="s">
        <v>4070</v>
      </c>
      <c r="F206" s="0" t="s">
        <v>3530</v>
      </c>
      <c r="G206" s="0" t="s">
        <v>4071</v>
      </c>
    </row>
    <row customHeight="1" ht="11.25">
      <c r="A207" s="527" t="s">
        <v>14</v>
      </c>
      <c r="B207" s="0" t="s">
        <v>4032</v>
      </c>
      <c r="C207" s="0" t="s">
        <v>4033</v>
      </c>
      <c r="D207" s="0" t="s">
        <v>4072</v>
      </c>
      <c r="E207" s="0" t="s">
        <v>4073</v>
      </c>
      <c r="F207" s="0" t="s">
        <v>3948</v>
      </c>
      <c r="G207" s="0" t="s">
        <v>4074</v>
      </c>
    </row>
    <row customHeight="1" ht="11.25">
      <c r="A208" s="527" t="s">
        <v>14</v>
      </c>
      <c r="B208" s="0" t="s">
        <v>4032</v>
      </c>
      <c r="C208" s="0" t="s">
        <v>4033</v>
      </c>
      <c r="D208" s="0" t="s">
        <v>4075</v>
      </c>
      <c r="E208" s="0" t="s">
        <v>4076</v>
      </c>
      <c r="F208" s="0" t="s">
        <v>3530</v>
      </c>
      <c r="G208" s="0" t="s">
        <v>4077</v>
      </c>
    </row>
    <row customHeight="1" ht="11.25">
      <c r="A209" s="527" t="s">
        <v>14</v>
      </c>
      <c r="B209" s="0" t="s">
        <v>4078</v>
      </c>
      <c r="C209" s="0" t="s">
        <v>4079</v>
      </c>
      <c r="D209" s="0" t="s">
        <v>4080</v>
      </c>
      <c r="E209" s="0" t="s">
        <v>4081</v>
      </c>
      <c r="F209" s="0" t="s">
        <v>3530</v>
      </c>
      <c r="G209" s="0" t="s">
        <v>4082</v>
      </c>
    </row>
    <row customHeight="1" ht="11.25">
      <c r="A210" s="527" t="s">
        <v>14</v>
      </c>
      <c r="B210" s="0" t="s">
        <v>4078</v>
      </c>
      <c r="C210" s="0" t="s">
        <v>4079</v>
      </c>
      <c r="D210" s="0" t="s">
        <v>4078</v>
      </c>
      <c r="E210" s="0" t="s">
        <v>4079</v>
      </c>
      <c r="F210" s="0" t="s">
        <v>3527</v>
      </c>
      <c r="G210" s="0" t="s">
        <v>4083</v>
      </c>
    </row>
    <row customHeight="1" ht="11.25">
      <c r="A211" s="527" t="s">
        <v>14</v>
      </c>
      <c r="B211" s="0" t="s">
        <v>4078</v>
      </c>
      <c r="C211" s="0" t="s">
        <v>4079</v>
      </c>
      <c r="D211" s="0" t="s">
        <v>4084</v>
      </c>
      <c r="E211" s="0" t="s">
        <v>4085</v>
      </c>
      <c r="F211" s="0" t="s">
        <v>3530</v>
      </c>
      <c r="G211" s="0" t="s">
        <v>4086</v>
      </c>
    </row>
    <row customHeight="1" ht="11.25">
      <c r="A212" s="527" t="s">
        <v>14</v>
      </c>
      <c r="B212" s="0" t="s">
        <v>4078</v>
      </c>
      <c r="C212" s="0" t="s">
        <v>4079</v>
      </c>
      <c r="D212" s="0" t="s">
        <v>4087</v>
      </c>
      <c r="E212" s="0" t="s">
        <v>4088</v>
      </c>
      <c r="F212" s="0" t="s">
        <v>3530</v>
      </c>
      <c r="G212" s="0" t="s">
        <v>4089</v>
      </c>
    </row>
    <row customHeight="1" ht="11.25">
      <c r="A213" s="527" t="s">
        <v>14</v>
      </c>
      <c r="B213" s="0" t="s">
        <v>4090</v>
      </c>
      <c r="C213" s="0" t="s">
        <v>4091</v>
      </c>
      <c r="D213" s="0" t="s">
        <v>4092</v>
      </c>
      <c r="E213" s="0" t="s">
        <v>4093</v>
      </c>
      <c r="F213" s="0" t="s">
        <v>3530</v>
      </c>
      <c r="G213" s="0" t="s">
        <v>4094</v>
      </c>
    </row>
    <row customHeight="1" ht="11.25">
      <c r="A214" s="527" t="s">
        <v>14</v>
      </c>
      <c r="B214" s="0" t="s">
        <v>4090</v>
      </c>
      <c r="C214" s="0" t="s">
        <v>4091</v>
      </c>
      <c r="D214" s="0" t="s">
        <v>4095</v>
      </c>
      <c r="E214" s="0" t="s">
        <v>4096</v>
      </c>
      <c r="F214" s="0" t="s">
        <v>3530</v>
      </c>
      <c r="G214" s="0" t="s">
        <v>4097</v>
      </c>
    </row>
    <row customHeight="1" ht="11.25">
      <c r="A215" s="527" t="s">
        <v>14</v>
      </c>
      <c r="B215" s="0" t="s">
        <v>4090</v>
      </c>
      <c r="C215" s="0" t="s">
        <v>4091</v>
      </c>
      <c r="D215" s="0" t="s">
        <v>4098</v>
      </c>
      <c r="E215" s="0" t="s">
        <v>4099</v>
      </c>
      <c r="F215" s="0" t="s">
        <v>3530</v>
      </c>
      <c r="G215" s="0" t="s">
        <v>4100</v>
      </c>
    </row>
    <row customHeight="1" ht="11.25">
      <c r="A216" s="527" t="s">
        <v>14</v>
      </c>
      <c r="B216" s="0" t="s">
        <v>4090</v>
      </c>
      <c r="C216" s="0" t="s">
        <v>4091</v>
      </c>
      <c r="D216" s="0" t="s">
        <v>4101</v>
      </c>
      <c r="E216" s="0" t="s">
        <v>4102</v>
      </c>
      <c r="F216" s="0" t="s">
        <v>3530</v>
      </c>
      <c r="G216" s="0" t="s">
        <v>4103</v>
      </c>
    </row>
    <row customHeight="1" ht="11.25">
      <c r="A217" s="527" t="s">
        <v>14</v>
      </c>
      <c r="B217" s="0" t="s">
        <v>4090</v>
      </c>
      <c r="C217" s="0" t="s">
        <v>4091</v>
      </c>
      <c r="D217" s="0" t="s">
        <v>4104</v>
      </c>
      <c r="E217" s="0" t="s">
        <v>4105</v>
      </c>
      <c r="F217" s="0" t="s">
        <v>3530</v>
      </c>
      <c r="G217" s="0" t="s">
        <v>4106</v>
      </c>
    </row>
    <row customHeight="1" ht="11.25">
      <c r="A218" s="527" t="s">
        <v>14</v>
      </c>
      <c r="B218" s="0" t="s">
        <v>4090</v>
      </c>
      <c r="C218" s="0" t="s">
        <v>4091</v>
      </c>
      <c r="D218" s="0" t="s">
        <v>4090</v>
      </c>
      <c r="E218" s="0" t="s">
        <v>4091</v>
      </c>
      <c r="F218" s="0" t="s">
        <v>3527</v>
      </c>
      <c r="G218" s="0" t="s">
        <v>4107</v>
      </c>
    </row>
    <row customHeight="1" ht="11.25">
      <c r="A219" s="527" t="s">
        <v>14</v>
      </c>
      <c r="B219" s="0" t="s">
        <v>4090</v>
      </c>
      <c r="C219" s="0" t="s">
        <v>4091</v>
      </c>
      <c r="D219" s="0" t="s">
        <v>4108</v>
      </c>
      <c r="E219" s="0" t="s">
        <v>4109</v>
      </c>
      <c r="F219" s="0" t="s">
        <v>3530</v>
      </c>
      <c r="G219" s="0" t="s">
        <v>4110</v>
      </c>
    </row>
    <row customHeight="1" ht="11.25">
      <c r="A220" s="527" t="s">
        <v>14</v>
      </c>
      <c r="B220" s="0" t="s">
        <v>4090</v>
      </c>
      <c r="C220" s="0" t="s">
        <v>4091</v>
      </c>
      <c r="D220" s="0" t="s">
        <v>4111</v>
      </c>
      <c r="E220" s="0" t="s">
        <v>4112</v>
      </c>
      <c r="F220" s="0" t="s">
        <v>3530</v>
      </c>
      <c r="G220" s="0" t="s">
        <v>4113</v>
      </c>
    </row>
    <row customHeight="1" ht="11.25">
      <c r="A221" s="527" t="s">
        <v>14</v>
      </c>
      <c r="B221" s="0" t="s">
        <v>4090</v>
      </c>
      <c r="C221" s="0" t="s">
        <v>4091</v>
      </c>
      <c r="D221" s="0" t="s">
        <v>4114</v>
      </c>
      <c r="E221" s="0" t="s">
        <v>4115</v>
      </c>
      <c r="F221" s="0" t="s">
        <v>3530</v>
      </c>
      <c r="G221" s="0" t="s">
        <v>4116</v>
      </c>
    </row>
    <row customHeight="1" ht="11.25">
      <c r="A222" s="527" t="s">
        <v>14</v>
      </c>
      <c r="B222" s="0" t="s">
        <v>4090</v>
      </c>
      <c r="C222" s="0" t="s">
        <v>4091</v>
      </c>
      <c r="D222" s="0" t="s">
        <v>4117</v>
      </c>
      <c r="E222" s="0" t="s">
        <v>4118</v>
      </c>
      <c r="F222" s="0" t="s">
        <v>3530</v>
      </c>
      <c r="G222" s="0" t="s">
        <v>4119</v>
      </c>
    </row>
    <row customHeight="1" ht="11.25">
      <c r="A223" s="527" t="s">
        <v>14</v>
      </c>
      <c r="B223" s="0" t="s">
        <v>4120</v>
      </c>
      <c r="C223" s="0" t="s">
        <v>4121</v>
      </c>
      <c r="D223" s="0" t="s">
        <v>4122</v>
      </c>
      <c r="E223" s="0" t="s">
        <v>4123</v>
      </c>
      <c r="F223" s="0" t="s">
        <v>3530</v>
      </c>
      <c r="G223" s="0" t="s">
        <v>4124</v>
      </c>
    </row>
    <row customHeight="1" ht="11.25">
      <c r="A224" s="527" t="s">
        <v>14</v>
      </c>
      <c r="B224" s="0" t="s">
        <v>4120</v>
      </c>
      <c r="C224" s="0" t="s">
        <v>4121</v>
      </c>
      <c r="D224" s="0" t="s">
        <v>4125</v>
      </c>
      <c r="E224" s="0" t="s">
        <v>4126</v>
      </c>
      <c r="F224" s="0" t="s">
        <v>3530</v>
      </c>
      <c r="G224" s="0" t="s">
        <v>4127</v>
      </c>
    </row>
    <row customHeight="1" ht="11.25">
      <c r="A225" s="527" t="s">
        <v>14</v>
      </c>
      <c r="B225" s="0" t="s">
        <v>4120</v>
      </c>
      <c r="C225" s="0" t="s">
        <v>4121</v>
      </c>
      <c r="D225" s="0" t="s">
        <v>4128</v>
      </c>
      <c r="E225" s="0" t="s">
        <v>4129</v>
      </c>
      <c r="F225" s="0" t="s">
        <v>3530</v>
      </c>
      <c r="G225" s="0" t="s">
        <v>4130</v>
      </c>
    </row>
    <row customHeight="1" ht="11.25">
      <c r="A226" s="527" t="s">
        <v>14</v>
      </c>
      <c r="B226" s="0" t="s">
        <v>4120</v>
      </c>
      <c r="C226" s="0" t="s">
        <v>4121</v>
      </c>
      <c r="D226" s="0" t="s">
        <v>4131</v>
      </c>
      <c r="E226" s="0" t="s">
        <v>4132</v>
      </c>
      <c r="F226" s="0" t="s">
        <v>3530</v>
      </c>
      <c r="G226" s="0" t="s">
        <v>4133</v>
      </c>
    </row>
    <row customHeight="1" ht="11.25">
      <c r="A227" s="527" t="s">
        <v>14</v>
      </c>
      <c r="B227" s="0" t="s">
        <v>4120</v>
      </c>
      <c r="C227" s="0" t="s">
        <v>4121</v>
      </c>
      <c r="D227" s="0" t="s">
        <v>4134</v>
      </c>
      <c r="E227" s="0" t="s">
        <v>4135</v>
      </c>
      <c r="F227" s="0" t="s">
        <v>3530</v>
      </c>
      <c r="G227" s="0" t="s">
        <v>4136</v>
      </c>
    </row>
    <row customHeight="1" ht="11.25">
      <c r="A228" s="527" t="s">
        <v>14</v>
      </c>
      <c r="B228" s="0" t="s">
        <v>4120</v>
      </c>
      <c r="C228" s="0" t="s">
        <v>4121</v>
      </c>
      <c r="D228" s="0" t="s">
        <v>4120</v>
      </c>
      <c r="E228" s="0" t="s">
        <v>4121</v>
      </c>
      <c r="F228" s="0" t="s">
        <v>3527</v>
      </c>
      <c r="G228" s="0" t="s">
        <v>4137</v>
      </c>
    </row>
    <row customHeight="1" ht="11.25">
      <c r="A229" s="527" t="s">
        <v>14</v>
      </c>
      <c r="B229" s="0" t="s">
        <v>4120</v>
      </c>
      <c r="C229" s="0" t="s">
        <v>4121</v>
      </c>
      <c r="D229" s="0" t="s">
        <v>4138</v>
      </c>
      <c r="E229" s="0" t="s">
        <v>4139</v>
      </c>
      <c r="F229" s="0" t="s">
        <v>3530</v>
      </c>
      <c r="G229" s="0" t="s">
        <v>4140</v>
      </c>
    </row>
    <row customHeight="1" ht="11.25">
      <c r="A230" s="527" t="s">
        <v>14</v>
      </c>
      <c r="B230" s="0" t="s">
        <v>4120</v>
      </c>
      <c r="C230" s="0" t="s">
        <v>4121</v>
      </c>
      <c r="D230" s="0" t="s">
        <v>4141</v>
      </c>
      <c r="E230" s="0" t="s">
        <v>4142</v>
      </c>
      <c r="F230" s="0" t="s">
        <v>3530</v>
      </c>
      <c r="G230" s="0" t="s">
        <v>4143</v>
      </c>
    </row>
    <row customHeight="1" ht="11.25">
      <c r="A231" s="527" t="s">
        <v>14</v>
      </c>
      <c r="B231" s="0" t="s">
        <v>4120</v>
      </c>
      <c r="C231" s="0" t="s">
        <v>4121</v>
      </c>
      <c r="D231" s="0" t="s">
        <v>4144</v>
      </c>
      <c r="E231" s="0" t="s">
        <v>4145</v>
      </c>
      <c r="F231" s="0" t="s">
        <v>3530</v>
      </c>
      <c r="G231" s="0" t="s">
        <v>4146</v>
      </c>
    </row>
    <row customHeight="1" ht="11.25">
      <c r="A232" s="527" t="s">
        <v>14</v>
      </c>
      <c r="B232" s="0" t="s">
        <v>4147</v>
      </c>
      <c r="C232" s="0" t="s">
        <v>4148</v>
      </c>
      <c r="D232" s="0" t="s">
        <v>4149</v>
      </c>
      <c r="E232" s="0" t="s">
        <v>4150</v>
      </c>
      <c r="F232" s="0" t="s">
        <v>3530</v>
      </c>
      <c r="G232" s="0" t="s">
        <v>4151</v>
      </c>
    </row>
    <row customHeight="1" ht="11.25">
      <c r="A233" s="527" t="s">
        <v>14</v>
      </c>
      <c r="B233" s="0" t="s">
        <v>4147</v>
      </c>
      <c r="C233" s="0" t="s">
        <v>4148</v>
      </c>
      <c r="D233" s="0" t="s">
        <v>4152</v>
      </c>
      <c r="E233" s="0" t="s">
        <v>4153</v>
      </c>
      <c r="F233" s="0" t="s">
        <v>3530</v>
      </c>
      <c r="G233" s="0" t="s">
        <v>4154</v>
      </c>
    </row>
    <row customHeight="1" ht="11.25">
      <c r="A234" s="527" t="s">
        <v>14</v>
      </c>
      <c r="B234" s="0" t="s">
        <v>4147</v>
      </c>
      <c r="C234" s="0" t="s">
        <v>4148</v>
      </c>
      <c r="D234" s="0" t="s">
        <v>4155</v>
      </c>
      <c r="E234" s="0" t="s">
        <v>4156</v>
      </c>
      <c r="F234" s="0" t="s">
        <v>3530</v>
      </c>
      <c r="G234" s="0" t="s">
        <v>4157</v>
      </c>
    </row>
    <row customHeight="1" ht="11.25">
      <c r="A235" s="527" t="s">
        <v>14</v>
      </c>
      <c r="B235" s="0" t="s">
        <v>4147</v>
      </c>
      <c r="C235" s="0" t="s">
        <v>4148</v>
      </c>
      <c r="D235" s="0" t="s">
        <v>4158</v>
      </c>
      <c r="E235" s="0" t="s">
        <v>4159</v>
      </c>
      <c r="F235" s="0" t="s">
        <v>3530</v>
      </c>
      <c r="G235" s="0" t="s">
        <v>4160</v>
      </c>
    </row>
    <row customHeight="1" ht="11.25">
      <c r="A236" s="527" t="s">
        <v>14</v>
      </c>
      <c r="B236" s="0" t="s">
        <v>4147</v>
      </c>
      <c r="C236" s="0" t="s">
        <v>4148</v>
      </c>
      <c r="D236" s="0" t="s">
        <v>4161</v>
      </c>
      <c r="E236" s="0" t="s">
        <v>4162</v>
      </c>
      <c r="F236" s="0" t="s">
        <v>3530</v>
      </c>
      <c r="G236" s="0" t="s">
        <v>4163</v>
      </c>
    </row>
    <row customHeight="1" ht="11.25">
      <c r="A237" s="527" t="s">
        <v>14</v>
      </c>
      <c r="B237" s="0" t="s">
        <v>4147</v>
      </c>
      <c r="C237" s="0" t="s">
        <v>4148</v>
      </c>
      <c r="D237" s="0" t="s">
        <v>4164</v>
      </c>
      <c r="E237" s="0" t="s">
        <v>4165</v>
      </c>
      <c r="F237" s="0" t="s">
        <v>3530</v>
      </c>
      <c r="G237" s="0" t="s">
        <v>4166</v>
      </c>
    </row>
    <row customHeight="1" ht="11.25">
      <c r="A238" s="527" t="s">
        <v>14</v>
      </c>
      <c r="B238" s="0" t="s">
        <v>4147</v>
      </c>
      <c r="C238" s="0" t="s">
        <v>4148</v>
      </c>
      <c r="D238" s="0" t="s">
        <v>4147</v>
      </c>
      <c r="E238" s="0" t="s">
        <v>4148</v>
      </c>
      <c r="F238" s="0" t="s">
        <v>3527</v>
      </c>
      <c r="G238" s="0" t="s">
        <v>4167</v>
      </c>
    </row>
    <row customHeight="1" ht="11.25">
      <c r="A239" s="527" t="s">
        <v>14</v>
      </c>
      <c r="B239" s="0" t="s">
        <v>4147</v>
      </c>
      <c r="C239" s="0" t="s">
        <v>4148</v>
      </c>
      <c r="D239" s="0" t="s">
        <v>4168</v>
      </c>
      <c r="E239" s="0" t="s">
        <v>4169</v>
      </c>
      <c r="F239" s="0" t="s">
        <v>3569</v>
      </c>
      <c r="G239" s="0" t="s">
        <v>4170</v>
      </c>
    </row>
    <row customHeight="1" ht="11.25">
      <c r="A240" s="527" t="s">
        <v>14</v>
      </c>
      <c r="B240" s="0" t="s">
        <v>4147</v>
      </c>
      <c r="C240" s="0" t="s">
        <v>4148</v>
      </c>
      <c r="D240" s="0" t="s">
        <v>4171</v>
      </c>
      <c r="E240" s="0" t="s">
        <v>4172</v>
      </c>
      <c r="F240" s="0" t="s">
        <v>3530</v>
      </c>
      <c r="G240" s="0" t="s">
        <v>4173</v>
      </c>
    </row>
    <row customHeight="1" ht="11.25">
      <c r="A241" s="527" t="s">
        <v>14</v>
      </c>
      <c r="B241" s="0" t="s">
        <v>4147</v>
      </c>
      <c r="C241" s="0" t="s">
        <v>4148</v>
      </c>
      <c r="D241" s="0" t="s">
        <v>3996</v>
      </c>
      <c r="E241" s="0" t="s">
        <v>4174</v>
      </c>
      <c r="F241" s="0" t="s">
        <v>3530</v>
      </c>
      <c r="G241" s="0" t="s">
        <v>4175</v>
      </c>
    </row>
    <row customHeight="1" ht="11.25">
      <c r="A242" s="527" t="s">
        <v>14</v>
      </c>
      <c r="B242" s="0" t="s">
        <v>4147</v>
      </c>
      <c r="C242" s="0" t="s">
        <v>4148</v>
      </c>
      <c r="D242" s="0" t="s">
        <v>4176</v>
      </c>
      <c r="E242" s="0" t="s">
        <v>4177</v>
      </c>
      <c r="F242" s="0" t="s">
        <v>3530</v>
      </c>
      <c r="G242" s="0" t="s">
        <v>4178</v>
      </c>
    </row>
    <row customHeight="1" ht="11.25">
      <c r="A243" s="527" t="s">
        <v>14</v>
      </c>
      <c r="B243" s="0" t="s">
        <v>4147</v>
      </c>
      <c r="C243" s="0" t="s">
        <v>4148</v>
      </c>
      <c r="D243" s="0" t="s">
        <v>4179</v>
      </c>
      <c r="E243" s="0" t="s">
        <v>4180</v>
      </c>
      <c r="F243" s="0" t="s">
        <v>3530</v>
      </c>
      <c r="G243" s="0" t="s">
        <v>4181</v>
      </c>
    </row>
    <row customHeight="1" ht="11.25">
      <c r="A244" s="527" t="s">
        <v>14</v>
      </c>
      <c r="B244" s="0" t="s">
        <v>4147</v>
      </c>
      <c r="C244" s="0" t="s">
        <v>4148</v>
      </c>
      <c r="D244" s="0" t="s">
        <v>4182</v>
      </c>
      <c r="E244" s="0" t="s">
        <v>4183</v>
      </c>
      <c r="F244" s="0" t="s">
        <v>3530</v>
      </c>
      <c r="G244" s="0" t="s">
        <v>4184</v>
      </c>
    </row>
    <row customHeight="1" ht="11.25">
      <c r="A245" s="527" t="s">
        <v>14</v>
      </c>
      <c r="B245" s="0" t="s">
        <v>4147</v>
      </c>
      <c r="C245" s="0" t="s">
        <v>4148</v>
      </c>
      <c r="D245" s="0" t="s">
        <v>4185</v>
      </c>
      <c r="E245" s="0" t="s">
        <v>4186</v>
      </c>
      <c r="F245" s="0" t="s">
        <v>3530</v>
      </c>
      <c r="G245" s="0" t="s">
        <v>4187</v>
      </c>
    </row>
    <row customHeight="1" ht="11.25">
      <c r="A246" s="527" t="s">
        <v>14</v>
      </c>
      <c r="B246" s="0" t="s">
        <v>4188</v>
      </c>
      <c r="C246" s="0" t="s">
        <v>4189</v>
      </c>
      <c r="D246" s="0" t="s">
        <v>4190</v>
      </c>
      <c r="E246" s="0" t="s">
        <v>4191</v>
      </c>
      <c r="F246" s="0" t="s">
        <v>3530</v>
      </c>
      <c r="G246" s="0" t="s">
        <v>4192</v>
      </c>
    </row>
    <row customHeight="1" ht="11.25">
      <c r="A247" s="527" t="s">
        <v>14</v>
      </c>
      <c r="B247" s="0" t="s">
        <v>4188</v>
      </c>
      <c r="C247" s="0" t="s">
        <v>4189</v>
      </c>
      <c r="D247" s="0" t="s">
        <v>4193</v>
      </c>
      <c r="E247" s="0" t="s">
        <v>4194</v>
      </c>
      <c r="F247" s="0" t="s">
        <v>3530</v>
      </c>
      <c r="G247" s="0" t="s">
        <v>4195</v>
      </c>
    </row>
    <row customHeight="1" ht="11.25">
      <c r="A248" s="527" t="s">
        <v>14</v>
      </c>
      <c r="B248" s="0" t="s">
        <v>4188</v>
      </c>
      <c r="C248" s="0" t="s">
        <v>4189</v>
      </c>
      <c r="D248" s="0" t="s">
        <v>4188</v>
      </c>
      <c r="E248" s="0" t="s">
        <v>4189</v>
      </c>
      <c r="F248" s="0" t="s">
        <v>3527</v>
      </c>
      <c r="G248" s="0" t="s">
        <v>4196</v>
      </c>
    </row>
    <row customHeight="1" ht="11.25">
      <c r="A249" s="527" t="s">
        <v>14</v>
      </c>
      <c r="B249" s="0" t="s">
        <v>4188</v>
      </c>
      <c r="C249" s="0" t="s">
        <v>4189</v>
      </c>
      <c r="D249" s="0" t="s">
        <v>4197</v>
      </c>
      <c r="E249" s="0" t="s">
        <v>4198</v>
      </c>
      <c r="F249" s="0" t="s">
        <v>3530</v>
      </c>
      <c r="G249" s="0" t="s">
        <v>4199</v>
      </c>
    </row>
    <row customHeight="1" ht="11.25">
      <c r="A250" s="527" t="s">
        <v>14</v>
      </c>
      <c r="B250" s="0" t="s">
        <v>4188</v>
      </c>
      <c r="C250" s="0" t="s">
        <v>4189</v>
      </c>
      <c r="D250" s="0" t="s">
        <v>4200</v>
      </c>
      <c r="E250" s="0" t="s">
        <v>4201</v>
      </c>
      <c r="F250" s="0" t="s">
        <v>3530</v>
      </c>
      <c r="G250" s="0" t="s">
        <v>4202</v>
      </c>
    </row>
    <row customHeight="1" ht="11.25">
      <c r="A251" s="527" t="s">
        <v>14</v>
      </c>
      <c r="B251" s="0" t="s">
        <v>4188</v>
      </c>
      <c r="C251" s="0" t="s">
        <v>4189</v>
      </c>
      <c r="D251" s="0" t="s">
        <v>4203</v>
      </c>
      <c r="E251" s="0" t="s">
        <v>4204</v>
      </c>
      <c r="F251" s="0" t="s">
        <v>3530</v>
      </c>
      <c r="G251" s="0" t="s">
        <v>4205</v>
      </c>
    </row>
    <row customHeight="1" ht="11.25">
      <c r="A252" s="527" t="s">
        <v>14</v>
      </c>
      <c r="B252" s="0" t="s">
        <v>4188</v>
      </c>
      <c r="C252" s="0" t="s">
        <v>4189</v>
      </c>
      <c r="D252" s="0" t="s">
        <v>4206</v>
      </c>
      <c r="E252" s="0" t="s">
        <v>4207</v>
      </c>
      <c r="F252" s="0" t="s">
        <v>3530</v>
      </c>
      <c r="G252" s="0" t="s">
        <v>4208</v>
      </c>
    </row>
    <row customHeight="1" ht="11.25">
      <c r="A253" s="527" t="s">
        <v>14</v>
      </c>
      <c r="B253" s="0" t="s">
        <v>4188</v>
      </c>
      <c r="C253" s="0" t="s">
        <v>4189</v>
      </c>
      <c r="D253" s="0" t="s">
        <v>4209</v>
      </c>
      <c r="E253" s="0" t="s">
        <v>4210</v>
      </c>
      <c r="F253" s="0" t="s">
        <v>3530</v>
      </c>
      <c r="G253" s="0" t="s">
        <v>4211</v>
      </c>
    </row>
    <row customHeight="1" ht="11.25">
      <c r="A254" s="527" t="s">
        <v>14</v>
      </c>
      <c r="B254" s="0" t="s">
        <v>4212</v>
      </c>
      <c r="C254" s="0" t="s">
        <v>4213</v>
      </c>
      <c r="D254" s="0" t="s">
        <v>4214</v>
      </c>
      <c r="E254" s="0" t="s">
        <v>4215</v>
      </c>
      <c r="F254" s="0" t="s">
        <v>3530</v>
      </c>
      <c r="G254" s="0" t="s">
        <v>4216</v>
      </c>
    </row>
    <row customHeight="1" ht="11.25">
      <c r="A255" s="527" t="s">
        <v>14</v>
      </c>
      <c r="B255" s="0" t="s">
        <v>4212</v>
      </c>
      <c r="C255" s="0" t="s">
        <v>4213</v>
      </c>
      <c r="D255" s="0" t="s">
        <v>4217</v>
      </c>
      <c r="E255" s="0" t="s">
        <v>4218</v>
      </c>
      <c r="F255" s="0" t="s">
        <v>3530</v>
      </c>
      <c r="G255" s="0" t="s">
        <v>4219</v>
      </c>
    </row>
    <row customHeight="1" ht="11.25">
      <c r="A256" s="527" t="s">
        <v>14</v>
      </c>
      <c r="B256" s="0" t="s">
        <v>4212</v>
      </c>
      <c r="C256" s="0" t="s">
        <v>4213</v>
      </c>
      <c r="D256" s="0" t="s">
        <v>4220</v>
      </c>
      <c r="E256" s="0" t="s">
        <v>4221</v>
      </c>
      <c r="F256" s="0" t="s">
        <v>3530</v>
      </c>
      <c r="G256" s="0" t="s">
        <v>4222</v>
      </c>
    </row>
    <row customHeight="1" ht="11.25">
      <c r="A257" s="527" t="s">
        <v>14</v>
      </c>
      <c r="B257" s="0" t="s">
        <v>4212</v>
      </c>
      <c r="C257" s="0" t="s">
        <v>4213</v>
      </c>
      <c r="D257" s="0" t="s">
        <v>4223</v>
      </c>
      <c r="E257" s="0" t="s">
        <v>4224</v>
      </c>
      <c r="F257" s="0" t="s">
        <v>3530</v>
      </c>
      <c r="G257" s="0" t="s">
        <v>4225</v>
      </c>
    </row>
    <row customHeight="1" ht="11.25">
      <c r="A258" s="527" t="s">
        <v>14</v>
      </c>
      <c r="B258" s="0" t="s">
        <v>4212</v>
      </c>
      <c r="C258" s="0" t="s">
        <v>4213</v>
      </c>
      <c r="D258" s="0" t="s">
        <v>4226</v>
      </c>
      <c r="E258" s="0" t="s">
        <v>4227</v>
      </c>
      <c r="F258" s="0" t="s">
        <v>3530</v>
      </c>
      <c r="G258" s="0" t="s">
        <v>4228</v>
      </c>
    </row>
    <row customHeight="1" ht="11.25">
      <c r="A259" s="527" t="s">
        <v>14</v>
      </c>
      <c r="B259" s="0" t="s">
        <v>4212</v>
      </c>
      <c r="C259" s="0" t="s">
        <v>4213</v>
      </c>
      <c r="D259" s="0" t="s">
        <v>4229</v>
      </c>
      <c r="E259" s="0" t="s">
        <v>4230</v>
      </c>
      <c r="F259" s="0" t="s">
        <v>3530</v>
      </c>
      <c r="G259" s="0" t="s">
        <v>4231</v>
      </c>
    </row>
    <row customHeight="1" ht="11.25">
      <c r="A260" s="527" t="s">
        <v>14</v>
      </c>
      <c r="B260" s="0" t="s">
        <v>4212</v>
      </c>
      <c r="C260" s="0" t="s">
        <v>4213</v>
      </c>
      <c r="D260" s="0" t="s">
        <v>4212</v>
      </c>
      <c r="E260" s="0" t="s">
        <v>4213</v>
      </c>
      <c r="F260" s="0" t="s">
        <v>3527</v>
      </c>
      <c r="G260" s="0" t="s">
        <v>4232</v>
      </c>
    </row>
    <row customHeight="1" ht="11.25">
      <c r="A261" s="527" t="s">
        <v>14</v>
      </c>
      <c r="B261" s="0" t="s">
        <v>4212</v>
      </c>
      <c r="C261" s="0" t="s">
        <v>4213</v>
      </c>
      <c r="D261" s="0" t="s">
        <v>4233</v>
      </c>
      <c r="E261" s="0" t="s">
        <v>4234</v>
      </c>
      <c r="F261" s="0" t="s">
        <v>3569</v>
      </c>
      <c r="G261" s="0" t="s">
        <v>4235</v>
      </c>
    </row>
    <row customHeight="1" ht="11.25">
      <c r="A262" s="527" t="s">
        <v>14</v>
      </c>
      <c r="B262" s="0" t="s">
        <v>4212</v>
      </c>
      <c r="C262" s="0" t="s">
        <v>4213</v>
      </c>
      <c r="D262" s="0" t="s">
        <v>4236</v>
      </c>
      <c r="E262" s="0" t="s">
        <v>4237</v>
      </c>
      <c r="F262" s="0" t="s">
        <v>3530</v>
      </c>
      <c r="G262" s="0" t="s">
        <v>4238</v>
      </c>
    </row>
    <row customHeight="1" ht="11.25">
      <c r="A263" s="527" t="s">
        <v>14</v>
      </c>
      <c r="B263" s="0" t="s">
        <v>4212</v>
      </c>
      <c r="C263" s="0" t="s">
        <v>4213</v>
      </c>
      <c r="D263" s="0" t="s">
        <v>4239</v>
      </c>
      <c r="E263" s="0" t="s">
        <v>4240</v>
      </c>
      <c r="F263" s="0" t="s">
        <v>3530</v>
      </c>
      <c r="G263" s="0" t="s">
        <v>4241</v>
      </c>
    </row>
    <row customHeight="1" ht="11.25">
      <c r="A264" s="527" t="s">
        <v>14</v>
      </c>
      <c r="B264" s="0" t="s">
        <v>4242</v>
      </c>
      <c r="C264" s="0" t="s">
        <v>4243</v>
      </c>
      <c r="D264" s="0" t="s">
        <v>4244</v>
      </c>
      <c r="E264" s="0" t="s">
        <v>4245</v>
      </c>
      <c r="F264" s="0" t="s">
        <v>3530</v>
      </c>
      <c r="G264" s="0" t="s">
        <v>4246</v>
      </c>
    </row>
    <row customHeight="1" ht="11.25">
      <c r="A265" s="527" t="s">
        <v>14</v>
      </c>
      <c r="B265" s="0" t="s">
        <v>4242</v>
      </c>
      <c r="C265" s="0" t="s">
        <v>4243</v>
      </c>
      <c r="D265" s="0" t="s">
        <v>3918</v>
      </c>
      <c r="E265" s="0" t="s">
        <v>4247</v>
      </c>
      <c r="F265" s="0" t="s">
        <v>3530</v>
      </c>
      <c r="G265" s="0" t="s">
        <v>4248</v>
      </c>
    </row>
    <row customHeight="1" ht="11.25">
      <c r="A266" s="527" t="s">
        <v>14</v>
      </c>
      <c r="B266" s="0" t="s">
        <v>4242</v>
      </c>
      <c r="C266" s="0" t="s">
        <v>4243</v>
      </c>
      <c r="D266" s="0" t="s">
        <v>4249</v>
      </c>
      <c r="E266" s="0" t="s">
        <v>4250</v>
      </c>
      <c r="F266" s="0" t="s">
        <v>3530</v>
      </c>
      <c r="G266" s="0" t="s">
        <v>4251</v>
      </c>
    </row>
    <row customHeight="1" ht="11.25">
      <c r="A267" s="527" t="s">
        <v>14</v>
      </c>
      <c r="B267" s="0" t="s">
        <v>4242</v>
      </c>
      <c r="C267" s="0" t="s">
        <v>4243</v>
      </c>
      <c r="D267" s="0" t="s">
        <v>4252</v>
      </c>
      <c r="E267" s="0" t="s">
        <v>4253</v>
      </c>
      <c r="F267" s="0" t="s">
        <v>3530</v>
      </c>
      <c r="G267" s="0" t="s">
        <v>4254</v>
      </c>
    </row>
    <row customHeight="1" ht="11.25">
      <c r="A268" s="527" t="s">
        <v>14</v>
      </c>
      <c r="B268" s="0" t="s">
        <v>4242</v>
      </c>
      <c r="C268" s="0" t="s">
        <v>4243</v>
      </c>
      <c r="D268" s="0" t="s">
        <v>4242</v>
      </c>
      <c r="E268" s="0" t="s">
        <v>4243</v>
      </c>
      <c r="F268" s="0" t="s">
        <v>3527</v>
      </c>
      <c r="G268" s="0" t="s">
        <v>4255</v>
      </c>
    </row>
    <row customHeight="1" ht="11.25">
      <c r="A269" s="527" t="s">
        <v>14</v>
      </c>
      <c r="B269" s="0" t="s">
        <v>4242</v>
      </c>
      <c r="C269" s="0" t="s">
        <v>4243</v>
      </c>
      <c r="D269" s="0" t="s">
        <v>4256</v>
      </c>
      <c r="E269" s="0" t="s">
        <v>4257</v>
      </c>
      <c r="F269" s="0" t="s">
        <v>3530</v>
      </c>
      <c r="G269" s="0" t="s">
        <v>4258</v>
      </c>
    </row>
    <row customHeight="1" ht="11.25">
      <c r="A270" s="527" t="s">
        <v>14</v>
      </c>
      <c r="B270" s="0" t="s">
        <v>4242</v>
      </c>
      <c r="C270" s="0" t="s">
        <v>4243</v>
      </c>
      <c r="D270" s="0" t="s">
        <v>4259</v>
      </c>
      <c r="E270" s="0" t="s">
        <v>4260</v>
      </c>
      <c r="F270" s="0" t="s">
        <v>3530</v>
      </c>
      <c r="G270" s="0" t="s">
        <v>4261</v>
      </c>
    </row>
    <row customHeight="1" ht="11.25">
      <c r="A271" s="527" t="s">
        <v>14</v>
      </c>
      <c r="B271" s="0" t="s">
        <v>4242</v>
      </c>
      <c r="C271" s="0" t="s">
        <v>4243</v>
      </c>
      <c r="D271" s="0" t="s">
        <v>4262</v>
      </c>
      <c r="E271" s="0" t="s">
        <v>4263</v>
      </c>
      <c r="F271" s="0" t="s">
        <v>3530</v>
      </c>
      <c r="G271" s="0" t="s">
        <v>4264</v>
      </c>
    </row>
    <row customHeight="1" ht="11.25">
      <c r="A272" s="527" t="s">
        <v>14</v>
      </c>
      <c r="B272" s="0" t="s">
        <v>4265</v>
      </c>
      <c r="C272" s="0" t="s">
        <v>4266</v>
      </c>
      <c r="D272" s="0" t="s">
        <v>4267</v>
      </c>
      <c r="E272" s="0" t="s">
        <v>4268</v>
      </c>
      <c r="F272" s="0" t="s">
        <v>3530</v>
      </c>
      <c r="G272" s="0" t="s">
        <v>4269</v>
      </c>
    </row>
    <row customHeight="1" ht="11.25">
      <c r="A273" s="527" t="s">
        <v>14</v>
      </c>
      <c r="B273" s="0" t="s">
        <v>4265</v>
      </c>
      <c r="C273" s="0" t="s">
        <v>4266</v>
      </c>
      <c r="D273" s="0" t="s">
        <v>4270</v>
      </c>
      <c r="E273" s="0" t="s">
        <v>4271</v>
      </c>
      <c r="F273" s="0" t="s">
        <v>3530</v>
      </c>
      <c r="G273" s="0" t="s">
        <v>4272</v>
      </c>
    </row>
    <row customHeight="1" ht="11.25">
      <c r="A274" s="527" t="s">
        <v>14</v>
      </c>
      <c r="B274" s="0" t="s">
        <v>4265</v>
      </c>
      <c r="C274" s="0" t="s">
        <v>4266</v>
      </c>
      <c r="D274" s="0" t="s">
        <v>4273</v>
      </c>
      <c r="E274" s="0" t="s">
        <v>4274</v>
      </c>
      <c r="F274" s="0" t="s">
        <v>3530</v>
      </c>
      <c r="G274" s="0" t="s">
        <v>4275</v>
      </c>
    </row>
    <row customHeight="1" ht="11.25">
      <c r="A275" s="527" t="s">
        <v>14</v>
      </c>
      <c r="B275" s="0" t="s">
        <v>4265</v>
      </c>
      <c r="C275" s="0" t="s">
        <v>4266</v>
      </c>
      <c r="D275" s="0" t="s">
        <v>4276</v>
      </c>
      <c r="E275" s="0" t="s">
        <v>4277</v>
      </c>
      <c r="F275" s="0" t="s">
        <v>3530</v>
      </c>
      <c r="G275" s="0" t="s">
        <v>4278</v>
      </c>
    </row>
    <row customHeight="1" ht="11.25">
      <c r="A276" s="527" t="s">
        <v>14</v>
      </c>
      <c r="B276" s="0" t="s">
        <v>4265</v>
      </c>
      <c r="C276" s="0" t="s">
        <v>4266</v>
      </c>
      <c r="D276" s="0" t="s">
        <v>4279</v>
      </c>
      <c r="E276" s="0" t="s">
        <v>4280</v>
      </c>
      <c r="F276" s="0" t="s">
        <v>3530</v>
      </c>
      <c r="G276" s="0" t="s">
        <v>4281</v>
      </c>
    </row>
    <row customHeight="1" ht="11.25">
      <c r="A277" s="527" t="s">
        <v>14</v>
      </c>
      <c r="B277" s="0" t="s">
        <v>4265</v>
      </c>
      <c r="C277" s="0" t="s">
        <v>4266</v>
      </c>
      <c r="D277" s="0" t="s">
        <v>4282</v>
      </c>
      <c r="E277" s="0" t="s">
        <v>4283</v>
      </c>
      <c r="F277" s="0" t="s">
        <v>3530</v>
      </c>
      <c r="G277" s="0" t="s">
        <v>4284</v>
      </c>
    </row>
    <row customHeight="1" ht="11.25">
      <c r="A278" s="527" t="s">
        <v>14</v>
      </c>
      <c r="B278" s="0" t="s">
        <v>4265</v>
      </c>
      <c r="C278" s="0" t="s">
        <v>4266</v>
      </c>
      <c r="D278" s="0" t="s">
        <v>4265</v>
      </c>
      <c r="E278" s="0" t="s">
        <v>4266</v>
      </c>
      <c r="F278" s="0" t="s">
        <v>3527</v>
      </c>
      <c r="G278" s="0" t="s">
        <v>4285</v>
      </c>
    </row>
    <row customHeight="1" ht="11.25">
      <c r="A279" s="527" t="s">
        <v>14</v>
      </c>
      <c r="B279" s="0" t="s">
        <v>4265</v>
      </c>
      <c r="C279" s="0" t="s">
        <v>4266</v>
      </c>
      <c r="D279" s="0" t="s">
        <v>4023</v>
      </c>
      <c r="E279" s="0" t="s">
        <v>4286</v>
      </c>
      <c r="F279" s="0" t="s">
        <v>3530</v>
      </c>
      <c r="G279" s="0" t="s">
        <v>4287</v>
      </c>
    </row>
    <row customHeight="1" ht="11.25">
      <c r="A280" s="527" t="s">
        <v>14</v>
      </c>
      <c r="B280" s="0" t="s">
        <v>4265</v>
      </c>
      <c r="C280" s="0" t="s">
        <v>4266</v>
      </c>
      <c r="D280" s="0" t="s">
        <v>4288</v>
      </c>
      <c r="E280" s="0" t="s">
        <v>4289</v>
      </c>
      <c r="F280" s="0" t="s">
        <v>3530</v>
      </c>
      <c r="G280" s="0" t="s">
        <v>4290</v>
      </c>
    </row>
    <row customHeight="1" ht="11.25">
      <c r="A281" s="527" t="s">
        <v>14</v>
      </c>
      <c r="B281" s="0" t="s">
        <v>4265</v>
      </c>
      <c r="C281" s="0" t="s">
        <v>4266</v>
      </c>
      <c r="D281" s="0" t="s">
        <v>4291</v>
      </c>
      <c r="E281" s="0" t="s">
        <v>4292</v>
      </c>
      <c r="F281" s="0" t="s">
        <v>3530</v>
      </c>
      <c r="G281" s="0" t="s">
        <v>4293</v>
      </c>
    </row>
    <row customHeight="1" ht="11.25">
      <c r="A282" s="527" t="s">
        <v>14</v>
      </c>
      <c r="B282" s="0" t="s">
        <v>4265</v>
      </c>
      <c r="C282" s="0" t="s">
        <v>4266</v>
      </c>
      <c r="D282" s="0" t="s">
        <v>4294</v>
      </c>
      <c r="E282" s="0" t="s">
        <v>4295</v>
      </c>
      <c r="F282" s="0" t="s">
        <v>3530</v>
      </c>
      <c r="G282" s="0" t="s">
        <v>4296</v>
      </c>
    </row>
    <row customHeight="1" ht="11.25">
      <c r="A283" s="527" t="s">
        <v>14</v>
      </c>
      <c r="B283" s="0" t="s">
        <v>4265</v>
      </c>
      <c r="C283" s="0" t="s">
        <v>4266</v>
      </c>
      <c r="D283" s="0" t="s">
        <v>4297</v>
      </c>
      <c r="E283" s="0" t="s">
        <v>4298</v>
      </c>
      <c r="F283" s="0" t="s">
        <v>3530</v>
      </c>
      <c r="G283" s="0" t="s">
        <v>4299</v>
      </c>
    </row>
    <row customHeight="1" ht="11.25">
      <c r="A284" s="527" t="s">
        <v>14</v>
      </c>
      <c r="B284" s="0" t="s">
        <v>4265</v>
      </c>
      <c r="C284" s="0" t="s">
        <v>4266</v>
      </c>
      <c r="D284" s="0" t="s">
        <v>4300</v>
      </c>
      <c r="E284" s="0" t="s">
        <v>4301</v>
      </c>
      <c r="F284" s="0" t="s">
        <v>3530</v>
      </c>
      <c r="G284" s="0" t="s">
        <v>4302</v>
      </c>
    </row>
    <row customHeight="1" ht="11.25">
      <c r="A285" s="527" t="s">
        <v>14</v>
      </c>
      <c r="B285" s="0" t="s">
        <v>4265</v>
      </c>
      <c r="C285" s="0" t="s">
        <v>4266</v>
      </c>
      <c r="D285" s="0" t="s">
        <v>4303</v>
      </c>
      <c r="E285" s="0" t="s">
        <v>4304</v>
      </c>
      <c r="F285" s="0" t="s">
        <v>3530</v>
      </c>
      <c r="G285" s="0" t="s">
        <v>4305</v>
      </c>
    </row>
    <row customHeight="1" ht="11.25">
      <c r="A286" s="527" t="s">
        <v>14</v>
      </c>
      <c r="B286" s="0" t="s">
        <v>4265</v>
      </c>
      <c r="C286" s="0" t="s">
        <v>4266</v>
      </c>
      <c r="D286" s="0" t="s">
        <v>4306</v>
      </c>
      <c r="E286" s="0" t="s">
        <v>4307</v>
      </c>
      <c r="F286" s="0" t="s">
        <v>3530</v>
      </c>
      <c r="G286" s="0" t="s">
        <v>4308</v>
      </c>
    </row>
    <row customHeight="1" ht="11.25">
      <c r="A287" s="527" t="s">
        <v>14</v>
      </c>
      <c r="B287" s="0" t="s">
        <v>4265</v>
      </c>
      <c r="C287" s="0" t="s">
        <v>4266</v>
      </c>
      <c r="D287" s="0" t="s">
        <v>4309</v>
      </c>
      <c r="E287" s="0" t="s">
        <v>4310</v>
      </c>
      <c r="F287" s="0" t="s">
        <v>3530</v>
      </c>
      <c r="G287" s="0" t="s">
        <v>4311</v>
      </c>
    </row>
    <row customHeight="1" ht="11.25">
      <c r="A288" s="527" t="s">
        <v>14</v>
      </c>
      <c r="B288" s="0" t="s">
        <v>4265</v>
      </c>
      <c r="C288" s="0" t="s">
        <v>4266</v>
      </c>
      <c r="D288" s="0" t="s">
        <v>4312</v>
      </c>
      <c r="E288" s="0" t="s">
        <v>4313</v>
      </c>
      <c r="F288" s="0" t="s">
        <v>3530</v>
      </c>
      <c r="G288" s="0" t="s">
        <v>4314</v>
      </c>
    </row>
    <row customHeight="1" ht="11.25">
      <c r="A289" s="527" t="s">
        <v>14</v>
      </c>
      <c r="B289" s="0" t="s">
        <v>4265</v>
      </c>
      <c r="C289" s="0" t="s">
        <v>4266</v>
      </c>
      <c r="D289" s="0" t="s">
        <v>4315</v>
      </c>
      <c r="E289" s="0" t="s">
        <v>4316</v>
      </c>
      <c r="F289" s="0" t="s">
        <v>3530</v>
      </c>
      <c r="G289" s="0" t="s">
        <v>4317</v>
      </c>
    </row>
    <row customHeight="1" ht="11.25">
      <c r="A290" s="527" t="s">
        <v>14</v>
      </c>
      <c r="B290" s="0" t="s">
        <v>4265</v>
      </c>
      <c r="C290" s="0" t="s">
        <v>4266</v>
      </c>
      <c r="D290" s="0" t="s">
        <v>4318</v>
      </c>
      <c r="E290" s="0" t="s">
        <v>4319</v>
      </c>
      <c r="F290" s="0" t="s">
        <v>3530</v>
      </c>
      <c r="G290" s="0" t="s">
        <v>4320</v>
      </c>
    </row>
    <row customHeight="1" ht="11.25">
      <c r="A291" s="527" t="s">
        <v>14</v>
      </c>
      <c r="B291" s="0" t="s">
        <v>4321</v>
      </c>
      <c r="C291" s="0" t="s">
        <v>4322</v>
      </c>
      <c r="D291" s="0" t="s">
        <v>3528</v>
      </c>
      <c r="E291" s="0" t="s">
        <v>4323</v>
      </c>
      <c r="F291" s="0" t="s">
        <v>3530</v>
      </c>
      <c r="G291" s="0" t="s">
        <v>4324</v>
      </c>
    </row>
    <row customHeight="1" ht="11.25">
      <c r="A292" s="527" t="s">
        <v>14</v>
      </c>
      <c r="B292" s="0" t="s">
        <v>4321</v>
      </c>
      <c r="C292" s="0" t="s">
        <v>4322</v>
      </c>
      <c r="D292" s="0" t="s">
        <v>4122</v>
      </c>
      <c r="E292" s="0" t="s">
        <v>4325</v>
      </c>
      <c r="F292" s="0" t="s">
        <v>3530</v>
      </c>
      <c r="G292" s="0" t="s">
        <v>4326</v>
      </c>
    </row>
    <row customHeight="1" ht="11.25">
      <c r="A293" s="527" t="s">
        <v>14</v>
      </c>
      <c r="B293" s="0" t="s">
        <v>4321</v>
      </c>
      <c r="C293" s="0" t="s">
        <v>4322</v>
      </c>
      <c r="D293" s="0" t="s">
        <v>4327</v>
      </c>
      <c r="E293" s="0" t="s">
        <v>4328</v>
      </c>
      <c r="F293" s="0" t="s">
        <v>3530</v>
      </c>
      <c r="G293" s="0" t="s">
        <v>4329</v>
      </c>
    </row>
    <row customHeight="1" ht="11.25">
      <c r="A294" s="527" t="s">
        <v>14</v>
      </c>
      <c r="B294" s="0" t="s">
        <v>4321</v>
      </c>
      <c r="C294" s="0" t="s">
        <v>4322</v>
      </c>
      <c r="D294" s="0" t="s">
        <v>4330</v>
      </c>
      <c r="E294" s="0" t="s">
        <v>4331</v>
      </c>
      <c r="F294" s="0" t="s">
        <v>3530</v>
      </c>
      <c r="G294" s="0" t="s">
        <v>4332</v>
      </c>
    </row>
    <row customHeight="1" ht="11.25">
      <c r="A295" s="527" t="s">
        <v>14</v>
      </c>
      <c r="B295" s="0" t="s">
        <v>4321</v>
      </c>
      <c r="C295" s="0" t="s">
        <v>4322</v>
      </c>
      <c r="D295" s="0" t="s">
        <v>4333</v>
      </c>
      <c r="E295" s="0" t="s">
        <v>4334</v>
      </c>
      <c r="F295" s="0" t="s">
        <v>3530</v>
      </c>
      <c r="G295" s="0" t="s">
        <v>4335</v>
      </c>
    </row>
    <row customHeight="1" ht="11.25">
      <c r="A296" s="527" t="s">
        <v>14</v>
      </c>
      <c r="B296" s="0" t="s">
        <v>4321</v>
      </c>
      <c r="C296" s="0" t="s">
        <v>4322</v>
      </c>
      <c r="D296" s="0" t="s">
        <v>4321</v>
      </c>
      <c r="E296" s="0" t="s">
        <v>4322</v>
      </c>
      <c r="F296" s="0" t="s">
        <v>3527</v>
      </c>
      <c r="G296" s="0" t="s">
        <v>4336</v>
      </c>
    </row>
    <row customHeight="1" ht="11.25">
      <c r="A297" s="527" t="s">
        <v>14</v>
      </c>
      <c r="B297" s="0" t="s">
        <v>4321</v>
      </c>
      <c r="C297" s="0" t="s">
        <v>4322</v>
      </c>
      <c r="D297" s="0" t="s">
        <v>4337</v>
      </c>
      <c r="E297" s="0" t="s">
        <v>4338</v>
      </c>
      <c r="F297" s="0" t="s">
        <v>3530</v>
      </c>
      <c r="G297" s="0" t="s">
        <v>4339</v>
      </c>
    </row>
    <row customHeight="1" ht="11.25">
      <c r="A298" s="527" t="s">
        <v>14</v>
      </c>
      <c r="B298" s="0" t="s">
        <v>4321</v>
      </c>
      <c r="C298" s="0" t="s">
        <v>4322</v>
      </c>
      <c r="D298" s="0" t="s">
        <v>4340</v>
      </c>
      <c r="E298" s="0" t="s">
        <v>4341</v>
      </c>
      <c r="F298" s="0" t="s">
        <v>3530</v>
      </c>
      <c r="G298" s="0" t="s">
        <v>4342</v>
      </c>
    </row>
    <row customHeight="1" ht="11.25">
      <c r="A299" s="527" t="s">
        <v>14</v>
      </c>
      <c r="B299" s="0" t="s">
        <v>4343</v>
      </c>
      <c r="C299" s="0" t="s">
        <v>4344</v>
      </c>
      <c r="D299" s="0" t="s">
        <v>4122</v>
      </c>
      <c r="E299" s="0" t="s">
        <v>4345</v>
      </c>
      <c r="F299" s="0" t="s">
        <v>3530</v>
      </c>
      <c r="G299" s="0" t="s">
        <v>4346</v>
      </c>
    </row>
    <row customHeight="1" ht="11.25">
      <c r="A300" s="527" t="s">
        <v>14</v>
      </c>
      <c r="B300" s="0" t="s">
        <v>4343</v>
      </c>
      <c r="C300" s="0" t="s">
        <v>4344</v>
      </c>
      <c r="D300" s="0" t="s">
        <v>4347</v>
      </c>
      <c r="E300" s="0" t="s">
        <v>4348</v>
      </c>
      <c r="F300" s="0" t="s">
        <v>3530</v>
      </c>
      <c r="G300" s="0" t="s">
        <v>4349</v>
      </c>
    </row>
    <row customHeight="1" ht="11.25">
      <c r="A301" s="527" t="s">
        <v>14</v>
      </c>
      <c r="B301" s="0" t="s">
        <v>4343</v>
      </c>
      <c r="C301" s="0" t="s">
        <v>4344</v>
      </c>
      <c r="D301" s="0" t="s">
        <v>4350</v>
      </c>
      <c r="E301" s="0" t="s">
        <v>4351</v>
      </c>
      <c r="F301" s="0" t="s">
        <v>3530</v>
      </c>
      <c r="G301" s="0" t="s">
        <v>4352</v>
      </c>
    </row>
    <row customHeight="1" ht="11.25">
      <c r="A302" s="527" t="s">
        <v>14</v>
      </c>
      <c r="B302" s="0" t="s">
        <v>4343</v>
      </c>
      <c r="C302" s="0" t="s">
        <v>4344</v>
      </c>
      <c r="D302" s="0" t="s">
        <v>4353</v>
      </c>
      <c r="E302" s="0" t="s">
        <v>4354</v>
      </c>
      <c r="F302" s="0" t="s">
        <v>3948</v>
      </c>
      <c r="G302" s="0" t="s">
        <v>4355</v>
      </c>
    </row>
    <row customHeight="1" ht="11.25">
      <c r="A303" s="527" t="s">
        <v>14</v>
      </c>
      <c r="B303" s="0" t="s">
        <v>4343</v>
      </c>
      <c r="C303" s="0" t="s">
        <v>4344</v>
      </c>
      <c r="D303" s="0" t="s">
        <v>4356</v>
      </c>
      <c r="E303" s="0" t="s">
        <v>4357</v>
      </c>
      <c r="F303" s="0" t="s">
        <v>3530</v>
      </c>
      <c r="G303" s="0" t="s">
        <v>4358</v>
      </c>
    </row>
    <row customHeight="1" ht="11.25">
      <c r="A304" s="527" t="s">
        <v>14</v>
      </c>
      <c r="B304" s="0" t="s">
        <v>4343</v>
      </c>
      <c r="C304" s="0" t="s">
        <v>4344</v>
      </c>
      <c r="D304" s="0" t="s">
        <v>4359</v>
      </c>
      <c r="E304" s="0" t="s">
        <v>4360</v>
      </c>
      <c r="F304" s="0" t="s">
        <v>3530</v>
      </c>
      <c r="G304" s="0" t="s">
        <v>4361</v>
      </c>
    </row>
    <row customHeight="1" ht="11.25">
      <c r="A305" s="527" t="s">
        <v>14</v>
      </c>
      <c r="B305" s="0" t="s">
        <v>4343</v>
      </c>
      <c r="C305" s="0" t="s">
        <v>4344</v>
      </c>
      <c r="D305" s="0" t="s">
        <v>3642</v>
      </c>
      <c r="E305" s="0" t="s">
        <v>4362</v>
      </c>
      <c r="F305" s="0" t="s">
        <v>3530</v>
      </c>
      <c r="G305" s="0" t="s">
        <v>4363</v>
      </c>
    </row>
    <row customHeight="1" ht="11.25">
      <c r="A306" s="527" t="s">
        <v>14</v>
      </c>
      <c r="B306" s="0" t="s">
        <v>4343</v>
      </c>
      <c r="C306" s="0" t="s">
        <v>4344</v>
      </c>
      <c r="D306" s="0" t="s">
        <v>4364</v>
      </c>
      <c r="E306" s="0" t="s">
        <v>4365</v>
      </c>
      <c r="F306" s="0" t="s">
        <v>3530</v>
      </c>
      <c r="G306" s="0" t="s">
        <v>4366</v>
      </c>
    </row>
    <row customHeight="1" ht="11.25">
      <c r="A307" s="527" t="s">
        <v>14</v>
      </c>
      <c r="B307" s="0" t="s">
        <v>4343</v>
      </c>
      <c r="C307" s="0" t="s">
        <v>4344</v>
      </c>
      <c r="D307" s="0" t="s">
        <v>4367</v>
      </c>
      <c r="E307" s="0" t="s">
        <v>4368</v>
      </c>
      <c r="F307" s="0" t="s">
        <v>3530</v>
      </c>
      <c r="G307" s="0" t="s">
        <v>4369</v>
      </c>
    </row>
    <row customHeight="1" ht="11.25">
      <c r="A308" s="527" t="s">
        <v>14</v>
      </c>
      <c r="B308" s="0" t="s">
        <v>4343</v>
      </c>
      <c r="C308" s="0" t="s">
        <v>4344</v>
      </c>
      <c r="D308" s="0" t="s">
        <v>4370</v>
      </c>
      <c r="E308" s="0" t="s">
        <v>4371</v>
      </c>
      <c r="F308" s="0" t="s">
        <v>3530</v>
      </c>
      <c r="G308" s="0" t="s">
        <v>4372</v>
      </c>
    </row>
    <row customHeight="1" ht="11.25">
      <c r="A309" s="527" t="s">
        <v>14</v>
      </c>
      <c r="B309" s="0" t="s">
        <v>4343</v>
      </c>
      <c r="C309" s="0" t="s">
        <v>4344</v>
      </c>
      <c r="D309" s="0" t="s">
        <v>4373</v>
      </c>
      <c r="E309" s="0" t="s">
        <v>4374</v>
      </c>
      <c r="F309" s="0" t="s">
        <v>3530</v>
      </c>
      <c r="G309" s="0" t="s">
        <v>4375</v>
      </c>
    </row>
    <row customHeight="1" ht="11.25">
      <c r="A310" s="527" t="s">
        <v>14</v>
      </c>
      <c r="B310" s="0" t="s">
        <v>4343</v>
      </c>
      <c r="C310" s="0" t="s">
        <v>4344</v>
      </c>
      <c r="D310" s="0" t="s">
        <v>4343</v>
      </c>
      <c r="E310" s="0" t="s">
        <v>4344</v>
      </c>
      <c r="F310" s="0" t="s">
        <v>3527</v>
      </c>
      <c r="G310" s="0" t="s">
        <v>4376</v>
      </c>
    </row>
    <row customHeight="1" ht="11.25">
      <c r="A311" s="527" t="s">
        <v>14</v>
      </c>
      <c r="B311" s="0" t="s">
        <v>4343</v>
      </c>
      <c r="C311" s="0" t="s">
        <v>4344</v>
      </c>
      <c r="D311" s="0" t="s">
        <v>4377</v>
      </c>
      <c r="E311" s="0" t="s">
        <v>4378</v>
      </c>
      <c r="F311" s="0" t="s">
        <v>3530</v>
      </c>
      <c r="G311" s="0" t="s">
        <v>4379</v>
      </c>
    </row>
    <row customHeight="1" ht="11.25">
      <c r="A312" s="527" t="s">
        <v>14</v>
      </c>
      <c r="B312" s="0" t="s">
        <v>4380</v>
      </c>
      <c r="C312" s="0" t="s">
        <v>4381</v>
      </c>
      <c r="D312" s="0" t="s">
        <v>4382</v>
      </c>
      <c r="E312" s="0" t="s">
        <v>4383</v>
      </c>
      <c r="F312" s="0" t="s">
        <v>3530</v>
      </c>
      <c r="G312" s="0" t="s">
        <v>4384</v>
      </c>
    </row>
    <row customHeight="1" ht="11.25">
      <c r="A313" s="527" t="s">
        <v>14</v>
      </c>
      <c r="B313" s="0" t="s">
        <v>4380</v>
      </c>
      <c r="C313" s="0" t="s">
        <v>4381</v>
      </c>
      <c r="D313" s="0" t="s">
        <v>3854</v>
      </c>
      <c r="E313" s="0" t="s">
        <v>4385</v>
      </c>
      <c r="F313" s="0" t="s">
        <v>3530</v>
      </c>
      <c r="G313" s="0" t="s">
        <v>4386</v>
      </c>
    </row>
    <row customHeight="1" ht="11.25">
      <c r="A314" s="527" t="s">
        <v>14</v>
      </c>
      <c r="B314" s="0" t="s">
        <v>4380</v>
      </c>
      <c r="C314" s="0" t="s">
        <v>4381</v>
      </c>
      <c r="D314" s="0" t="s">
        <v>4387</v>
      </c>
      <c r="E314" s="0" t="s">
        <v>4388</v>
      </c>
      <c r="F314" s="0" t="s">
        <v>3530</v>
      </c>
      <c r="G314" s="0" t="s">
        <v>4389</v>
      </c>
    </row>
    <row customHeight="1" ht="11.25">
      <c r="A315" s="527" t="s">
        <v>14</v>
      </c>
      <c r="B315" s="0" t="s">
        <v>4380</v>
      </c>
      <c r="C315" s="0" t="s">
        <v>4381</v>
      </c>
      <c r="D315" s="0" t="s">
        <v>3890</v>
      </c>
      <c r="E315" s="0" t="s">
        <v>4390</v>
      </c>
      <c r="F315" s="0" t="s">
        <v>3530</v>
      </c>
      <c r="G315" s="0" t="s">
        <v>4391</v>
      </c>
    </row>
    <row customHeight="1" ht="11.25">
      <c r="A316" s="527" t="s">
        <v>14</v>
      </c>
      <c r="B316" s="0" t="s">
        <v>4380</v>
      </c>
      <c r="C316" s="0" t="s">
        <v>4381</v>
      </c>
      <c r="D316" s="0" t="s">
        <v>3864</v>
      </c>
      <c r="E316" s="0" t="s">
        <v>4392</v>
      </c>
      <c r="F316" s="0" t="s">
        <v>3530</v>
      </c>
      <c r="G316" s="0" t="s">
        <v>4393</v>
      </c>
    </row>
    <row customHeight="1" ht="11.25">
      <c r="A317" s="527" t="s">
        <v>14</v>
      </c>
      <c r="B317" s="0" t="s">
        <v>4380</v>
      </c>
      <c r="C317" s="0" t="s">
        <v>4381</v>
      </c>
      <c r="D317" s="0" t="s">
        <v>4394</v>
      </c>
      <c r="E317" s="0" t="s">
        <v>4395</v>
      </c>
      <c r="F317" s="0" t="s">
        <v>3530</v>
      </c>
      <c r="G317" s="0" t="s">
        <v>4396</v>
      </c>
    </row>
    <row customHeight="1" ht="11.25">
      <c r="A318" s="527" t="s">
        <v>14</v>
      </c>
      <c r="B318" s="0" t="s">
        <v>4380</v>
      </c>
      <c r="C318" s="0" t="s">
        <v>4381</v>
      </c>
      <c r="D318" s="0" t="s">
        <v>4397</v>
      </c>
      <c r="E318" s="0" t="s">
        <v>4398</v>
      </c>
      <c r="F318" s="0" t="s">
        <v>3530</v>
      </c>
      <c r="G318" s="0" t="s">
        <v>4399</v>
      </c>
    </row>
    <row customHeight="1" ht="11.25">
      <c r="A319" s="527" t="s">
        <v>14</v>
      </c>
      <c r="B319" s="0" t="s">
        <v>4380</v>
      </c>
      <c r="C319" s="0" t="s">
        <v>4381</v>
      </c>
      <c r="D319" s="0" t="s">
        <v>4400</v>
      </c>
      <c r="E319" s="0" t="s">
        <v>4401</v>
      </c>
      <c r="F319" s="0" t="s">
        <v>3530</v>
      </c>
      <c r="G319" s="0" t="s">
        <v>4402</v>
      </c>
    </row>
    <row customHeight="1" ht="11.25">
      <c r="A320" s="527" t="s">
        <v>14</v>
      </c>
      <c r="B320" s="0" t="s">
        <v>4380</v>
      </c>
      <c r="C320" s="0" t="s">
        <v>4381</v>
      </c>
      <c r="D320" s="0" t="s">
        <v>4380</v>
      </c>
      <c r="E320" s="0" t="s">
        <v>4381</v>
      </c>
      <c r="F320" s="0" t="s">
        <v>3527</v>
      </c>
      <c r="G320" s="0" t="s">
        <v>4403</v>
      </c>
    </row>
    <row customHeight="1" ht="11.25">
      <c r="A321" s="527" t="s">
        <v>14</v>
      </c>
      <c r="B321" s="0" t="s">
        <v>4380</v>
      </c>
      <c r="C321" s="0" t="s">
        <v>4381</v>
      </c>
      <c r="D321" s="0" t="s">
        <v>4203</v>
      </c>
      <c r="E321" s="0" t="s">
        <v>4404</v>
      </c>
      <c r="F321" s="0" t="s">
        <v>3530</v>
      </c>
      <c r="G321" s="0" t="s">
        <v>4405</v>
      </c>
    </row>
    <row customHeight="1" ht="11.25">
      <c r="A322" s="527" t="s">
        <v>14</v>
      </c>
      <c r="B322" s="0" t="s">
        <v>4380</v>
      </c>
      <c r="C322" s="0" t="s">
        <v>4381</v>
      </c>
      <c r="D322" s="0" t="s">
        <v>4406</v>
      </c>
      <c r="E322" s="0" t="s">
        <v>4407</v>
      </c>
      <c r="F322" s="0" t="s">
        <v>3530</v>
      </c>
      <c r="G322" s="0" t="s">
        <v>4408</v>
      </c>
    </row>
    <row customHeight="1" ht="11.25">
      <c r="A323" s="527" t="s">
        <v>14</v>
      </c>
      <c r="B323" s="0" t="s">
        <v>4380</v>
      </c>
      <c r="C323" s="0" t="s">
        <v>4381</v>
      </c>
      <c r="D323" s="0" t="s">
        <v>4063</v>
      </c>
      <c r="E323" s="0" t="s">
        <v>4409</v>
      </c>
      <c r="F323" s="0" t="s">
        <v>3530</v>
      </c>
      <c r="G323" s="0" t="s">
        <v>4410</v>
      </c>
    </row>
    <row customHeight="1" ht="11.25">
      <c r="A324" s="527" t="s">
        <v>14</v>
      </c>
      <c r="B324" s="0" t="s">
        <v>4411</v>
      </c>
      <c r="C324" s="0" t="s">
        <v>4412</v>
      </c>
      <c r="D324" s="0" t="s">
        <v>4413</v>
      </c>
      <c r="E324" s="0" t="s">
        <v>4414</v>
      </c>
      <c r="F324" s="0" t="s">
        <v>3530</v>
      </c>
      <c r="G324" s="0" t="s">
        <v>4415</v>
      </c>
    </row>
    <row customHeight="1" ht="11.25">
      <c r="A325" s="527" t="s">
        <v>14</v>
      </c>
      <c r="B325" s="0" t="s">
        <v>4411</v>
      </c>
      <c r="C325" s="0" t="s">
        <v>4412</v>
      </c>
      <c r="D325" s="0" t="s">
        <v>3767</v>
      </c>
      <c r="E325" s="0" t="s">
        <v>4416</v>
      </c>
      <c r="F325" s="0" t="s">
        <v>3530</v>
      </c>
      <c r="G325" s="0" t="s">
        <v>4417</v>
      </c>
    </row>
    <row customHeight="1" ht="11.25">
      <c r="A326" s="527" t="s">
        <v>14</v>
      </c>
      <c r="B326" s="0" t="s">
        <v>4411</v>
      </c>
      <c r="C326" s="0" t="s">
        <v>4412</v>
      </c>
      <c r="D326" s="0" t="s">
        <v>4418</v>
      </c>
      <c r="E326" s="0" t="s">
        <v>4419</v>
      </c>
      <c r="F326" s="0" t="s">
        <v>3530</v>
      </c>
      <c r="G326" s="0" t="s">
        <v>4420</v>
      </c>
    </row>
    <row customHeight="1" ht="11.25">
      <c r="A327" s="527" t="s">
        <v>14</v>
      </c>
      <c r="B327" s="0" t="s">
        <v>4411</v>
      </c>
      <c r="C327" s="0" t="s">
        <v>4412</v>
      </c>
      <c r="D327" s="0" t="s">
        <v>4421</v>
      </c>
      <c r="E327" s="0" t="s">
        <v>4422</v>
      </c>
      <c r="F327" s="0" t="s">
        <v>3530</v>
      </c>
      <c r="G327" s="0" t="s">
        <v>4423</v>
      </c>
    </row>
    <row customHeight="1" ht="11.25">
      <c r="A328" s="527" t="s">
        <v>14</v>
      </c>
      <c r="B328" s="0" t="s">
        <v>4411</v>
      </c>
      <c r="C328" s="0" t="s">
        <v>4412</v>
      </c>
      <c r="D328" s="0" t="s">
        <v>4424</v>
      </c>
      <c r="E328" s="0" t="s">
        <v>4425</v>
      </c>
      <c r="F328" s="0" t="s">
        <v>3530</v>
      </c>
      <c r="G328" s="0" t="s">
        <v>4426</v>
      </c>
    </row>
    <row customHeight="1" ht="11.25">
      <c r="A329" s="527" t="s">
        <v>14</v>
      </c>
      <c r="B329" s="0" t="s">
        <v>4411</v>
      </c>
      <c r="C329" s="0" t="s">
        <v>4412</v>
      </c>
      <c r="D329" s="0" t="s">
        <v>4411</v>
      </c>
      <c r="E329" s="0" t="s">
        <v>4412</v>
      </c>
      <c r="F329" s="0" t="s">
        <v>3527</v>
      </c>
      <c r="G329" s="0" t="s">
        <v>4427</v>
      </c>
    </row>
    <row customHeight="1" ht="11.25">
      <c r="A330" s="527" t="s">
        <v>14</v>
      </c>
      <c r="B330" s="0" t="s">
        <v>4411</v>
      </c>
      <c r="C330" s="0" t="s">
        <v>4412</v>
      </c>
      <c r="D330" s="0" t="s">
        <v>4428</v>
      </c>
      <c r="E330" s="0" t="s">
        <v>4429</v>
      </c>
      <c r="F330" s="0" t="s">
        <v>3530</v>
      </c>
      <c r="G330" s="0" t="s">
        <v>4430</v>
      </c>
    </row>
    <row customHeight="1" ht="11.25">
      <c r="A331" s="527" t="s">
        <v>14</v>
      </c>
      <c r="B331" s="0" t="s">
        <v>4411</v>
      </c>
      <c r="C331" s="0" t="s">
        <v>4412</v>
      </c>
      <c r="D331" s="0" t="s">
        <v>4431</v>
      </c>
      <c r="E331" s="0" t="s">
        <v>4432</v>
      </c>
      <c r="F331" s="0" t="s">
        <v>3530</v>
      </c>
      <c r="G331" s="0" t="s">
        <v>4433</v>
      </c>
    </row>
    <row customHeight="1" ht="11.25">
      <c r="A332" s="527" t="s">
        <v>14</v>
      </c>
      <c r="B332" s="0" t="s">
        <v>4411</v>
      </c>
      <c r="C332" s="0" t="s">
        <v>4412</v>
      </c>
      <c r="D332" s="0" t="s">
        <v>4434</v>
      </c>
      <c r="E332" s="0" t="s">
        <v>4435</v>
      </c>
      <c r="F332" s="0" t="s">
        <v>3530</v>
      </c>
      <c r="G332" s="0" t="s">
        <v>4436</v>
      </c>
    </row>
    <row customHeight="1" ht="11.25">
      <c r="A333" s="527" t="s">
        <v>14</v>
      </c>
      <c r="B333" s="0" t="s">
        <v>4411</v>
      </c>
      <c r="C333" s="0" t="s">
        <v>4412</v>
      </c>
      <c r="D333" s="0" t="s">
        <v>4437</v>
      </c>
      <c r="E333" s="0" t="s">
        <v>4438</v>
      </c>
      <c r="F333" s="0" t="s">
        <v>3530</v>
      </c>
      <c r="G333" s="0" t="s">
        <v>4439</v>
      </c>
    </row>
    <row customHeight="1" ht="11.25">
      <c r="A334" s="527" t="s">
        <v>14</v>
      </c>
      <c r="B334" s="0" t="s">
        <v>4440</v>
      </c>
      <c r="C334" s="0" t="s">
        <v>4441</v>
      </c>
      <c r="D334" s="0" t="s">
        <v>4442</v>
      </c>
      <c r="E334" s="0" t="s">
        <v>4443</v>
      </c>
      <c r="F334" s="0" t="s">
        <v>3530</v>
      </c>
      <c r="G334" s="0" t="s">
        <v>4444</v>
      </c>
    </row>
    <row customHeight="1" ht="11.25">
      <c r="A335" s="527" t="s">
        <v>14</v>
      </c>
      <c r="B335" s="0" t="s">
        <v>4440</v>
      </c>
      <c r="C335" s="0" t="s">
        <v>4441</v>
      </c>
      <c r="D335" s="0" t="s">
        <v>4445</v>
      </c>
      <c r="E335" s="0" t="s">
        <v>4446</v>
      </c>
      <c r="F335" s="0" t="s">
        <v>3530</v>
      </c>
      <c r="G335" s="0" t="s">
        <v>4447</v>
      </c>
    </row>
    <row customHeight="1" ht="11.25">
      <c r="A336" s="527" t="s">
        <v>14</v>
      </c>
      <c r="B336" s="0" t="s">
        <v>4440</v>
      </c>
      <c r="C336" s="0" t="s">
        <v>4441</v>
      </c>
      <c r="D336" s="0" t="s">
        <v>4448</v>
      </c>
      <c r="E336" s="0" t="s">
        <v>4449</v>
      </c>
      <c r="F336" s="0" t="s">
        <v>3530</v>
      </c>
      <c r="G336" s="0" t="s">
        <v>4450</v>
      </c>
    </row>
    <row customHeight="1" ht="11.25">
      <c r="A337" s="527" t="s">
        <v>14</v>
      </c>
      <c r="B337" s="0" t="s">
        <v>4440</v>
      </c>
      <c r="C337" s="0" t="s">
        <v>4441</v>
      </c>
      <c r="D337" s="0" t="s">
        <v>4451</v>
      </c>
      <c r="E337" s="0" t="s">
        <v>4452</v>
      </c>
      <c r="F337" s="0" t="s">
        <v>3530</v>
      </c>
      <c r="G337" s="0" t="s">
        <v>4453</v>
      </c>
    </row>
    <row customHeight="1" ht="11.25">
      <c r="A338" s="527" t="s">
        <v>14</v>
      </c>
      <c r="B338" s="0" t="s">
        <v>4440</v>
      </c>
      <c r="C338" s="0" t="s">
        <v>4441</v>
      </c>
      <c r="D338" s="0" t="s">
        <v>4023</v>
      </c>
      <c r="E338" s="0" t="s">
        <v>4454</v>
      </c>
      <c r="F338" s="0" t="s">
        <v>3530</v>
      </c>
      <c r="G338" s="0" t="s">
        <v>4455</v>
      </c>
    </row>
    <row customHeight="1" ht="11.25">
      <c r="A339" s="527" t="s">
        <v>14</v>
      </c>
      <c r="B339" s="0" t="s">
        <v>4440</v>
      </c>
      <c r="C339" s="0" t="s">
        <v>4441</v>
      </c>
      <c r="D339" s="0" t="s">
        <v>4456</v>
      </c>
      <c r="E339" s="0" t="s">
        <v>4457</v>
      </c>
      <c r="F339" s="0" t="s">
        <v>3530</v>
      </c>
      <c r="G339" s="0" t="s">
        <v>4458</v>
      </c>
    </row>
    <row customHeight="1" ht="11.25">
      <c r="A340" s="527" t="s">
        <v>14</v>
      </c>
      <c r="B340" s="0" t="s">
        <v>4440</v>
      </c>
      <c r="C340" s="0" t="s">
        <v>4441</v>
      </c>
      <c r="D340" s="0" t="s">
        <v>4459</v>
      </c>
      <c r="E340" s="0" t="s">
        <v>4460</v>
      </c>
      <c r="F340" s="0" t="s">
        <v>3530</v>
      </c>
      <c r="G340" s="0" t="s">
        <v>4461</v>
      </c>
    </row>
    <row customHeight="1" ht="11.25">
      <c r="A341" s="527" t="s">
        <v>14</v>
      </c>
      <c r="B341" s="0" t="s">
        <v>4440</v>
      </c>
      <c r="C341" s="0" t="s">
        <v>4441</v>
      </c>
      <c r="D341" s="0" t="s">
        <v>4440</v>
      </c>
      <c r="E341" s="0" t="s">
        <v>4441</v>
      </c>
      <c r="F341" s="0" t="s">
        <v>3527</v>
      </c>
      <c r="G341" s="0" t="s">
        <v>4462</v>
      </c>
    </row>
    <row customHeight="1" ht="11.25">
      <c r="A342" s="527" t="s">
        <v>14</v>
      </c>
      <c r="B342" s="0" t="s">
        <v>4440</v>
      </c>
      <c r="C342" s="0" t="s">
        <v>4441</v>
      </c>
      <c r="D342" s="0" t="s">
        <v>4463</v>
      </c>
      <c r="E342" s="0" t="s">
        <v>4464</v>
      </c>
      <c r="F342" s="0" t="s">
        <v>3569</v>
      </c>
      <c r="G342" s="0" t="s">
        <v>4465</v>
      </c>
    </row>
    <row customHeight="1" ht="11.25">
      <c r="A343" s="527" t="s">
        <v>14</v>
      </c>
      <c r="B343" s="0" t="s">
        <v>4440</v>
      </c>
      <c r="C343" s="0" t="s">
        <v>4441</v>
      </c>
      <c r="D343" s="0" t="s">
        <v>4466</v>
      </c>
      <c r="E343" s="0" t="s">
        <v>4467</v>
      </c>
      <c r="F343" s="0" t="s">
        <v>3530</v>
      </c>
      <c r="G343" s="0" t="s">
        <v>4468</v>
      </c>
    </row>
    <row customHeight="1" ht="11.25">
      <c r="A344" s="527" t="s">
        <v>14</v>
      </c>
      <c r="B344" s="0" t="s">
        <v>4440</v>
      </c>
      <c r="C344" s="0" t="s">
        <v>4441</v>
      </c>
      <c r="D344" s="0" t="s">
        <v>4469</v>
      </c>
      <c r="E344" s="0" t="s">
        <v>4470</v>
      </c>
      <c r="F344" s="0" t="s">
        <v>3530</v>
      </c>
      <c r="G344" s="0" t="s">
        <v>4471</v>
      </c>
    </row>
    <row customHeight="1" ht="11.25">
      <c r="A345" s="527" t="s">
        <v>14</v>
      </c>
      <c r="B345" s="0" t="s">
        <v>4472</v>
      </c>
      <c r="C345" s="0" t="s">
        <v>4473</v>
      </c>
      <c r="D345" s="0" t="s">
        <v>4474</v>
      </c>
      <c r="E345" s="0" t="s">
        <v>4475</v>
      </c>
      <c r="F345" s="0" t="s">
        <v>3530</v>
      </c>
      <c r="G345" s="0" t="s">
        <v>4476</v>
      </c>
    </row>
    <row customHeight="1" ht="11.25">
      <c r="A346" s="527" t="s">
        <v>14</v>
      </c>
      <c r="B346" s="0" t="s">
        <v>4472</v>
      </c>
      <c r="C346" s="0" t="s">
        <v>4473</v>
      </c>
      <c r="D346" s="0" t="s">
        <v>4477</v>
      </c>
      <c r="E346" s="0" t="s">
        <v>4478</v>
      </c>
      <c r="F346" s="0" t="s">
        <v>3530</v>
      </c>
      <c r="G346" s="0" t="s">
        <v>4479</v>
      </c>
    </row>
    <row customHeight="1" ht="11.25">
      <c r="A347" s="527" t="s">
        <v>14</v>
      </c>
      <c r="B347" s="0" t="s">
        <v>4472</v>
      </c>
      <c r="C347" s="0" t="s">
        <v>4473</v>
      </c>
      <c r="D347" s="0" t="s">
        <v>3918</v>
      </c>
      <c r="E347" s="0" t="s">
        <v>4480</v>
      </c>
      <c r="F347" s="0" t="s">
        <v>3530</v>
      </c>
      <c r="G347" s="0" t="s">
        <v>4481</v>
      </c>
    </row>
    <row customHeight="1" ht="11.25">
      <c r="A348" s="527" t="s">
        <v>14</v>
      </c>
      <c r="B348" s="0" t="s">
        <v>4472</v>
      </c>
      <c r="C348" s="0" t="s">
        <v>4473</v>
      </c>
      <c r="D348" s="0" t="s">
        <v>3993</v>
      </c>
      <c r="E348" s="0" t="s">
        <v>4482</v>
      </c>
      <c r="F348" s="0" t="s">
        <v>3530</v>
      </c>
      <c r="G348" s="0" t="s">
        <v>4483</v>
      </c>
    </row>
    <row customHeight="1" ht="11.25">
      <c r="A349" s="527" t="s">
        <v>14</v>
      </c>
      <c r="B349" s="0" t="s">
        <v>4472</v>
      </c>
      <c r="C349" s="0" t="s">
        <v>4473</v>
      </c>
      <c r="D349" s="0" t="s">
        <v>4484</v>
      </c>
      <c r="E349" s="0" t="s">
        <v>4485</v>
      </c>
      <c r="F349" s="0" t="s">
        <v>3530</v>
      </c>
      <c r="G349" s="0" t="s">
        <v>4486</v>
      </c>
    </row>
    <row customHeight="1" ht="11.25">
      <c r="A350" s="527" t="s">
        <v>14</v>
      </c>
      <c r="B350" s="0" t="s">
        <v>4472</v>
      </c>
      <c r="C350" s="0" t="s">
        <v>4473</v>
      </c>
      <c r="D350" s="0" t="s">
        <v>4487</v>
      </c>
      <c r="E350" s="0" t="s">
        <v>4488</v>
      </c>
      <c r="F350" s="0" t="s">
        <v>3530</v>
      </c>
      <c r="G350" s="0" t="s">
        <v>4489</v>
      </c>
    </row>
    <row customHeight="1" ht="11.25">
      <c r="A351" s="527" t="s">
        <v>14</v>
      </c>
      <c r="B351" s="0" t="s">
        <v>4472</v>
      </c>
      <c r="C351" s="0" t="s">
        <v>4473</v>
      </c>
      <c r="D351" s="0" t="s">
        <v>3996</v>
      </c>
      <c r="E351" s="0" t="s">
        <v>4490</v>
      </c>
      <c r="F351" s="0" t="s">
        <v>3530</v>
      </c>
      <c r="G351" s="0" t="s">
        <v>4491</v>
      </c>
    </row>
    <row customHeight="1" ht="11.25">
      <c r="A352" s="527" t="s">
        <v>14</v>
      </c>
      <c r="B352" s="0" t="s">
        <v>4472</v>
      </c>
      <c r="C352" s="0" t="s">
        <v>4473</v>
      </c>
      <c r="D352" s="0" t="s">
        <v>4492</v>
      </c>
      <c r="E352" s="0" t="s">
        <v>4493</v>
      </c>
      <c r="F352" s="0" t="s">
        <v>3530</v>
      </c>
      <c r="G352" s="0" t="s">
        <v>4494</v>
      </c>
    </row>
    <row customHeight="1" ht="11.25">
      <c r="A353" s="527" t="s">
        <v>14</v>
      </c>
      <c r="B353" s="0" t="s">
        <v>4472</v>
      </c>
      <c r="C353" s="0" t="s">
        <v>4473</v>
      </c>
      <c r="D353" s="0" t="s">
        <v>4495</v>
      </c>
      <c r="E353" s="0" t="s">
        <v>4496</v>
      </c>
      <c r="F353" s="0" t="s">
        <v>3530</v>
      </c>
      <c r="G353" s="0" t="s">
        <v>4497</v>
      </c>
    </row>
    <row customHeight="1" ht="11.25">
      <c r="A354" s="527" t="s">
        <v>14</v>
      </c>
      <c r="B354" s="0" t="s">
        <v>4472</v>
      </c>
      <c r="C354" s="0" t="s">
        <v>4473</v>
      </c>
      <c r="D354" s="0" t="s">
        <v>4472</v>
      </c>
      <c r="E354" s="0" t="s">
        <v>4473</v>
      </c>
      <c r="F354" s="0" t="s">
        <v>3527</v>
      </c>
      <c r="G354" s="0" t="s">
        <v>4498</v>
      </c>
    </row>
    <row customHeight="1" ht="11.25">
      <c r="A355" s="527" t="s">
        <v>14</v>
      </c>
      <c r="B355" s="0" t="s">
        <v>4472</v>
      </c>
      <c r="C355" s="0" t="s">
        <v>4473</v>
      </c>
      <c r="D355" s="0" t="s">
        <v>4499</v>
      </c>
      <c r="E355" s="0" t="s">
        <v>4500</v>
      </c>
      <c r="F355" s="0" t="s">
        <v>3530</v>
      </c>
      <c r="G355" s="0" t="s">
        <v>4501</v>
      </c>
    </row>
    <row customHeight="1" ht="11.25">
      <c r="A356" s="527" t="s">
        <v>14</v>
      </c>
      <c r="B356" s="0" t="s">
        <v>4502</v>
      </c>
      <c r="C356" s="0" t="s">
        <v>4503</v>
      </c>
      <c r="D356" s="0" t="s">
        <v>4504</v>
      </c>
      <c r="E356" s="0" t="s">
        <v>4505</v>
      </c>
      <c r="F356" s="0" t="s">
        <v>3530</v>
      </c>
      <c r="G356" s="0" t="s">
        <v>4506</v>
      </c>
    </row>
    <row customHeight="1" ht="11.25">
      <c r="A357" s="527" t="s">
        <v>14</v>
      </c>
      <c r="B357" s="0" t="s">
        <v>4502</v>
      </c>
      <c r="C357" s="0" t="s">
        <v>4503</v>
      </c>
      <c r="D357" s="0" t="s">
        <v>4507</v>
      </c>
      <c r="E357" s="0" t="s">
        <v>4508</v>
      </c>
      <c r="F357" s="0" t="s">
        <v>3530</v>
      </c>
      <c r="G357" s="0" t="s">
        <v>4509</v>
      </c>
    </row>
    <row customHeight="1" ht="11.25">
      <c r="A358" s="527" t="s">
        <v>14</v>
      </c>
      <c r="B358" s="0" t="s">
        <v>4502</v>
      </c>
      <c r="C358" s="0" t="s">
        <v>4503</v>
      </c>
      <c r="D358" s="0" t="s">
        <v>4510</v>
      </c>
      <c r="E358" s="0" t="s">
        <v>4511</v>
      </c>
      <c r="F358" s="0" t="s">
        <v>3530</v>
      </c>
      <c r="G358" s="0" t="s">
        <v>4512</v>
      </c>
    </row>
    <row customHeight="1" ht="11.25">
      <c r="A359" s="527" t="s">
        <v>14</v>
      </c>
      <c r="B359" s="0" t="s">
        <v>4502</v>
      </c>
      <c r="C359" s="0" t="s">
        <v>4503</v>
      </c>
      <c r="D359" s="0" t="s">
        <v>4152</v>
      </c>
      <c r="E359" s="0" t="s">
        <v>4513</v>
      </c>
      <c r="F359" s="0" t="s">
        <v>3530</v>
      </c>
      <c r="G359" s="0" t="s">
        <v>4514</v>
      </c>
    </row>
    <row customHeight="1" ht="11.25">
      <c r="A360" s="527" t="s">
        <v>14</v>
      </c>
      <c r="B360" s="0" t="s">
        <v>4502</v>
      </c>
      <c r="C360" s="0" t="s">
        <v>4503</v>
      </c>
      <c r="D360" s="0" t="s">
        <v>3896</v>
      </c>
      <c r="E360" s="0" t="s">
        <v>4515</v>
      </c>
      <c r="F360" s="0" t="s">
        <v>3530</v>
      </c>
      <c r="G360" s="0" t="s">
        <v>4516</v>
      </c>
    </row>
    <row customHeight="1" ht="11.25">
      <c r="A361" s="527" t="s">
        <v>14</v>
      </c>
      <c r="B361" s="0" t="s">
        <v>4502</v>
      </c>
      <c r="C361" s="0" t="s">
        <v>4503</v>
      </c>
      <c r="D361" s="0" t="s">
        <v>4502</v>
      </c>
      <c r="E361" s="0" t="s">
        <v>4503</v>
      </c>
      <c r="F361" s="0" t="s">
        <v>3527</v>
      </c>
      <c r="G361" s="0" t="s">
        <v>4517</v>
      </c>
    </row>
    <row customHeight="1" ht="11.25">
      <c r="A362" s="527" t="s">
        <v>14</v>
      </c>
      <c r="B362" s="0" t="s">
        <v>4502</v>
      </c>
      <c r="C362" s="0" t="s">
        <v>4503</v>
      </c>
      <c r="D362" s="0" t="s">
        <v>4518</v>
      </c>
      <c r="E362" s="0" t="s">
        <v>4519</v>
      </c>
      <c r="F362" s="0" t="s">
        <v>3530</v>
      </c>
      <c r="G362" s="0" t="s">
        <v>4520</v>
      </c>
    </row>
    <row customHeight="1" ht="11.25">
      <c r="A363" s="527" t="s">
        <v>14</v>
      </c>
      <c r="B363" s="0" t="s">
        <v>4521</v>
      </c>
      <c r="C363" s="0" t="s">
        <v>4522</v>
      </c>
      <c r="D363" s="0" t="s">
        <v>4442</v>
      </c>
      <c r="E363" s="0" t="s">
        <v>4523</v>
      </c>
      <c r="F363" s="0" t="s">
        <v>3530</v>
      </c>
      <c r="G363" s="0" t="s">
        <v>4524</v>
      </c>
    </row>
    <row customHeight="1" ht="11.25">
      <c r="A364" s="527" t="s">
        <v>14</v>
      </c>
      <c r="B364" s="0" t="s">
        <v>4521</v>
      </c>
      <c r="C364" s="0" t="s">
        <v>4522</v>
      </c>
      <c r="D364" s="0" t="s">
        <v>4525</v>
      </c>
      <c r="E364" s="0" t="s">
        <v>4526</v>
      </c>
      <c r="F364" s="0" t="s">
        <v>3530</v>
      </c>
      <c r="G364" s="0" t="s">
        <v>4527</v>
      </c>
    </row>
    <row customHeight="1" ht="11.25">
      <c r="A365" s="527" t="s">
        <v>14</v>
      </c>
      <c r="B365" s="0" t="s">
        <v>4521</v>
      </c>
      <c r="C365" s="0" t="s">
        <v>4522</v>
      </c>
      <c r="D365" s="0" t="s">
        <v>4131</v>
      </c>
      <c r="E365" s="0" t="s">
        <v>4528</v>
      </c>
      <c r="F365" s="0" t="s">
        <v>3530</v>
      </c>
      <c r="G365" s="0" t="s">
        <v>4529</v>
      </c>
    </row>
    <row customHeight="1" ht="11.25">
      <c r="A366" s="527" t="s">
        <v>14</v>
      </c>
      <c r="B366" s="0" t="s">
        <v>4521</v>
      </c>
      <c r="C366" s="0" t="s">
        <v>4522</v>
      </c>
      <c r="D366" s="0" t="s">
        <v>4530</v>
      </c>
      <c r="E366" s="0" t="s">
        <v>4531</v>
      </c>
      <c r="F366" s="0" t="s">
        <v>3530</v>
      </c>
      <c r="G366" s="0" t="s">
        <v>4532</v>
      </c>
    </row>
    <row customHeight="1" ht="11.25">
      <c r="A367" s="527" t="s">
        <v>14</v>
      </c>
      <c r="B367" s="0" t="s">
        <v>4521</v>
      </c>
      <c r="C367" s="0" t="s">
        <v>4522</v>
      </c>
      <c r="D367" s="0" t="s">
        <v>4533</v>
      </c>
      <c r="E367" s="0" t="s">
        <v>4534</v>
      </c>
      <c r="F367" s="0" t="s">
        <v>3530</v>
      </c>
      <c r="G367" s="0" t="s">
        <v>4535</v>
      </c>
    </row>
    <row customHeight="1" ht="11.25">
      <c r="A368" s="527" t="s">
        <v>14</v>
      </c>
      <c r="B368" s="0" t="s">
        <v>4521</v>
      </c>
      <c r="C368" s="0" t="s">
        <v>4522</v>
      </c>
      <c r="D368" s="0" t="s">
        <v>3600</v>
      </c>
      <c r="E368" s="0" t="s">
        <v>4536</v>
      </c>
      <c r="F368" s="0" t="s">
        <v>3530</v>
      </c>
      <c r="G368" s="0" t="s">
        <v>4537</v>
      </c>
    </row>
    <row customHeight="1" ht="11.25">
      <c r="A369" s="527" t="s">
        <v>14</v>
      </c>
      <c r="B369" s="0" t="s">
        <v>4521</v>
      </c>
      <c r="C369" s="0" t="s">
        <v>4522</v>
      </c>
      <c r="D369" s="0" t="s">
        <v>4538</v>
      </c>
      <c r="E369" s="0" t="s">
        <v>4539</v>
      </c>
      <c r="F369" s="0" t="s">
        <v>3530</v>
      </c>
      <c r="G369" s="0" t="s">
        <v>4540</v>
      </c>
    </row>
    <row customHeight="1" ht="11.25">
      <c r="A370" s="527" t="s">
        <v>14</v>
      </c>
      <c r="B370" s="0" t="s">
        <v>4521</v>
      </c>
      <c r="C370" s="0" t="s">
        <v>4522</v>
      </c>
      <c r="D370" s="0" t="s">
        <v>4541</v>
      </c>
      <c r="E370" s="0" t="s">
        <v>4542</v>
      </c>
      <c r="F370" s="0" t="s">
        <v>3530</v>
      </c>
      <c r="G370" s="0" t="s">
        <v>4543</v>
      </c>
    </row>
    <row customHeight="1" ht="11.25">
      <c r="A371" s="527" t="s">
        <v>14</v>
      </c>
      <c r="B371" s="0" t="s">
        <v>4521</v>
      </c>
      <c r="C371" s="0" t="s">
        <v>4522</v>
      </c>
      <c r="D371" s="0" t="s">
        <v>4521</v>
      </c>
      <c r="E371" s="0" t="s">
        <v>4522</v>
      </c>
      <c r="F371" s="0" t="s">
        <v>3527</v>
      </c>
      <c r="G371" s="0" t="s">
        <v>4544</v>
      </c>
    </row>
    <row customHeight="1" ht="11.25">
      <c r="A372" s="527" t="s">
        <v>14</v>
      </c>
      <c r="B372" s="0" t="s">
        <v>4521</v>
      </c>
      <c r="C372" s="0" t="s">
        <v>4522</v>
      </c>
      <c r="D372" s="0" t="s">
        <v>4545</v>
      </c>
      <c r="E372" s="0" t="s">
        <v>4546</v>
      </c>
      <c r="F372" s="0" t="s">
        <v>3569</v>
      </c>
      <c r="G372" s="0" t="s">
        <v>4547</v>
      </c>
    </row>
    <row customHeight="1" ht="11.25">
      <c r="A373" s="527" t="s">
        <v>14</v>
      </c>
      <c r="B373" s="0" t="s">
        <v>4521</v>
      </c>
      <c r="C373" s="0" t="s">
        <v>4522</v>
      </c>
      <c r="D373" s="0" t="s">
        <v>4548</v>
      </c>
      <c r="E373" s="0" t="s">
        <v>4549</v>
      </c>
      <c r="F373" s="0" t="s">
        <v>3530</v>
      </c>
      <c r="G373" s="0" t="s">
        <v>4550</v>
      </c>
    </row>
    <row customHeight="1" ht="11.25">
      <c r="A374" s="527" t="s">
        <v>14</v>
      </c>
      <c r="B374" s="0" t="s">
        <v>4521</v>
      </c>
      <c r="C374" s="0" t="s">
        <v>4522</v>
      </c>
      <c r="D374" s="0" t="s">
        <v>4551</v>
      </c>
      <c r="E374" s="0" t="s">
        <v>4552</v>
      </c>
      <c r="F374" s="0" t="s">
        <v>3530</v>
      </c>
      <c r="G374" s="0" t="s">
        <v>4553</v>
      </c>
    </row>
    <row customHeight="1" ht="11.25">
      <c r="A375" s="527" t="s">
        <v>14</v>
      </c>
      <c r="B375" s="0" t="s">
        <v>4554</v>
      </c>
      <c r="C375" s="0" t="s">
        <v>4555</v>
      </c>
      <c r="D375" s="0" t="s">
        <v>4556</v>
      </c>
      <c r="E375" s="0" t="s">
        <v>4557</v>
      </c>
      <c r="F375" s="0" t="s">
        <v>3530</v>
      </c>
      <c r="G375" s="0" t="s">
        <v>4558</v>
      </c>
    </row>
    <row customHeight="1" ht="11.25">
      <c r="A376" s="527" t="s">
        <v>14</v>
      </c>
      <c r="B376" s="0" t="s">
        <v>4554</v>
      </c>
      <c r="C376" s="0" t="s">
        <v>4555</v>
      </c>
      <c r="D376" s="0" t="s">
        <v>4559</v>
      </c>
      <c r="E376" s="0" t="s">
        <v>4560</v>
      </c>
      <c r="F376" s="0" t="s">
        <v>3530</v>
      </c>
      <c r="G376" s="0" t="s">
        <v>4561</v>
      </c>
    </row>
    <row customHeight="1" ht="11.25">
      <c r="A377" s="527" t="s">
        <v>14</v>
      </c>
      <c r="B377" s="0" t="s">
        <v>4554</v>
      </c>
      <c r="C377" s="0" t="s">
        <v>4555</v>
      </c>
      <c r="D377" s="0" t="s">
        <v>4562</v>
      </c>
      <c r="E377" s="0" t="s">
        <v>4563</v>
      </c>
      <c r="F377" s="0" t="s">
        <v>3530</v>
      </c>
      <c r="G377" s="0" t="s">
        <v>4564</v>
      </c>
    </row>
    <row customHeight="1" ht="11.25">
      <c r="A378" s="527" t="s">
        <v>14</v>
      </c>
      <c r="B378" s="0" t="s">
        <v>4554</v>
      </c>
      <c r="C378" s="0" t="s">
        <v>4555</v>
      </c>
      <c r="D378" s="0" t="s">
        <v>4565</v>
      </c>
      <c r="E378" s="0" t="s">
        <v>4566</v>
      </c>
      <c r="F378" s="0" t="s">
        <v>3530</v>
      </c>
      <c r="G378" s="0" t="s">
        <v>4567</v>
      </c>
    </row>
    <row customHeight="1" ht="11.25">
      <c r="A379" s="527" t="s">
        <v>14</v>
      </c>
      <c r="B379" s="0" t="s">
        <v>4554</v>
      </c>
      <c r="C379" s="0" t="s">
        <v>4555</v>
      </c>
      <c r="D379" s="0" t="s">
        <v>4568</v>
      </c>
      <c r="E379" s="0" t="s">
        <v>4569</v>
      </c>
      <c r="F379" s="0" t="s">
        <v>3530</v>
      </c>
      <c r="G379" s="0" t="s">
        <v>4570</v>
      </c>
    </row>
    <row customHeight="1" ht="11.25">
      <c r="A380" s="527" t="s">
        <v>14</v>
      </c>
      <c r="B380" s="0" t="s">
        <v>4554</v>
      </c>
      <c r="C380" s="0" t="s">
        <v>4555</v>
      </c>
      <c r="D380" s="0" t="s">
        <v>4571</v>
      </c>
      <c r="E380" s="0" t="s">
        <v>4572</v>
      </c>
      <c r="F380" s="0" t="s">
        <v>3530</v>
      </c>
      <c r="G380" s="0" t="s">
        <v>4573</v>
      </c>
    </row>
    <row customHeight="1" ht="11.25">
      <c r="A381" s="527" t="s">
        <v>14</v>
      </c>
      <c r="B381" s="0" t="s">
        <v>4554</v>
      </c>
      <c r="C381" s="0" t="s">
        <v>4555</v>
      </c>
      <c r="D381" s="0" t="s">
        <v>4574</v>
      </c>
      <c r="E381" s="0" t="s">
        <v>4575</v>
      </c>
      <c r="F381" s="0" t="s">
        <v>3530</v>
      </c>
      <c r="G381" s="0" t="s">
        <v>4576</v>
      </c>
    </row>
    <row customHeight="1" ht="11.25">
      <c r="A382" s="527" t="s">
        <v>14</v>
      </c>
      <c r="B382" s="0" t="s">
        <v>4554</v>
      </c>
      <c r="C382" s="0" t="s">
        <v>4555</v>
      </c>
      <c r="D382" s="0" t="s">
        <v>4554</v>
      </c>
      <c r="E382" s="0" t="s">
        <v>4555</v>
      </c>
      <c r="F382" s="0" t="s">
        <v>3527</v>
      </c>
      <c r="G382" s="0" t="s">
        <v>4577</v>
      </c>
    </row>
    <row customHeight="1" ht="11.25">
      <c r="A383" s="527" t="s">
        <v>14</v>
      </c>
      <c r="B383" s="0" t="s">
        <v>4554</v>
      </c>
      <c r="C383" s="0" t="s">
        <v>4555</v>
      </c>
      <c r="D383" s="0" t="s">
        <v>4578</v>
      </c>
      <c r="E383" s="0" t="s">
        <v>4579</v>
      </c>
      <c r="F383" s="0" t="s">
        <v>3569</v>
      </c>
      <c r="G383" s="0" t="s">
        <v>4580</v>
      </c>
    </row>
    <row customHeight="1" ht="11.25">
      <c r="A384" s="527" t="s">
        <v>14</v>
      </c>
      <c r="B384" s="0" t="s">
        <v>4554</v>
      </c>
      <c r="C384" s="0" t="s">
        <v>4555</v>
      </c>
      <c r="D384" s="0" t="s">
        <v>4581</v>
      </c>
      <c r="E384" s="0" t="s">
        <v>4582</v>
      </c>
      <c r="F384" s="0" t="s">
        <v>3530</v>
      </c>
      <c r="G384" s="0" t="s">
        <v>4583</v>
      </c>
    </row>
    <row customHeight="1" ht="11.25">
      <c r="A385" s="527" t="s">
        <v>14</v>
      </c>
      <c r="B385" s="0" t="s">
        <v>4554</v>
      </c>
      <c r="C385" s="0" t="s">
        <v>4555</v>
      </c>
      <c r="D385" s="0" t="s">
        <v>4584</v>
      </c>
      <c r="E385" s="0" t="s">
        <v>4585</v>
      </c>
      <c r="F385" s="0" t="s">
        <v>3530</v>
      </c>
      <c r="G385" s="0" t="s">
        <v>4586</v>
      </c>
    </row>
    <row customHeight="1" ht="11.25">
      <c r="A386" s="527" t="s">
        <v>14</v>
      </c>
      <c r="B386" s="0" t="s">
        <v>4587</v>
      </c>
      <c r="C386" s="0" t="s">
        <v>4588</v>
      </c>
      <c r="D386" s="0" t="s">
        <v>4589</v>
      </c>
      <c r="E386" s="0" t="s">
        <v>4590</v>
      </c>
      <c r="F386" s="0" t="s">
        <v>3530</v>
      </c>
      <c r="G386" s="0" t="s">
        <v>4591</v>
      </c>
    </row>
    <row customHeight="1" ht="11.25">
      <c r="A387" s="527" t="s">
        <v>14</v>
      </c>
      <c r="B387" s="0" t="s">
        <v>4587</v>
      </c>
      <c r="C387" s="0" t="s">
        <v>4588</v>
      </c>
      <c r="D387" s="0" t="s">
        <v>4587</v>
      </c>
      <c r="E387" s="0" t="s">
        <v>4588</v>
      </c>
      <c r="F387" s="0" t="s">
        <v>3527</v>
      </c>
      <c r="G387" s="0" t="s">
        <v>4592</v>
      </c>
    </row>
    <row customHeight="1" ht="11.25">
      <c r="A388" s="527" t="s">
        <v>14</v>
      </c>
      <c r="B388" s="0" t="s">
        <v>4587</v>
      </c>
      <c r="C388" s="0" t="s">
        <v>4588</v>
      </c>
      <c r="D388" s="0" t="s">
        <v>4593</v>
      </c>
      <c r="E388" s="0" t="s">
        <v>4594</v>
      </c>
      <c r="F388" s="0" t="s">
        <v>3530</v>
      </c>
      <c r="G388" s="0" t="s">
        <v>4595</v>
      </c>
    </row>
    <row customHeight="1" ht="11.25">
      <c r="A389" s="527" t="s">
        <v>14</v>
      </c>
      <c r="B389" s="0" t="s">
        <v>4587</v>
      </c>
      <c r="C389" s="0" t="s">
        <v>4588</v>
      </c>
      <c r="D389" s="0" t="s">
        <v>4596</v>
      </c>
      <c r="E389" s="0" t="s">
        <v>4597</v>
      </c>
      <c r="F389" s="0" t="s">
        <v>3530</v>
      </c>
      <c r="G389" s="0" t="s">
        <v>4598</v>
      </c>
    </row>
    <row customHeight="1" ht="11.25">
      <c r="A390" s="527" t="s">
        <v>14</v>
      </c>
      <c r="B390" s="0" t="s">
        <v>4599</v>
      </c>
      <c r="C390" s="0" t="s">
        <v>4600</v>
      </c>
      <c r="D390" s="0" t="s">
        <v>4601</v>
      </c>
      <c r="E390" s="0" t="s">
        <v>4602</v>
      </c>
      <c r="F390" s="0" t="s">
        <v>3530</v>
      </c>
      <c r="G390" s="0" t="s">
        <v>4603</v>
      </c>
    </row>
    <row customHeight="1" ht="11.25">
      <c r="A391" s="527" t="s">
        <v>14</v>
      </c>
      <c r="B391" s="0" t="s">
        <v>4599</v>
      </c>
      <c r="C391" s="0" t="s">
        <v>4600</v>
      </c>
      <c r="D391" s="0" t="s">
        <v>4604</v>
      </c>
      <c r="E391" s="0" t="s">
        <v>4605</v>
      </c>
      <c r="F391" s="0" t="s">
        <v>3530</v>
      </c>
      <c r="G391" s="0" t="s">
        <v>4606</v>
      </c>
    </row>
    <row customHeight="1" ht="11.25">
      <c r="A392" s="527" t="s">
        <v>14</v>
      </c>
      <c r="B392" s="0" t="s">
        <v>4599</v>
      </c>
      <c r="C392" s="0" t="s">
        <v>4600</v>
      </c>
      <c r="D392" s="0" t="s">
        <v>4607</v>
      </c>
      <c r="E392" s="0" t="s">
        <v>4608</v>
      </c>
      <c r="F392" s="0" t="s">
        <v>3530</v>
      </c>
      <c r="G392" s="0" t="s">
        <v>4609</v>
      </c>
    </row>
    <row customHeight="1" ht="11.25">
      <c r="A393" s="527" t="s">
        <v>14</v>
      </c>
      <c r="B393" s="0" t="s">
        <v>4599</v>
      </c>
      <c r="C393" s="0" t="s">
        <v>4600</v>
      </c>
      <c r="D393" s="0" t="s">
        <v>4610</v>
      </c>
      <c r="E393" s="0" t="s">
        <v>4611</v>
      </c>
      <c r="F393" s="0" t="s">
        <v>3530</v>
      </c>
      <c r="G393" s="0" t="s">
        <v>4612</v>
      </c>
    </row>
    <row customHeight="1" ht="11.25">
      <c r="A394" s="527" t="s">
        <v>14</v>
      </c>
      <c r="B394" s="0" t="s">
        <v>4599</v>
      </c>
      <c r="C394" s="0" t="s">
        <v>4600</v>
      </c>
      <c r="D394" s="0" t="s">
        <v>4613</v>
      </c>
      <c r="E394" s="0" t="s">
        <v>4614</v>
      </c>
      <c r="F394" s="0" t="s">
        <v>3530</v>
      </c>
      <c r="G394" s="0" t="s">
        <v>4615</v>
      </c>
    </row>
    <row customHeight="1" ht="11.25">
      <c r="A395" s="527" t="s">
        <v>14</v>
      </c>
      <c r="B395" s="0" t="s">
        <v>4599</v>
      </c>
      <c r="C395" s="0" t="s">
        <v>4600</v>
      </c>
      <c r="D395" s="0" t="s">
        <v>4616</v>
      </c>
      <c r="E395" s="0" t="s">
        <v>4617</v>
      </c>
      <c r="F395" s="0" t="s">
        <v>3530</v>
      </c>
      <c r="G395" s="0" t="s">
        <v>4618</v>
      </c>
    </row>
    <row customHeight="1" ht="11.25">
      <c r="A396" s="527" t="s">
        <v>14</v>
      </c>
      <c r="B396" s="0" t="s">
        <v>4599</v>
      </c>
      <c r="C396" s="0" t="s">
        <v>4600</v>
      </c>
      <c r="D396" s="0" t="s">
        <v>3960</v>
      </c>
      <c r="E396" s="0" t="s">
        <v>4619</v>
      </c>
      <c r="F396" s="0" t="s">
        <v>3530</v>
      </c>
      <c r="G396" s="0" t="s">
        <v>4620</v>
      </c>
    </row>
    <row customHeight="1" ht="11.25">
      <c r="A397" s="527" t="s">
        <v>14</v>
      </c>
      <c r="B397" s="0" t="s">
        <v>4599</v>
      </c>
      <c r="C397" s="0" t="s">
        <v>4600</v>
      </c>
      <c r="D397" s="0" t="s">
        <v>4621</v>
      </c>
      <c r="E397" s="0" t="s">
        <v>4622</v>
      </c>
      <c r="F397" s="0" t="s">
        <v>3530</v>
      </c>
      <c r="G397" s="0" t="s">
        <v>4623</v>
      </c>
    </row>
    <row customHeight="1" ht="11.25">
      <c r="A398" s="527" t="s">
        <v>14</v>
      </c>
      <c r="B398" s="0" t="s">
        <v>4599</v>
      </c>
      <c r="C398" s="0" t="s">
        <v>4600</v>
      </c>
      <c r="D398" s="0" t="s">
        <v>4624</v>
      </c>
      <c r="E398" s="0" t="s">
        <v>4625</v>
      </c>
      <c r="F398" s="0" t="s">
        <v>3530</v>
      </c>
      <c r="G398" s="0" t="s">
        <v>4626</v>
      </c>
    </row>
    <row customHeight="1" ht="11.25">
      <c r="A399" s="527" t="s">
        <v>14</v>
      </c>
      <c r="B399" s="0" t="s">
        <v>4599</v>
      </c>
      <c r="C399" s="0" t="s">
        <v>4600</v>
      </c>
      <c r="D399" s="0" t="s">
        <v>4599</v>
      </c>
      <c r="E399" s="0" t="s">
        <v>4600</v>
      </c>
      <c r="F399" s="0" t="s">
        <v>3527</v>
      </c>
      <c r="G399" s="0" t="s">
        <v>4627</v>
      </c>
    </row>
    <row customHeight="1" ht="11.25">
      <c r="A400" s="527" t="s">
        <v>14</v>
      </c>
      <c r="B400" s="0" t="s">
        <v>4599</v>
      </c>
      <c r="C400" s="0" t="s">
        <v>4600</v>
      </c>
      <c r="D400" s="0" t="s">
        <v>4628</v>
      </c>
      <c r="E400" s="0" t="s">
        <v>4629</v>
      </c>
      <c r="F400" s="0" t="s">
        <v>3530</v>
      </c>
      <c r="G400" s="0" t="s">
        <v>4630</v>
      </c>
    </row>
    <row customHeight="1" ht="11.25">
      <c r="A401" s="527" t="s">
        <v>14</v>
      </c>
      <c r="B401" s="0" t="s">
        <v>4631</v>
      </c>
      <c r="C401" s="0" t="s">
        <v>4632</v>
      </c>
      <c r="D401" s="0" t="s">
        <v>4633</v>
      </c>
      <c r="E401" s="0" t="s">
        <v>4634</v>
      </c>
      <c r="F401" s="0" t="s">
        <v>3530</v>
      </c>
      <c r="G401" s="0" t="s">
        <v>4635</v>
      </c>
    </row>
    <row customHeight="1" ht="11.25">
      <c r="A402" s="527" t="s">
        <v>14</v>
      </c>
      <c r="B402" s="0" t="s">
        <v>4631</v>
      </c>
      <c r="C402" s="0" t="s">
        <v>4632</v>
      </c>
      <c r="D402" s="0" t="s">
        <v>4636</v>
      </c>
      <c r="E402" s="0" t="s">
        <v>4637</v>
      </c>
      <c r="F402" s="0" t="s">
        <v>3530</v>
      </c>
      <c r="G402" s="0" t="s">
        <v>4638</v>
      </c>
    </row>
    <row customHeight="1" ht="11.25">
      <c r="A403" s="527" t="s">
        <v>14</v>
      </c>
      <c r="B403" s="0" t="s">
        <v>4631</v>
      </c>
      <c r="C403" s="0" t="s">
        <v>4632</v>
      </c>
      <c r="D403" s="0" t="s">
        <v>4639</v>
      </c>
      <c r="E403" s="0" t="s">
        <v>4640</v>
      </c>
      <c r="F403" s="0" t="s">
        <v>3530</v>
      </c>
      <c r="G403" s="0" t="s">
        <v>4641</v>
      </c>
    </row>
    <row customHeight="1" ht="11.25">
      <c r="A404" s="527" t="s">
        <v>14</v>
      </c>
      <c r="B404" s="0" t="s">
        <v>4631</v>
      </c>
      <c r="C404" s="0" t="s">
        <v>4632</v>
      </c>
      <c r="D404" s="0" t="s">
        <v>4642</v>
      </c>
      <c r="E404" s="0" t="s">
        <v>4643</v>
      </c>
      <c r="F404" s="0" t="s">
        <v>3530</v>
      </c>
      <c r="G404" s="0" t="s">
        <v>4644</v>
      </c>
    </row>
    <row customHeight="1" ht="11.25">
      <c r="A405" s="527" t="s">
        <v>14</v>
      </c>
      <c r="B405" s="0" t="s">
        <v>4631</v>
      </c>
      <c r="C405" s="0" t="s">
        <v>4632</v>
      </c>
      <c r="D405" s="0" t="s">
        <v>4645</v>
      </c>
      <c r="E405" s="0" t="s">
        <v>4646</v>
      </c>
      <c r="F405" s="0" t="s">
        <v>3530</v>
      </c>
      <c r="G405" s="0" t="s">
        <v>4647</v>
      </c>
    </row>
    <row customHeight="1" ht="11.25">
      <c r="A406" s="527" t="s">
        <v>14</v>
      </c>
      <c r="B406" s="0" t="s">
        <v>4631</v>
      </c>
      <c r="C406" s="0" t="s">
        <v>4632</v>
      </c>
      <c r="D406" s="0" t="s">
        <v>4648</v>
      </c>
      <c r="E406" s="0" t="s">
        <v>4649</v>
      </c>
      <c r="F406" s="0" t="s">
        <v>3530</v>
      </c>
      <c r="G406" s="0" t="s">
        <v>4650</v>
      </c>
    </row>
    <row customHeight="1" ht="11.25">
      <c r="A407" s="527" t="s">
        <v>14</v>
      </c>
      <c r="B407" s="0" t="s">
        <v>4631</v>
      </c>
      <c r="C407" s="0" t="s">
        <v>4632</v>
      </c>
      <c r="D407" s="0" t="s">
        <v>4060</v>
      </c>
      <c r="E407" s="0" t="s">
        <v>4651</v>
      </c>
      <c r="F407" s="0" t="s">
        <v>3530</v>
      </c>
      <c r="G407" s="0" t="s">
        <v>4652</v>
      </c>
    </row>
    <row customHeight="1" ht="11.25">
      <c r="A408" s="527" t="s">
        <v>14</v>
      </c>
      <c r="B408" s="0" t="s">
        <v>4631</v>
      </c>
      <c r="C408" s="0" t="s">
        <v>4632</v>
      </c>
      <c r="D408" s="0" t="s">
        <v>4653</v>
      </c>
      <c r="E408" s="0" t="s">
        <v>4654</v>
      </c>
      <c r="F408" s="0" t="s">
        <v>3530</v>
      </c>
      <c r="G408" s="0" t="s">
        <v>4655</v>
      </c>
    </row>
    <row customHeight="1" ht="11.25">
      <c r="A409" s="527" t="s">
        <v>14</v>
      </c>
      <c r="B409" s="0" t="s">
        <v>4631</v>
      </c>
      <c r="C409" s="0" t="s">
        <v>4632</v>
      </c>
      <c r="D409" s="0" t="s">
        <v>4466</v>
      </c>
      <c r="E409" s="0" t="s">
        <v>4656</v>
      </c>
      <c r="F409" s="0" t="s">
        <v>3530</v>
      </c>
      <c r="G409" s="0" t="s">
        <v>4657</v>
      </c>
    </row>
    <row customHeight="1" ht="11.25">
      <c r="A410" s="527" t="s">
        <v>14</v>
      </c>
      <c r="B410" s="0" t="s">
        <v>4631</v>
      </c>
      <c r="C410" s="0" t="s">
        <v>4632</v>
      </c>
      <c r="D410" s="0" t="s">
        <v>4631</v>
      </c>
      <c r="E410" s="0" t="s">
        <v>4632</v>
      </c>
      <c r="F410" s="0" t="s">
        <v>3527</v>
      </c>
      <c r="G410" s="0" t="s">
        <v>4658</v>
      </c>
    </row>
    <row customHeight="1" ht="11.25">
      <c r="A411" s="527" t="s">
        <v>14</v>
      </c>
      <c r="B411" s="0" t="s">
        <v>4631</v>
      </c>
      <c r="C411" s="0" t="s">
        <v>4632</v>
      </c>
      <c r="D411" s="0" t="s">
        <v>4659</v>
      </c>
      <c r="E411" s="0" t="s">
        <v>4660</v>
      </c>
      <c r="F411" s="0" t="s">
        <v>3530</v>
      </c>
      <c r="G411" s="0" t="s">
        <v>4661</v>
      </c>
    </row>
    <row customHeight="1" ht="11.25">
      <c r="A412" s="527" t="s">
        <v>14</v>
      </c>
      <c r="B412" s="0" t="s">
        <v>4631</v>
      </c>
      <c r="C412" s="0" t="s">
        <v>4632</v>
      </c>
      <c r="D412" s="0" t="s">
        <v>4662</v>
      </c>
      <c r="E412" s="0" t="s">
        <v>4663</v>
      </c>
      <c r="F412" s="0" t="s">
        <v>3530</v>
      </c>
      <c r="G412" s="0" t="s">
        <v>4664</v>
      </c>
    </row>
    <row customHeight="1" ht="11.25">
      <c r="A413" s="527" t="s">
        <v>14</v>
      </c>
      <c r="B413" s="0" t="s">
        <v>4665</v>
      </c>
      <c r="C413" s="0" t="s">
        <v>4666</v>
      </c>
      <c r="D413" s="0" t="s">
        <v>4667</v>
      </c>
      <c r="E413" s="0" t="s">
        <v>4668</v>
      </c>
      <c r="F413" s="0" t="s">
        <v>3530</v>
      </c>
      <c r="G413" s="0" t="s">
        <v>4669</v>
      </c>
    </row>
    <row customHeight="1" ht="11.25">
      <c r="A414" s="527" t="s">
        <v>14</v>
      </c>
      <c r="B414" s="0" t="s">
        <v>4665</v>
      </c>
      <c r="C414" s="0" t="s">
        <v>4666</v>
      </c>
      <c r="D414" s="0" t="s">
        <v>4670</v>
      </c>
      <c r="E414" s="0" t="s">
        <v>4671</v>
      </c>
      <c r="F414" s="0" t="s">
        <v>3530</v>
      </c>
      <c r="G414" s="0" t="s">
        <v>4672</v>
      </c>
    </row>
    <row customHeight="1" ht="11.25">
      <c r="A415" s="527" t="s">
        <v>14</v>
      </c>
      <c r="B415" s="0" t="s">
        <v>4665</v>
      </c>
      <c r="C415" s="0" t="s">
        <v>4666</v>
      </c>
      <c r="D415" s="0" t="s">
        <v>4252</v>
      </c>
      <c r="E415" s="0" t="s">
        <v>4673</v>
      </c>
      <c r="F415" s="0" t="s">
        <v>3530</v>
      </c>
      <c r="G415" s="0" t="s">
        <v>4674</v>
      </c>
    </row>
    <row customHeight="1" ht="11.25">
      <c r="A416" s="527" t="s">
        <v>14</v>
      </c>
      <c r="B416" s="0" t="s">
        <v>4665</v>
      </c>
      <c r="C416" s="0" t="s">
        <v>4666</v>
      </c>
      <c r="D416" s="0" t="s">
        <v>4675</v>
      </c>
      <c r="E416" s="0" t="s">
        <v>4676</v>
      </c>
      <c r="F416" s="0" t="s">
        <v>3530</v>
      </c>
      <c r="G416" s="0" t="s">
        <v>4677</v>
      </c>
    </row>
    <row customHeight="1" ht="11.25">
      <c r="A417" s="527" t="s">
        <v>14</v>
      </c>
      <c r="B417" s="0" t="s">
        <v>4665</v>
      </c>
      <c r="C417" s="0" t="s">
        <v>4666</v>
      </c>
      <c r="D417" s="0" t="s">
        <v>4678</v>
      </c>
      <c r="E417" s="0" t="s">
        <v>4679</v>
      </c>
      <c r="F417" s="0" t="s">
        <v>3530</v>
      </c>
      <c r="G417" s="0" t="s">
        <v>4680</v>
      </c>
    </row>
    <row customHeight="1" ht="11.25">
      <c r="A418" s="527" t="s">
        <v>14</v>
      </c>
      <c r="B418" s="0" t="s">
        <v>4665</v>
      </c>
      <c r="C418" s="0" t="s">
        <v>4666</v>
      </c>
      <c r="D418" s="0" t="s">
        <v>4681</v>
      </c>
      <c r="E418" s="0" t="s">
        <v>4682</v>
      </c>
      <c r="F418" s="0" t="s">
        <v>3530</v>
      </c>
      <c r="G418" s="0" t="s">
        <v>4683</v>
      </c>
    </row>
    <row customHeight="1" ht="11.25">
      <c r="A419" s="527" t="s">
        <v>14</v>
      </c>
      <c r="B419" s="0" t="s">
        <v>4665</v>
      </c>
      <c r="C419" s="0" t="s">
        <v>4666</v>
      </c>
      <c r="D419" s="0" t="s">
        <v>4684</v>
      </c>
      <c r="E419" s="0" t="s">
        <v>4685</v>
      </c>
      <c r="F419" s="0" t="s">
        <v>3530</v>
      </c>
      <c r="G419" s="0" t="s">
        <v>4686</v>
      </c>
    </row>
    <row customHeight="1" ht="11.25">
      <c r="A420" s="527" t="s">
        <v>14</v>
      </c>
      <c r="B420" s="0" t="s">
        <v>4665</v>
      </c>
      <c r="C420" s="0" t="s">
        <v>4666</v>
      </c>
      <c r="D420" s="0" t="s">
        <v>4665</v>
      </c>
      <c r="E420" s="0" t="s">
        <v>4666</v>
      </c>
      <c r="F420" s="0" t="s">
        <v>3527</v>
      </c>
      <c r="G420" s="0" t="s">
        <v>4687</v>
      </c>
    </row>
    <row customHeight="1" ht="11.25">
      <c r="A421" s="527" t="s">
        <v>14</v>
      </c>
      <c r="B421" s="0" t="s">
        <v>4665</v>
      </c>
      <c r="C421" s="0" t="s">
        <v>4666</v>
      </c>
      <c r="D421" s="0" t="s">
        <v>4688</v>
      </c>
      <c r="E421" s="0" t="s">
        <v>4689</v>
      </c>
      <c r="F421" s="0" t="s">
        <v>3948</v>
      </c>
      <c r="G421" s="0" t="s">
        <v>4690</v>
      </c>
    </row>
    <row customHeight="1" ht="11.25">
      <c r="A422" s="527" t="s">
        <v>14</v>
      </c>
      <c r="B422" s="0" t="s">
        <v>4691</v>
      </c>
      <c r="C422" s="0" t="s">
        <v>4692</v>
      </c>
      <c r="D422" s="0" t="s">
        <v>3893</v>
      </c>
      <c r="E422" s="0" t="s">
        <v>4693</v>
      </c>
      <c r="F422" s="0" t="s">
        <v>3530</v>
      </c>
      <c r="G422" s="0" t="s">
        <v>4694</v>
      </c>
    </row>
    <row customHeight="1" ht="11.25">
      <c r="A423" s="527" t="s">
        <v>14</v>
      </c>
      <c r="B423" s="0" t="s">
        <v>4691</v>
      </c>
      <c r="C423" s="0" t="s">
        <v>4692</v>
      </c>
      <c r="D423" s="0" t="s">
        <v>4695</v>
      </c>
      <c r="E423" s="0" t="s">
        <v>4696</v>
      </c>
      <c r="F423" s="0" t="s">
        <v>3530</v>
      </c>
      <c r="G423" s="0" t="s">
        <v>4697</v>
      </c>
    </row>
    <row customHeight="1" ht="11.25">
      <c r="A424" s="527" t="s">
        <v>14</v>
      </c>
      <c r="B424" s="0" t="s">
        <v>4691</v>
      </c>
      <c r="C424" s="0" t="s">
        <v>4692</v>
      </c>
      <c r="D424" s="0" t="s">
        <v>4060</v>
      </c>
      <c r="E424" s="0" t="s">
        <v>4698</v>
      </c>
      <c r="F424" s="0" t="s">
        <v>3530</v>
      </c>
      <c r="G424" s="0" t="s">
        <v>4699</v>
      </c>
    </row>
    <row customHeight="1" ht="11.25">
      <c r="A425" s="527" t="s">
        <v>14</v>
      </c>
      <c r="B425" s="0" t="s">
        <v>4691</v>
      </c>
      <c r="C425" s="0" t="s">
        <v>4692</v>
      </c>
      <c r="D425" s="0" t="s">
        <v>4700</v>
      </c>
      <c r="E425" s="0" t="s">
        <v>4701</v>
      </c>
      <c r="F425" s="0" t="s">
        <v>3530</v>
      </c>
      <c r="G425" s="0" t="s">
        <v>4702</v>
      </c>
    </row>
    <row customHeight="1" ht="11.25">
      <c r="A426" s="527" t="s">
        <v>14</v>
      </c>
      <c r="B426" s="0" t="s">
        <v>4691</v>
      </c>
      <c r="C426" s="0" t="s">
        <v>4692</v>
      </c>
      <c r="D426" s="0" t="s">
        <v>4703</v>
      </c>
      <c r="E426" s="0" t="s">
        <v>4704</v>
      </c>
      <c r="F426" s="0" t="s">
        <v>3530</v>
      </c>
      <c r="G426" s="0" t="s">
        <v>4705</v>
      </c>
    </row>
    <row customHeight="1" ht="11.25">
      <c r="A427" s="527" t="s">
        <v>14</v>
      </c>
      <c r="B427" s="0" t="s">
        <v>4691</v>
      </c>
      <c r="C427" s="0" t="s">
        <v>4692</v>
      </c>
      <c r="D427" s="0" t="s">
        <v>4706</v>
      </c>
      <c r="E427" s="0" t="s">
        <v>4707</v>
      </c>
      <c r="F427" s="0" t="s">
        <v>3530</v>
      </c>
      <c r="G427" s="0" t="s">
        <v>4708</v>
      </c>
    </row>
    <row customHeight="1" ht="11.25">
      <c r="A428" s="527" t="s">
        <v>14</v>
      </c>
      <c r="B428" s="0" t="s">
        <v>4691</v>
      </c>
      <c r="C428" s="0" t="s">
        <v>4692</v>
      </c>
      <c r="D428" s="0" t="s">
        <v>4709</v>
      </c>
      <c r="E428" s="0" t="s">
        <v>4710</v>
      </c>
      <c r="F428" s="0" t="s">
        <v>3530</v>
      </c>
      <c r="G428" s="0" t="s">
        <v>4711</v>
      </c>
    </row>
    <row customHeight="1" ht="11.25">
      <c r="A429" s="527" t="s">
        <v>14</v>
      </c>
      <c r="B429" s="0" t="s">
        <v>4691</v>
      </c>
      <c r="C429" s="0" t="s">
        <v>4692</v>
      </c>
      <c r="D429" s="0" t="s">
        <v>4691</v>
      </c>
      <c r="E429" s="0" t="s">
        <v>4692</v>
      </c>
      <c r="F429" s="0" t="s">
        <v>3527</v>
      </c>
      <c r="G429" s="0" t="s">
        <v>4712</v>
      </c>
    </row>
    <row customHeight="1" ht="11.25">
      <c r="A430" s="527" t="s">
        <v>14</v>
      </c>
      <c r="B430" s="0" t="s">
        <v>4691</v>
      </c>
      <c r="C430" s="0" t="s">
        <v>4692</v>
      </c>
      <c r="D430" s="0" t="s">
        <v>4713</v>
      </c>
      <c r="E430" s="0" t="s">
        <v>4714</v>
      </c>
      <c r="F430" s="0" t="s">
        <v>3530</v>
      </c>
      <c r="G430" s="0" t="s">
        <v>4715</v>
      </c>
    </row>
    <row customHeight="1" ht="11.25">
      <c r="A431" s="527" t="s">
        <v>14</v>
      </c>
      <c r="B431" s="0" t="s">
        <v>4691</v>
      </c>
      <c r="C431" s="0" t="s">
        <v>4692</v>
      </c>
      <c r="D431" s="0" t="s">
        <v>4551</v>
      </c>
      <c r="E431" s="0" t="s">
        <v>4716</v>
      </c>
      <c r="F431" s="0" t="s">
        <v>3530</v>
      </c>
      <c r="G431" s="0" t="s">
        <v>4717</v>
      </c>
    </row>
    <row customHeight="1" ht="11.25">
      <c r="A432" s="527" t="s">
        <v>14</v>
      </c>
      <c r="B432" s="0" t="s">
        <v>4718</v>
      </c>
      <c r="C432" s="0" t="s">
        <v>4719</v>
      </c>
      <c r="D432" s="0" t="s">
        <v>3918</v>
      </c>
      <c r="E432" s="0" t="s">
        <v>4720</v>
      </c>
      <c r="F432" s="0" t="s">
        <v>3530</v>
      </c>
      <c r="G432" s="0" t="s">
        <v>4721</v>
      </c>
    </row>
    <row customHeight="1" ht="11.25">
      <c r="A433" s="527" t="s">
        <v>14</v>
      </c>
      <c r="B433" s="0" t="s">
        <v>4718</v>
      </c>
      <c r="C433" s="0" t="s">
        <v>4719</v>
      </c>
      <c r="D433" s="0" t="s">
        <v>4722</v>
      </c>
      <c r="E433" s="0" t="s">
        <v>4723</v>
      </c>
      <c r="F433" s="0" t="s">
        <v>3530</v>
      </c>
      <c r="G433" s="0" t="s">
        <v>4724</v>
      </c>
    </row>
    <row customHeight="1" ht="11.25">
      <c r="A434" s="527" t="s">
        <v>14</v>
      </c>
      <c r="B434" s="0" t="s">
        <v>4718</v>
      </c>
      <c r="C434" s="0" t="s">
        <v>4719</v>
      </c>
      <c r="D434" s="0" t="s">
        <v>4725</v>
      </c>
      <c r="E434" s="0" t="s">
        <v>4726</v>
      </c>
      <c r="F434" s="0" t="s">
        <v>3530</v>
      </c>
      <c r="G434" s="0" t="s">
        <v>4727</v>
      </c>
    </row>
    <row customHeight="1" ht="11.25">
      <c r="A435" s="527" t="s">
        <v>14</v>
      </c>
      <c r="B435" s="0" t="s">
        <v>4718</v>
      </c>
      <c r="C435" s="0" t="s">
        <v>4719</v>
      </c>
      <c r="D435" s="0" t="s">
        <v>4728</v>
      </c>
      <c r="E435" s="0" t="s">
        <v>4729</v>
      </c>
      <c r="F435" s="0" t="s">
        <v>3530</v>
      </c>
      <c r="G435" s="0" t="s">
        <v>4730</v>
      </c>
    </row>
    <row customHeight="1" ht="11.25">
      <c r="A436" s="527" t="s">
        <v>14</v>
      </c>
      <c r="B436" s="0" t="s">
        <v>4718</v>
      </c>
      <c r="C436" s="0" t="s">
        <v>4719</v>
      </c>
      <c r="D436" s="0" t="s">
        <v>4731</v>
      </c>
      <c r="E436" s="0" t="s">
        <v>4732</v>
      </c>
      <c r="F436" s="0" t="s">
        <v>3530</v>
      </c>
      <c r="G436" s="0" t="s">
        <v>4733</v>
      </c>
    </row>
    <row customHeight="1" ht="11.25">
      <c r="A437" s="527" t="s">
        <v>14</v>
      </c>
      <c r="B437" s="0" t="s">
        <v>4718</v>
      </c>
      <c r="C437" s="0" t="s">
        <v>4719</v>
      </c>
      <c r="D437" s="0" t="s">
        <v>4734</v>
      </c>
      <c r="E437" s="0" t="s">
        <v>4735</v>
      </c>
      <c r="F437" s="0" t="s">
        <v>3530</v>
      </c>
      <c r="G437" s="0" t="s">
        <v>4736</v>
      </c>
    </row>
    <row customHeight="1" ht="11.25">
      <c r="A438" s="527" t="s">
        <v>14</v>
      </c>
      <c r="B438" s="0" t="s">
        <v>4718</v>
      </c>
      <c r="C438" s="0" t="s">
        <v>4719</v>
      </c>
      <c r="D438" s="0" t="s">
        <v>4718</v>
      </c>
      <c r="E438" s="0" t="s">
        <v>4719</v>
      </c>
      <c r="F438" s="0" t="s">
        <v>3527</v>
      </c>
      <c r="G438" s="0" t="s">
        <v>4737</v>
      </c>
    </row>
    <row customHeight="1" ht="11.25">
      <c r="A439" s="527" t="s">
        <v>14</v>
      </c>
      <c r="B439" s="0" t="s">
        <v>4718</v>
      </c>
      <c r="C439" s="0" t="s">
        <v>4719</v>
      </c>
      <c r="D439" s="0" t="s">
        <v>4738</v>
      </c>
      <c r="E439" s="0" t="s">
        <v>4739</v>
      </c>
      <c r="F439" s="0" t="s">
        <v>3569</v>
      </c>
      <c r="G439" s="0" t="s">
        <v>4740</v>
      </c>
    </row>
    <row customHeight="1" ht="11.25">
      <c r="A440" s="527" t="s">
        <v>14</v>
      </c>
      <c r="B440" s="0" t="s">
        <v>4741</v>
      </c>
      <c r="C440" s="0" t="s">
        <v>4742</v>
      </c>
      <c r="D440" s="0" t="s">
        <v>4743</v>
      </c>
      <c r="E440" s="0" t="s">
        <v>4744</v>
      </c>
      <c r="F440" s="0" t="s">
        <v>3530</v>
      </c>
      <c r="G440" s="0" t="s">
        <v>4745</v>
      </c>
    </row>
    <row customHeight="1" ht="11.25">
      <c r="A441" s="527" t="s">
        <v>14</v>
      </c>
      <c r="B441" s="0" t="s">
        <v>4741</v>
      </c>
      <c r="C441" s="0" t="s">
        <v>4742</v>
      </c>
      <c r="D441" s="0" t="s">
        <v>3854</v>
      </c>
      <c r="E441" s="0" t="s">
        <v>4746</v>
      </c>
      <c r="F441" s="0" t="s">
        <v>3530</v>
      </c>
      <c r="G441" s="0" t="s">
        <v>4747</v>
      </c>
    </row>
    <row customHeight="1" ht="11.25">
      <c r="A442" s="527" t="s">
        <v>14</v>
      </c>
      <c r="B442" s="0" t="s">
        <v>4741</v>
      </c>
      <c r="C442" s="0" t="s">
        <v>4742</v>
      </c>
      <c r="D442" s="0" t="s">
        <v>4748</v>
      </c>
      <c r="E442" s="0" t="s">
        <v>4749</v>
      </c>
      <c r="F442" s="0" t="s">
        <v>3530</v>
      </c>
      <c r="G442" s="0" t="s">
        <v>4750</v>
      </c>
    </row>
    <row customHeight="1" ht="11.25">
      <c r="A443" s="527" t="s">
        <v>14</v>
      </c>
      <c r="B443" s="0" t="s">
        <v>4741</v>
      </c>
      <c r="C443" s="0" t="s">
        <v>4742</v>
      </c>
      <c r="D443" s="0" t="s">
        <v>3896</v>
      </c>
      <c r="E443" s="0" t="s">
        <v>4751</v>
      </c>
      <c r="F443" s="0" t="s">
        <v>3530</v>
      </c>
      <c r="G443" s="0" t="s">
        <v>4752</v>
      </c>
    </row>
    <row customHeight="1" ht="11.25">
      <c r="A444" s="527" t="s">
        <v>14</v>
      </c>
      <c r="B444" s="0" t="s">
        <v>4741</v>
      </c>
      <c r="C444" s="0" t="s">
        <v>4742</v>
      </c>
      <c r="D444" s="0" t="s">
        <v>4753</v>
      </c>
      <c r="E444" s="0" t="s">
        <v>4754</v>
      </c>
      <c r="F444" s="0" t="s">
        <v>3530</v>
      </c>
      <c r="G444" s="0" t="s">
        <v>4755</v>
      </c>
    </row>
    <row customHeight="1" ht="11.25">
      <c r="A445" s="527" t="s">
        <v>14</v>
      </c>
      <c r="B445" s="0" t="s">
        <v>4741</v>
      </c>
      <c r="C445" s="0" t="s">
        <v>4742</v>
      </c>
      <c r="D445" s="0" t="s">
        <v>4756</v>
      </c>
      <c r="E445" s="0" t="s">
        <v>4757</v>
      </c>
      <c r="F445" s="0" t="s">
        <v>3530</v>
      </c>
      <c r="G445" s="0" t="s">
        <v>4758</v>
      </c>
    </row>
    <row customHeight="1" ht="11.25">
      <c r="A446" s="527" t="s">
        <v>14</v>
      </c>
      <c r="B446" s="0" t="s">
        <v>4741</v>
      </c>
      <c r="C446" s="0" t="s">
        <v>4742</v>
      </c>
      <c r="D446" s="0" t="s">
        <v>4759</v>
      </c>
      <c r="E446" s="0" t="s">
        <v>4760</v>
      </c>
      <c r="F446" s="0" t="s">
        <v>3530</v>
      </c>
      <c r="G446" s="0" t="s">
        <v>4761</v>
      </c>
    </row>
    <row customHeight="1" ht="11.25">
      <c r="A447" s="527" t="s">
        <v>14</v>
      </c>
      <c r="B447" s="0" t="s">
        <v>4741</v>
      </c>
      <c r="C447" s="0" t="s">
        <v>4742</v>
      </c>
      <c r="D447" s="0" t="s">
        <v>4762</v>
      </c>
      <c r="E447" s="0" t="s">
        <v>4763</v>
      </c>
      <c r="F447" s="0" t="s">
        <v>3530</v>
      </c>
      <c r="G447" s="0" t="s">
        <v>4764</v>
      </c>
    </row>
    <row customHeight="1" ht="11.25">
      <c r="A448" s="527" t="s">
        <v>14</v>
      </c>
      <c r="B448" s="0" t="s">
        <v>4741</v>
      </c>
      <c r="C448" s="0" t="s">
        <v>4742</v>
      </c>
      <c r="D448" s="0" t="s">
        <v>4765</v>
      </c>
      <c r="E448" s="0" t="s">
        <v>4766</v>
      </c>
      <c r="F448" s="0" t="s">
        <v>3530</v>
      </c>
      <c r="G448" s="0" t="s">
        <v>4767</v>
      </c>
    </row>
    <row customHeight="1" ht="11.25">
      <c r="A449" s="527" t="s">
        <v>14</v>
      </c>
      <c r="B449" s="0" t="s">
        <v>4741</v>
      </c>
      <c r="C449" s="0" t="s">
        <v>4742</v>
      </c>
      <c r="D449" s="0" t="s">
        <v>4768</v>
      </c>
      <c r="E449" s="0" t="s">
        <v>4769</v>
      </c>
      <c r="F449" s="0" t="s">
        <v>3530</v>
      </c>
      <c r="G449" s="0" t="s">
        <v>4770</v>
      </c>
    </row>
    <row customHeight="1" ht="11.25">
      <c r="A450" s="527" t="s">
        <v>14</v>
      </c>
      <c r="B450" s="0" t="s">
        <v>4741</v>
      </c>
      <c r="C450" s="0" t="s">
        <v>4742</v>
      </c>
      <c r="D450" s="0" t="s">
        <v>4771</v>
      </c>
      <c r="E450" s="0" t="s">
        <v>4772</v>
      </c>
      <c r="F450" s="0" t="s">
        <v>3530</v>
      </c>
      <c r="G450" s="0" t="s">
        <v>4773</v>
      </c>
    </row>
    <row customHeight="1" ht="11.25">
      <c r="A451" s="527" t="s">
        <v>14</v>
      </c>
      <c r="B451" s="0" t="s">
        <v>4741</v>
      </c>
      <c r="C451" s="0" t="s">
        <v>4742</v>
      </c>
      <c r="D451" s="0" t="s">
        <v>4741</v>
      </c>
      <c r="E451" s="0" t="s">
        <v>4742</v>
      </c>
      <c r="F451" s="0" t="s">
        <v>3527</v>
      </c>
      <c r="G451" s="0" t="s">
        <v>4774</v>
      </c>
    </row>
    <row customHeight="1" ht="11.25">
      <c r="A452" s="527" t="s">
        <v>14</v>
      </c>
      <c r="B452" s="0" t="s">
        <v>4741</v>
      </c>
      <c r="C452" s="0" t="s">
        <v>4742</v>
      </c>
      <c r="D452" s="0" t="s">
        <v>4775</v>
      </c>
      <c r="E452" s="0" t="s">
        <v>4776</v>
      </c>
      <c r="F452" s="0" t="s">
        <v>3530</v>
      </c>
      <c r="G452" s="0" t="s">
        <v>4777</v>
      </c>
    </row>
    <row customHeight="1" ht="11.25">
      <c r="A453" s="527" t="s">
        <v>14</v>
      </c>
      <c r="B453" s="0" t="s">
        <v>4741</v>
      </c>
      <c r="C453" s="0" t="s">
        <v>4742</v>
      </c>
      <c r="D453" s="0" t="s">
        <v>4778</v>
      </c>
      <c r="E453" s="0" t="s">
        <v>4779</v>
      </c>
      <c r="F453" s="0" t="s">
        <v>3530</v>
      </c>
      <c r="G453" s="0" t="s">
        <v>4780</v>
      </c>
    </row>
    <row customHeight="1" ht="11.25">
      <c r="A454" s="527" t="s">
        <v>14</v>
      </c>
      <c r="B454" s="0" t="s">
        <v>4741</v>
      </c>
      <c r="C454" s="0" t="s">
        <v>4742</v>
      </c>
      <c r="D454" s="0" t="s">
        <v>4781</v>
      </c>
      <c r="E454" s="0" t="s">
        <v>4782</v>
      </c>
      <c r="F454" s="0" t="s">
        <v>3530</v>
      </c>
      <c r="G454" s="0" t="s">
        <v>4783</v>
      </c>
    </row>
    <row customHeight="1" ht="11.25">
      <c r="A455" s="527" t="s">
        <v>14</v>
      </c>
      <c r="B455" s="0" t="s">
        <v>4784</v>
      </c>
      <c r="C455" s="0" t="s">
        <v>4785</v>
      </c>
      <c r="D455" s="0" t="s">
        <v>4786</v>
      </c>
      <c r="E455" s="0" t="s">
        <v>4787</v>
      </c>
      <c r="F455" s="0" t="s">
        <v>3530</v>
      </c>
      <c r="G455" s="0" t="s">
        <v>4788</v>
      </c>
    </row>
    <row customHeight="1" ht="11.25">
      <c r="A456" s="527" t="s">
        <v>14</v>
      </c>
      <c r="B456" s="0" t="s">
        <v>4784</v>
      </c>
      <c r="C456" s="0" t="s">
        <v>4785</v>
      </c>
      <c r="D456" s="0" t="s">
        <v>4789</v>
      </c>
      <c r="E456" s="0" t="s">
        <v>4790</v>
      </c>
      <c r="F456" s="0" t="s">
        <v>3530</v>
      </c>
      <c r="G456" s="0" t="s">
        <v>4791</v>
      </c>
    </row>
    <row customHeight="1" ht="11.25">
      <c r="A457" s="527" t="s">
        <v>14</v>
      </c>
      <c r="B457" s="0" t="s">
        <v>4784</v>
      </c>
      <c r="C457" s="0" t="s">
        <v>4785</v>
      </c>
      <c r="D457" s="0" t="s">
        <v>4792</v>
      </c>
      <c r="E457" s="0" t="s">
        <v>4793</v>
      </c>
      <c r="F457" s="0" t="s">
        <v>3530</v>
      </c>
      <c r="G457" s="0" t="s">
        <v>4794</v>
      </c>
    </row>
    <row customHeight="1" ht="11.25">
      <c r="A458" s="527" t="s">
        <v>14</v>
      </c>
      <c r="B458" s="0" t="s">
        <v>4784</v>
      </c>
      <c r="C458" s="0" t="s">
        <v>4785</v>
      </c>
      <c r="D458" s="0" t="s">
        <v>4795</v>
      </c>
      <c r="E458" s="0" t="s">
        <v>4796</v>
      </c>
      <c r="F458" s="0" t="s">
        <v>3530</v>
      </c>
      <c r="G458" s="0" t="s">
        <v>4797</v>
      </c>
    </row>
    <row customHeight="1" ht="11.25">
      <c r="A459" s="527" t="s">
        <v>14</v>
      </c>
      <c r="B459" s="0" t="s">
        <v>4784</v>
      </c>
      <c r="C459" s="0" t="s">
        <v>4785</v>
      </c>
      <c r="D459" s="0" t="s">
        <v>3918</v>
      </c>
      <c r="E459" s="0" t="s">
        <v>4798</v>
      </c>
      <c r="F459" s="0" t="s">
        <v>3530</v>
      </c>
      <c r="G459" s="0" t="s">
        <v>4799</v>
      </c>
    </row>
    <row customHeight="1" ht="11.25">
      <c r="A460" s="527" t="s">
        <v>14</v>
      </c>
      <c r="B460" s="0" t="s">
        <v>4784</v>
      </c>
      <c r="C460" s="0" t="s">
        <v>4785</v>
      </c>
      <c r="D460" s="0" t="s">
        <v>4800</v>
      </c>
      <c r="E460" s="0" t="s">
        <v>4801</v>
      </c>
      <c r="F460" s="0" t="s">
        <v>3530</v>
      </c>
      <c r="G460" s="0" t="s">
        <v>4802</v>
      </c>
    </row>
    <row customHeight="1" ht="11.25">
      <c r="A461" s="527" t="s">
        <v>14</v>
      </c>
      <c r="B461" s="0" t="s">
        <v>4784</v>
      </c>
      <c r="C461" s="0" t="s">
        <v>4785</v>
      </c>
      <c r="D461" s="0" t="s">
        <v>4803</v>
      </c>
      <c r="E461" s="0" t="s">
        <v>4804</v>
      </c>
      <c r="F461" s="0" t="s">
        <v>3530</v>
      </c>
      <c r="G461" s="0" t="s">
        <v>4805</v>
      </c>
    </row>
    <row customHeight="1" ht="11.25">
      <c r="A462" s="527" t="s">
        <v>14</v>
      </c>
      <c r="B462" s="0" t="s">
        <v>4784</v>
      </c>
      <c r="C462" s="0" t="s">
        <v>4785</v>
      </c>
      <c r="D462" s="0" t="s">
        <v>4806</v>
      </c>
      <c r="E462" s="0" t="s">
        <v>4807</v>
      </c>
      <c r="F462" s="0" t="s">
        <v>3530</v>
      </c>
      <c r="G462" s="0" t="s">
        <v>4808</v>
      </c>
    </row>
    <row customHeight="1" ht="11.25">
      <c r="A463" s="527" t="s">
        <v>14</v>
      </c>
      <c r="B463" s="0" t="s">
        <v>4784</v>
      </c>
      <c r="C463" s="0" t="s">
        <v>4785</v>
      </c>
      <c r="D463" s="0" t="s">
        <v>4809</v>
      </c>
      <c r="E463" s="0" t="s">
        <v>4810</v>
      </c>
      <c r="F463" s="0" t="s">
        <v>3530</v>
      </c>
      <c r="G463" s="0" t="s">
        <v>4811</v>
      </c>
    </row>
    <row customHeight="1" ht="11.25">
      <c r="A464" s="527" t="s">
        <v>14</v>
      </c>
      <c r="B464" s="0" t="s">
        <v>4784</v>
      </c>
      <c r="C464" s="0" t="s">
        <v>4785</v>
      </c>
      <c r="D464" s="0" t="s">
        <v>4784</v>
      </c>
      <c r="E464" s="0" t="s">
        <v>4785</v>
      </c>
      <c r="F464" s="0" t="s">
        <v>3527</v>
      </c>
      <c r="G464" s="0" t="s">
        <v>4812</v>
      </c>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9CA4374-4376-1B22-044C-378A02ACCB4F}" mc:Ignorable="x14ac xr xr2 xr3">
  <sheetPr>
    <tabColor rgb="FFFFCC99"/>
  </sheetPr>
  <dimension ref="A1:I1"/>
  <sheetViews>
    <sheetView topLeftCell="A1" showGridLines="0" workbookViewId="0">
      <selection activeCell="A1" sqref="A1"/>
    </sheetView>
  </sheetViews>
  <sheetFormatPr defaultColWidth="9.140625" customHeight="1" defaultRowHeight="11.25"/>
  <cols>
    <col min="1" max="1" style="10542" width="13.8515625" customWidth="1"/>
    <col min="2" max="2" style="10542" width="10.421875" customWidth="1"/>
    <col min="3" max="3" style="10543" width="7.57421875" customWidth="1"/>
    <col min="4" max="4" style="10542" width="13.8515625" customWidth="1"/>
    <col min="5" max="5" style="10542" width="11.57421875" customWidth="1"/>
    <col min="6" max="6" style="10542" width="16.28125" customWidth="1"/>
    <col min="7" max="7" style="10542" width="16.00390625" customWidth="1"/>
    <col min="8" max="9" style="10542" width="16.140625" customWidth="1"/>
  </cols>
  <sheetData>
    <row customHeight="1" ht="11.25">
      <c r="A1" s="989" t="s">
        <v>4813</v>
      </c>
      <c r="B1" s="989" t="s">
        <v>4814</v>
      </c>
      <c r="C1" s="1315" t="s">
        <v>4815</v>
      </c>
      <c r="D1" s="989" t="s">
        <v>4816</v>
      </c>
      <c r="E1" s="989" t="s">
        <v>4817</v>
      </c>
      <c r="F1" s="1315" t="s">
        <v>4818</v>
      </c>
      <c r="G1" s="1315" t="s">
        <v>4819</v>
      </c>
      <c r="H1" s="1315" t="s">
        <v>4820</v>
      </c>
      <c r="I1" s="1315" t="s">
        <v>4821</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B868268-990B-989C-4D3D-5F18420953CD}" mc:Ignorable="x14ac xr xr2 xr3">
  <sheetPr>
    <tabColor rgb="FFFFCC99"/>
  </sheetPr>
  <dimension ref="A1:A1"/>
  <sheetViews>
    <sheetView topLeftCell="A1"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D66C705-0FF5-5418-5A6E-99877E78FD78}" mc:Ignorable="x14ac xr xr2 xr3">
  <sheetPr>
    <tabColor rgb="FFFFCC99"/>
  </sheetPr>
  <dimension ref="A1:B2"/>
  <sheetViews>
    <sheetView topLeftCell="A1" showGridLines="0" workbookViewId="0">
      <selection activeCell="A1" sqref="A1"/>
    </sheetView>
  </sheetViews>
  <sheetFormatPr defaultColWidth="9.140625" customHeight="1" defaultRowHeight="11.25"/>
  <cols>
    <col min="1" max="2" style="80" width="9.140625"/>
  </cols>
  <sheetData>
    <row customHeight="1" ht="11.25">
      <c r="A1" s="80" t="s">
        <v>127</v>
      </c>
      <c r="B1" s="80" t="s">
        <v>4822</v>
      </c>
    </row>
    <row customHeight="1" ht="11.25">
      <c r="A2" s="215" t="s">
        <v>95</v>
      </c>
      <c r="B2" s="215" t="s">
        <v>4823</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97B455C-F26A-FBD8-2CAF-D8DCFD60BC13}" mc:Ignorable="x14ac xr xr2 xr3">
  <sheetPr>
    <tabColor rgb="FFFFCC99"/>
  </sheetPr>
  <dimension ref="A1:B11"/>
  <sheetViews>
    <sheetView topLeftCell="A1" showGridLines="0" workbookViewId="0">
      <selection activeCell="A1" sqref="A1"/>
    </sheetView>
  </sheetViews>
  <sheetFormatPr defaultColWidth="9.140625" customHeight="1" defaultRowHeight="11.25"/>
  <cols>
    <col min="1" max="1" style="10542" width="9.140625"/>
    <col min="2" max="2" style="10542" width="65.28125" customWidth="1"/>
  </cols>
  <sheetData>
    <row customHeight="1" ht="11.25">
      <c r="A1" s="989" t="s">
        <v>4824</v>
      </c>
      <c r="B1" s="989" t="s">
        <v>4825</v>
      </c>
    </row>
    <row customHeight="1" ht="11.25">
      <c r="A2" s="989">
        <v>4213775</v>
      </c>
      <c r="B2" s="989" t="s">
        <v>1136</v>
      </c>
    </row>
    <row customHeight="1" ht="11.25">
      <c r="A3" s="989">
        <v>4213784</v>
      </c>
      <c r="B3" s="989" t="s">
        <v>1171</v>
      </c>
    </row>
    <row customHeight="1" ht="11.25">
      <c r="A4" s="989">
        <v>4213781</v>
      </c>
      <c r="B4" s="989" t="s">
        <v>1164</v>
      </c>
    </row>
    <row customHeight="1" ht="11.25">
      <c r="A5" s="989">
        <v>4213776</v>
      </c>
      <c r="B5" s="989" t="s">
        <v>163</v>
      </c>
    </row>
    <row customHeight="1" ht="11.25">
      <c r="A6" s="989">
        <v>4213777</v>
      </c>
      <c r="B6" s="989" t="s">
        <v>169</v>
      </c>
    </row>
    <row customHeight="1" ht="11.25">
      <c r="A7" s="989">
        <v>4213778</v>
      </c>
      <c r="B7" s="989" t="s">
        <v>175</v>
      </c>
    </row>
    <row customHeight="1" ht="11.25">
      <c r="A8" s="989">
        <v>4213780</v>
      </c>
      <c r="B8" s="989" t="s">
        <v>181</v>
      </c>
    </row>
    <row customHeight="1" ht="11.25">
      <c r="A9" s="989">
        <v>4213779</v>
      </c>
      <c r="B9" s="989" t="s">
        <v>1305</v>
      </c>
    </row>
    <row customHeight="1" ht="11.25">
      <c r="A10" s="989">
        <v>4213783</v>
      </c>
      <c r="B10" s="989" t="s">
        <v>199</v>
      </c>
    </row>
    <row customHeight="1" ht="11.25">
      <c r="A11" s="989">
        <v>4213782</v>
      </c>
      <c r="B11" s="989" t="s">
        <v>187</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2E6091F-F18E-E381-09D5-3F63D90439B6}" mc:Ignorable="x14ac xr xr2 xr3">
  <sheetPr>
    <tabColor rgb="FFFFCC99"/>
  </sheetPr>
  <dimension ref="A1:B4"/>
  <sheetViews>
    <sheetView topLeftCell="A1" showGridLines="0" workbookViewId="0">
      <selection activeCell="A1" sqref="A1"/>
    </sheetView>
  </sheetViews>
  <sheetFormatPr defaultColWidth="9.140625" customHeight="1" defaultRowHeight="11.25"/>
  <cols>
    <col min="1" max="1" style="10542" width="9.140625"/>
    <col min="2" max="2" style="10542" width="65.28125" customWidth="1"/>
  </cols>
  <sheetData>
    <row customHeight="1" ht="11.25">
      <c r="A1" s="989" t="s">
        <v>4824</v>
      </c>
      <c r="B1" s="989" t="s">
        <v>4826</v>
      </c>
    </row>
    <row customHeight="1" ht="11.25">
      <c r="A2" s="989" t="s">
        <v>4827</v>
      </c>
      <c r="B2" s="989" t="s">
        <v>1418</v>
      </c>
    </row>
    <row customHeight="1" ht="11.25">
      <c r="A3" s="989" t="s">
        <v>4828</v>
      </c>
      <c r="B3" s="989" t="s">
        <v>1428</v>
      </c>
    </row>
    <row customHeight="1" ht="11.25">
      <c r="A4" s="989" t="s">
        <v>4829</v>
      </c>
      <c r="B4" s="989" t="s">
        <v>1437</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7BA6BE2-175D-CA19-5644-8C703E039603}" mc:Ignorable="x14ac xr xr2 xr3">
  <sheetPr>
    <tabColor rgb="FFFFCC99"/>
  </sheetPr>
  <dimension ref="A1:G464"/>
  <sheetViews>
    <sheetView topLeftCell="A1" showGridLines="0" workbookViewId="0">
      <selection activeCell="A1" sqref="A1"/>
    </sheetView>
  </sheetViews>
  <sheetFormatPr customHeight="1" defaultRowHeight="11.25"/>
  <sheetData>
    <row customHeight="1" ht="11.25">
      <c r="A1" s="527" t="s">
        <v>3518</v>
      </c>
      <c r="B1" s="527" t="s">
        <v>3519</v>
      </c>
      <c r="C1" s="527" t="s">
        <v>3520</v>
      </c>
      <c r="D1" s="527" t="s">
        <v>3521</v>
      </c>
      <c r="E1" s="0" t="s">
        <v>3522</v>
      </c>
      <c r="F1" s="0" t="s">
        <v>3523</v>
      </c>
      <c r="G1" s="0" t="s">
        <v>3524</v>
      </c>
    </row>
    <row customHeight="1" ht="11.25">
      <c r="A2" s="0" t="s">
        <v>14</v>
      </c>
      <c r="B2" s="0" t="s">
        <v>3525</v>
      </c>
      <c r="C2" s="0" t="s">
        <v>3526</v>
      </c>
      <c r="D2" s="0" t="s">
        <v>3525</v>
      </c>
      <c r="E2" s="0" t="s">
        <v>3526</v>
      </c>
      <c r="F2" s="0" t="s">
        <v>3527</v>
      </c>
      <c r="G2" s="0" t="s">
        <v>106</v>
      </c>
    </row>
    <row customHeight="1" ht="11.25">
      <c r="A3" s="0" t="s">
        <v>14</v>
      </c>
      <c r="B3" s="0" t="s">
        <v>3525</v>
      </c>
      <c r="C3" s="0" t="s">
        <v>3526</v>
      </c>
      <c r="D3" s="0" t="s">
        <v>3528</v>
      </c>
      <c r="E3" s="0" t="s">
        <v>3529</v>
      </c>
      <c r="F3" s="0" t="s">
        <v>3530</v>
      </c>
      <c r="G3" s="0" t="s">
        <v>107</v>
      </c>
    </row>
    <row customHeight="1" ht="11.25">
      <c r="A4" s="0" t="s">
        <v>14</v>
      </c>
      <c r="B4" s="0" t="s">
        <v>3525</v>
      </c>
      <c r="C4" s="0" t="s">
        <v>3526</v>
      </c>
      <c r="D4" s="0" t="s">
        <v>3531</v>
      </c>
      <c r="E4" s="0" t="s">
        <v>3532</v>
      </c>
      <c r="F4" s="0" t="s">
        <v>3530</v>
      </c>
      <c r="G4" s="0" t="s">
        <v>87</v>
      </c>
    </row>
    <row customHeight="1" ht="11.25">
      <c r="A5" s="0" t="s">
        <v>14</v>
      </c>
      <c r="B5" s="0" t="s">
        <v>3525</v>
      </c>
      <c r="C5" s="0" t="s">
        <v>3526</v>
      </c>
      <c r="D5" s="0" t="s">
        <v>3533</v>
      </c>
      <c r="E5" s="0" t="s">
        <v>3534</v>
      </c>
      <c r="F5" s="0" t="s">
        <v>3530</v>
      </c>
      <c r="G5" s="0" t="s">
        <v>88</v>
      </c>
    </row>
    <row customHeight="1" ht="11.25">
      <c r="A6" s="0" t="s">
        <v>14</v>
      </c>
      <c r="B6" s="0" t="s">
        <v>3525</v>
      </c>
      <c r="C6" s="0" t="s">
        <v>3526</v>
      </c>
      <c r="D6" s="0" t="s">
        <v>3535</v>
      </c>
      <c r="E6" s="0" t="s">
        <v>3536</v>
      </c>
      <c r="F6" s="0" t="s">
        <v>3530</v>
      </c>
      <c r="G6" s="0" t="s">
        <v>108</v>
      </c>
    </row>
    <row customHeight="1" ht="11.25">
      <c r="A7" s="0" t="s">
        <v>14</v>
      </c>
      <c r="B7" s="0" t="s">
        <v>3525</v>
      </c>
      <c r="C7" s="0" t="s">
        <v>3526</v>
      </c>
      <c r="D7" s="0" t="s">
        <v>3537</v>
      </c>
      <c r="E7" s="0" t="s">
        <v>3538</v>
      </c>
      <c r="F7" s="0" t="s">
        <v>3530</v>
      </c>
      <c r="G7" s="0" t="s">
        <v>89</v>
      </c>
    </row>
    <row customHeight="1" ht="11.25">
      <c r="A8" s="0" t="s">
        <v>14</v>
      </c>
      <c r="B8" s="0" t="s">
        <v>3525</v>
      </c>
      <c r="C8" s="0" t="s">
        <v>3526</v>
      </c>
      <c r="D8" s="0" t="s">
        <v>3539</v>
      </c>
      <c r="E8" s="0" t="s">
        <v>3540</v>
      </c>
      <c r="F8" s="0" t="s">
        <v>3530</v>
      </c>
      <c r="G8" s="0" t="s">
        <v>90</v>
      </c>
    </row>
    <row customHeight="1" ht="11.25">
      <c r="A9" s="0" t="s">
        <v>14</v>
      </c>
      <c r="B9" s="0" t="s">
        <v>3525</v>
      </c>
      <c r="C9" s="0" t="s">
        <v>3526</v>
      </c>
      <c r="D9" s="0" t="s">
        <v>3541</v>
      </c>
      <c r="E9" s="0" t="s">
        <v>3542</v>
      </c>
      <c r="F9" s="0" t="s">
        <v>3530</v>
      </c>
      <c r="G9" s="0" t="s">
        <v>109</v>
      </c>
    </row>
    <row customHeight="1" ht="11.25">
      <c r="A10" s="0" t="s">
        <v>14</v>
      </c>
      <c r="B10" s="0" t="s">
        <v>3525</v>
      </c>
      <c r="C10" s="0" t="s">
        <v>3526</v>
      </c>
      <c r="D10" s="0" t="s">
        <v>3543</v>
      </c>
      <c r="E10" s="0" t="s">
        <v>3544</v>
      </c>
      <c r="F10" s="0" t="s">
        <v>3530</v>
      </c>
      <c r="G10" s="0" t="s">
        <v>145</v>
      </c>
    </row>
    <row customHeight="1" ht="11.25">
      <c r="A11" s="0" t="s">
        <v>14</v>
      </c>
      <c r="B11" s="0" t="s">
        <v>3525</v>
      </c>
      <c r="C11" s="0" t="s">
        <v>3526</v>
      </c>
      <c r="D11" s="0" t="s">
        <v>3545</v>
      </c>
      <c r="E11" s="0" t="s">
        <v>3546</v>
      </c>
      <c r="F11" s="0" t="s">
        <v>3530</v>
      </c>
      <c r="G11" s="0" t="s">
        <v>146</v>
      </c>
    </row>
    <row customHeight="1" ht="11.25">
      <c r="A12" s="0" t="s">
        <v>14</v>
      </c>
      <c r="B12" s="0" t="s">
        <v>3525</v>
      </c>
      <c r="C12" s="0" t="s">
        <v>3526</v>
      </c>
      <c r="D12" s="0" t="s">
        <v>3547</v>
      </c>
      <c r="E12" s="0" t="s">
        <v>3548</v>
      </c>
      <c r="F12" s="0" t="s">
        <v>3530</v>
      </c>
      <c r="G12" s="0" t="s">
        <v>147</v>
      </c>
    </row>
    <row customHeight="1" ht="11.25">
      <c r="A13" s="0" t="s">
        <v>14</v>
      </c>
      <c r="B13" s="0" t="s">
        <v>3525</v>
      </c>
      <c r="C13" s="0" t="s">
        <v>3526</v>
      </c>
      <c r="D13" s="0" t="s">
        <v>3549</v>
      </c>
      <c r="E13" s="0" t="s">
        <v>3550</v>
      </c>
      <c r="F13" s="0" t="s">
        <v>3530</v>
      </c>
      <c r="G13" s="0" t="s">
        <v>148</v>
      </c>
    </row>
    <row customHeight="1" ht="11.25">
      <c r="A14" s="0" t="s">
        <v>14</v>
      </c>
      <c r="B14" s="0" t="s">
        <v>3525</v>
      </c>
      <c r="C14" s="0" t="s">
        <v>3526</v>
      </c>
      <c r="D14" s="0" t="s">
        <v>3551</v>
      </c>
      <c r="E14" s="0" t="s">
        <v>3552</v>
      </c>
      <c r="F14" s="0" t="s">
        <v>3530</v>
      </c>
      <c r="G14" s="0" t="s">
        <v>149</v>
      </c>
    </row>
    <row customHeight="1" ht="11.25">
      <c r="A15" s="0" t="s">
        <v>14</v>
      </c>
      <c r="B15" s="0" t="s">
        <v>3525</v>
      </c>
      <c r="C15" s="0" t="s">
        <v>3526</v>
      </c>
      <c r="D15" s="0" t="s">
        <v>3553</v>
      </c>
      <c r="E15" s="0" t="s">
        <v>3554</v>
      </c>
      <c r="F15" s="0" t="s">
        <v>3530</v>
      </c>
      <c r="G15" s="0" t="s">
        <v>150</v>
      </c>
    </row>
    <row customHeight="1" ht="11.25">
      <c r="A16" s="0" t="s">
        <v>14</v>
      </c>
      <c r="B16" s="0" t="s">
        <v>3525</v>
      </c>
      <c r="C16" s="0" t="s">
        <v>3526</v>
      </c>
      <c r="D16" s="0" t="s">
        <v>3555</v>
      </c>
      <c r="E16" s="0" t="s">
        <v>3556</v>
      </c>
      <c r="F16" s="0" t="s">
        <v>3530</v>
      </c>
      <c r="G16" s="0" t="s">
        <v>1379</v>
      </c>
    </row>
    <row customHeight="1" ht="11.25">
      <c r="A17" s="0" t="s">
        <v>14</v>
      </c>
      <c r="B17" s="0" t="s">
        <v>3525</v>
      </c>
      <c r="C17" s="0" t="s">
        <v>3526</v>
      </c>
      <c r="D17" s="0" t="s">
        <v>3557</v>
      </c>
      <c r="E17" s="0" t="s">
        <v>3558</v>
      </c>
      <c r="F17" s="0" t="s">
        <v>3530</v>
      </c>
      <c r="G17" s="0" t="s">
        <v>1385</v>
      </c>
    </row>
    <row customHeight="1" ht="11.25">
      <c r="A18" s="0" t="s">
        <v>14</v>
      </c>
      <c r="B18" s="0" t="s">
        <v>3525</v>
      </c>
      <c r="C18" s="0" t="s">
        <v>3526</v>
      </c>
      <c r="D18" s="0" t="s">
        <v>3559</v>
      </c>
      <c r="E18" s="0" t="s">
        <v>3560</v>
      </c>
      <c r="F18" s="0" t="s">
        <v>3530</v>
      </c>
      <c r="G18" s="0" t="s">
        <v>1396</v>
      </c>
    </row>
    <row customHeight="1" ht="11.25">
      <c r="A19" s="0" t="s">
        <v>14</v>
      </c>
      <c r="B19" s="0" t="s">
        <v>3525</v>
      </c>
      <c r="C19" s="0" t="s">
        <v>3526</v>
      </c>
      <c r="D19" s="0" t="s">
        <v>3561</v>
      </c>
      <c r="E19" s="0" t="s">
        <v>3562</v>
      </c>
      <c r="F19" s="0" t="s">
        <v>3530</v>
      </c>
      <c r="G19" s="0" t="s">
        <v>1410</v>
      </c>
    </row>
    <row customHeight="1" ht="11.25">
      <c r="A20" s="0" t="s">
        <v>14</v>
      </c>
      <c r="B20" s="0" t="s">
        <v>3525</v>
      </c>
      <c r="C20" s="0" t="s">
        <v>3526</v>
      </c>
      <c r="D20" s="0" t="s">
        <v>3563</v>
      </c>
      <c r="E20" s="0" t="s">
        <v>3564</v>
      </c>
      <c r="F20" s="0" t="s">
        <v>3530</v>
      </c>
      <c r="G20" s="0" t="s">
        <v>1422</v>
      </c>
    </row>
    <row customHeight="1" ht="11.25">
      <c r="A21" s="0" t="s">
        <v>14</v>
      </c>
      <c r="B21" s="0" t="s">
        <v>3565</v>
      </c>
      <c r="C21" s="0" t="s">
        <v>3566</v>
      </c>
      <c r="D21" s="0" t="s">
        <v>3565</v>
      </c>
      <c r="E21" s="0" t="s">
        <v>3566</v>
      </c>
      <c r="F21" s="0" t="s">
        <v>3527</v>
      </c>
      <c r="G21" s="0" t="s">
        <v>1431</v>
      </c>
    </row>
    <row customHeight="1" ht="11.25">
      <c r="A22" s="0" t="s">
        <v>14</v>
      </c>
      <c r="B22" s="0" t="s">
        <v>3565</v>
      </c>
      <c r="C22" s="0" t="s">
        <v>3566</v>
      </c>
      <c r="D22" s="0" t="s">
        <v>3567</v>
      </c>
      <c r="E22" s="0" t="s">
        <v>3568</v>
      </c>
      <c r="F22" s="0" t="s">
        <v>3569</v>
      </c>
      <c r="G22" s="0" t="s">
        <v>1447</v>
      </c>
    </row>
    <row customHeight="1" ht="11.25">
      <c r="A23" s="0" t="s">
        <v>14</v>
      </c>
      <c r="B23" s="0" t="s">
        <v>3565</v>
      </c>
      <c r="C23" s="0" t="s">
        <v>3566</v>
      </c>
      <c r="D23" s="0" t="s">
        <v>3570</v>
      </c>
      <c r="E23" s="0" t="s">
        <v>3571</v>
      </c>
      <c r="F23" s="0" t="s">
        <v>3530</v>
      </c>
      <c r="G23" s="0" t="s">
        <v>1454</v>
      </c>
    </row>
    <row customHeight="1" ht="11.25">
      <c r="A24" s="0" t="s">
        <v>14</v>
      </c>
      <c r="B24" s="0" t="s">
        <v>3565</v>
      </c>
      <c r="C24" s="0" t="s">
        <v>3566</v>
      </c>
      <c r="D24" s="0" t="s">
        <v>3572</v>
      </c>
      <c r="E24" s="0" t="s">
        <v>3573</v>
      </c>
      <c r="F24" s="0" t="s">
        <v>3530</v>
      </c>
      <c r="G24" s="0" t="s">
        <v>1462</v>
      </c>
    </row>
    <row customHeight="1" ht="11.25">
      <c r="A25" s="0" t="s">
        <v>14</v>
      </c>
      <c r="B25" s="0" t="s">
        <v>3565</v>
      </c>
      <c r="C25" s="0" t="s">
        <v>3566</v>
      </c>
      <c r="D25" s="0" t="s">
        <v>3574</v>
      </c>
      <c r="E25" s="0" t="s">
        <v>3575</v>
      </c>
      <c r="F25" s="0" t="s">
        <v>3530</v>
      </c>
      <c r="G25" s="0" t="s">
        <v>1469</v>
      </c>
    </row>
    <row customHeight="1" ht="11.25">
      <c r="A26" s="0" t="s">
        <v>14</v>
      </c>
      <c r="B26" s="0" t="s">
        <v>3565</v>
      </c>
      <c r="C26" s="0" t="s">
        <v>3566</v>
      </c>
      <c r="D26" s="0" t="s">
        <v>3576</v>
      </c>
      <c r="E26" s="0" t="s">
        <v>3577</v>
      </c>
      <c r="F26" s="0" t="s">
        <v>3530</v>
      </c>
      <c r="G26" s="0" t="s">
        <v>1473</v>
      </c>
    </row>
    <row customHeight="1" ht="11.25">
      <c r="A27" s="0" t="s">
        <v>14</v>
      </c>
      <c r="B27" s="0" t="s">
        <v>3565</v>
      </c>
      <c r="C27" s="0" t="s">
        <v>3566</v>
      </c>
      <c r="D27" s="0" t="s">
        <v>3578</v>
      </c>
      <c r="E27" s="0" t="s">
        <v>3579</v>
      </c>
      <c r="F27" s="0" t="s">
        <v>3530</v>
      </c>
      <c r="G27" s="0" t="s">
        <v>1478</v>
      </c>
    </row>
    <row customHeight="1" ht="11.25">
      <c r="A28" s="0" t="s">
        <v>14</v>
      </c>
      <c r="B28" s="0" t="s">
        <v>3565</v>
      </c>
      <c r="C28" s="0" t="s">
        <v>3566</v>
      </c>
      <c r="D28" s="0" t="s">
        <v>3580</v>
      </c>
      <c r="E28" s="0" t="s">
        <v>3581</v>
      </c>
      <c r="F28" s="0" t="s">
        <v>3530</v>
      </c>
      <c r="G28" s="0" t="s">
        <v>1486</v>
      </c>
    </row>
    <row customHeight="1" ht="11.25">
      <c r="A29" s="0" t="s">
        <v>14</v>
      </c>
      <c r="B29" s="0" t="s">
        <v>3565</v>
      </c>
      <c r="C29" s="0" t="s">
        <v>3566</v>
      </c>
      <c r="D29" s="0" t="s">
        <v>3582</v>
      </c>
      <c r="E29" s="0" t="s">
        <v>3583</v>
      </c>
      <c r="F29" s="0" t="s">
        <v>3530</v>
      </c>
      <c r="G29" s="0" t="s">
        <v>1488</v>
      </c>
    </row>
    <row customHeight="1" ht="11.25">
      <c r="A30" s="0" t="s">
        <v>14</v>
      </c>
      <c r="B30" s="0" t="s">
        <v>3565</v>
      </c>
      <c r="C30" s="0" t="s">
        <v>3566</v>
      </c>
      <c r="D30" s="0" t="s">
        <v>3584</v>
      </c>
      <c r="E30" s="0" t="s">
        <v>3585</v>
      </c>
      <c r="F30" s="0" t="s">
        <v>3530</v>
      </c>
      <c r="G30" s="0" t="s">
        <v>1491</v>
      </c>
    </row>
    <row customHeight="1" ht="11.25">
      <c r="A31" s="0" t="s">
        <v>14</v>
      </c>
      <c r="B31" s="0" t="s">
        <v>3565</v>
      </c>
      <c r="C31" s="0" t="s">
        <v>3566</v>
      </c>
      <c r="D31" s="0" t="s">
        <v>3586</v>
      </c>
      <c r="E31" s="0" t="s">
        <v>3587</v>
      </c>
      <c r="F31" s="0" t="s">
        <v>3530</v>
      </c>
      <c r="G31" s="0" t="s">
        <v>1496</v>
      </c>
    </row>
    <row customHeight="1" ht="11.25">
      <c r="A32" s="0" t="s">
        <v>14</v>
      </c>
      <c r="B32" s="0" t="s">
        <v>3565</v>
      </c>
      <c r="C32" s="0" t="s">
        <v>3566</v>
      </c>
      <c r="D32" s="0" t="s">
        <v>3588</v>
      </c>
      <c r="E32" s="0" t="s">
        <v>3589</v>
      </c>
      <c r="F32" s="0" t="s">
        <v>3530</v>
      </c>
      <c r="G32" s="0" t="s">
        <v>1498</v>
      </c>
    </row>
    <row customHeight="1" ht="11.25">
      <c r="A33" s="0" t="s">
        <v>14</v>
      </c>
      <c r="B33" s="0" t="s">
        <v>3590</v>
      </c>
      <c r="C33" s="0" t="s">
        <v>3591</v>
      </c>
      <c r="D33" s="0" t="s">
        <v>3592</v>
      </c>
      <c r="E33" s="0" t="s">
        <v>3593</v>
      </c>
      <c r="F33" s="0" t="s">
        <v>3530</v>
      </c>
      <c r="G33" s="0" t="s">
        <v>1500</v>
      </c>
    </row>
    <row customHeight="1" ht="11.25">
      <c r="A34" s="0" t="s">
        <v>14</v>
      </c>
      <c r="B34" s="0" t="s">
        <v>3590</v>
      </c>
      <c r="C34" s="0" t="s">
        <v>3591</v>
      </c>
      <c r="D34" s="0" t="s">
        <v>3590</v>
      </c>
      <c r="E34" s="0" t="s">
        <v>3591</v>
      </c>
      <c r="F34" s="0" t="s">
        <v>3527</v>
      </c>
      <c r="G34" s="0" t="s">
        <v>1502</v>
      </c>
    </row>
    <row customHeight="1" ht="11.25">
      <c r="A35" s="0" t="s">
        <v>14</v>
      </c>
      <c r="B35" s="0" t="s">
        <v>3590</v>
      </c>
      <c r="C35" s="0" t="s">
        <v>3591</v>
      </c>
      <c r="D35" s="0" t="s">
        <v>3594</v>
      </c>
      <c r="E35" s="0" t="s">
        <v>3595</v>
      </c>
      <c r="F35" s="0" t="s">
        <v>3530</v>
      </c>
      <c r="G35" s="0" t="s">
        <v>1507</v>
      </c>
    </row>
    <row customHeight="1" ht="11.25">
      <c r="A36" s="0" t="s">
        <v>14</v>
      </c>
      <c r="B36" s="0" t="s">
        <v>3590</v>
      </c>
      <c r="C36" s="0" t="s">
        <v>3591</v>
      </c>
      <c r="D36" s="0" t="s">
        <v>3596</v>
      </c>
      <c r="E36" s="0" t="s">
        <v>3597</v>
      </c>
      <c r="F36" s="0" t="s">
        <v>3530</v>
      </c>
      <c r="G36" s="0" t="s">
        <v>1512</v>
      </c>
    </row>
    <row customHeight="1" ht="11.25">
      <c r="A37" s="0" t="s">
        <v>14</v>
      </c>
      <c r="B37" s="0" t="s">
        <v>3590</v>
      </c>
      <c r="C37" s="0" t="s">
        <v>3591</v>
      </c>
      <c r="D37" s="0" t="s">
        <v>3598</v>
      </c>
      <c r="E37" s="0" t="s">
        <v>3599</v>
      </c>
      <c r="F37" s="0" t="s">
        <v>3530</v>
      </c>
      <c r="G37" s="0" t="s">
        <v>1516</v>
      </c>
    </row>
    <row customHeight="1" ht="11.25">
      <c r="A38" s="0" t="s">
        <v>14</v>
      </c>
      <c r="B38" s="0" t="s">
        <v>3590</v>
      </c>
      <c r="C38" s="0" t="s">
        <v>3591</v>
      </c>
      <c r="D38" s="0" t="s">
        <v>3600</v>
      </c>
      <c r="E38" s="0" t="s">
        <v>3601</v>
      </c>
      <c r="F38" s="0" t="s">
        <v>3530</v>
      </c>
      <c r="G38" s="0" t="s">
        <v>1524</v>
      </c>
    </row>
    <row customHeight="1" ht="11.25">
      <c r="A39" s="0" t="s">
        <v>14</v>
      </c>
      <c r="B39" s="0" t="s">
        <v>3602</v>
      </c>
      <c r="C39" s="0" t="s">
        <v>3603</v>
      </c>
      <c r="D39" s="0" t="s">
        <v>3602</v>
      </c>
      <c r="E39" s="0" t="s">
        <v>3603</v>
      </c>
      <c r="F39" s="0" t="s">
        <v>3527</v>
      </c>
      <c r="G39" s="0" t="s">
        <v>1530</v>
      </c>
    </row>
    <row customHeight="1" ht="11.25">
      <c r="A40" s="0" t="s">
        <v>14</v>
      </c>
      <c r="B40" s="0" t="s">
        <v>3602</v>
      </c>
      <c r="C40" s="0" t="s">
        <v>3603</v>
      </c>
      <c r="D40" s="0" t="s">
        <v>3604</v>
      </c>
      <c r="E40" s="0" t="s">
        <v>3605</v>
      </c>
      <c r="F40" s="0" t="s">
        <v>3569</v>
      </c>
      <c r="G40" s="0" t="s">
        <v>1535</v>
      </c>
    </row>
    <row customHeight="1" ht="11.25">
      <c r="A41" s="0" t="s">
        <v>14</v>
      </c>
      <c r="B41" s="0" t="s">
        <v>3602</v>
      </c>
      <c r="C41" s="0" t="s">
        <v>3603</v>
      </c>
      <c r="D41" s="0" t="s">
        <v>3606</v>
      </c>
      <c r="E41" s="0" t="s">
        <v>3607</v>
      </c>
      <c r="F41" s="0" t="s">
        <v>3530</v>
      </c>
      <c r="G41" s="0" t="s">
        <v>1539</v>
      </c>
    </row>
    <row customHeight="1" ht="11.25">
      <c r="A42" s="0" t="s">
        <v>14</v>
      </c>
      <c r="B42" s="0" t="s">
        <v>3602</v>
      </c>
      <c r="C42" s="0" t="s">
        <v>3603</v>
      </c>
      <c r="D42" s="0" t="s">
        <v>3608</v>
      </c>
      <c r="E42" s="0" t="s">
        <v>3609</v>
      </c>
      <c r="F42" s="0" t="s">
        <v>3530</v>
      </c>
      <c r="G42" s="0" t="s">
        <v>1542</v>
      </c>
    </row>
    <row customHeight="1" ht="11.25">
      <c r="A43" s="0" t="s">
        <v>14</v>
      </c>
      <c r="B43" s="0" t="s">
        <v>3602</v>
      </c>
      <c r="C43" s="0" t="s">
        <v>3603</v>
      </c>
      <c r="D43" s="0" t="s">
        <v>3610</v>
      </c>
      <c r="E43" s="0" t="s">
        <v>3611</v>
      </c>
      <c r="F43" s="0" t="s">
        <v>3530</v>
      </c>
      <c r="G43" s="0" t="s">
        <v>1549</v>
      </c>
    </row>
    <row customHeight="1" ht="11.25">
      <c r="A44" s="0" t="s">
        <v>14</v>
      </c>
      <c r="B44" s="0" t="s">
        <v>3602</v>
      </c>
      <c r="C44" s="0" t="s">
        <v>3603</v>
      </c>
      <c r="D44" s="0" t="s">
        <v>3612</v>
      </c>
      <c r="E44" s="0" t="s">
        <v>3613</v>
      </c>
      <c r="F44" s="0" t="s">
        <v>3530</v>
      </c>
      <c r="G44" s="0" t="s">
        <v>1558</v>
      </c>
    </row>
    <row customHeight="1" ht="11.25">
      <c r="A45" s="0" t="s">
        <v>14</v>
      </c>
      <c r="B45" s="0" t="s">
        <v>3602</v>
      </c>
      <c r="C45" s="0" t="s">
        <v>3603</v>
      </c>
      <c r="D45" s="0" t="s">
        <v>3614</v>
      </c>
      <c r="E45" s="0" t="s">
        <v>3615</v>
      </c>
      <c r="F45" s="0" t="s">
        <v>3530</v>
      </c>
      <c r="G45" s="0" t="s">
        <v>1563</v>
      </c>
    </row>
    <row customHeight="1" ht="11.25">
      <c r="A46" s="0" t="s">
        <v>14</v>
      </c>
      <c r="B46" s="0" t="s">
        <v>3602</v>
      </c>
      <c r="C46" s="0" t="s">
        <v>3603</v>
      </c>
      <c r="D46" s="0" t="s">
        <v>3616</v>
      </c>
      <c r="E46" s="0" t="s">
        <v>3617</v>
      </c>
      <c r="F46" s="0" t="s">
        <v>3530</v>
      </c>
      <c r="G46" s="0" t="s">
        <v>1567</v>
      </c>
    </row>
    <row customHeight="1" ht="11.25">
      <c r="A47" s="0" t="s">
        <v>14</v>
      </c>
      <c r="B47" s="0" t="s">
        <v>3602</v>
      </c>
      <c r="C47" s="0" t="s">
        <v>3603</v>
      </c>
      <c r="D47" s="0" t="s">
        <v>3618</v>
      </c>
      <c r="E47" s="0" t="s">
        <v>3619</v>
      </c>
      <c r="F47" s="0" t="s">
        <v>3530</v>
      </c>
      <c r="G47" s="0" t="s">
        <v>1573</v>
      </c>
    </row>
    <row customHeight="1" ht="11.25">
      <c r="A48" s="0" t="s">
        <v>14</v>
      </c>
      <c r="B48" s="0" t="s">
        <v>3602</v>
      </c>
      <c r="C48" s="0" t="s">
        <v>3603</v>
      </c>
      <c r="D48" s="0" t="s">
        <v>3620</v>
      </c>
      <c r="E48" s="0" t="s">
        <v>3621</v>
      </c>
      <c r="F48" s="0" t="s">
        <v>3530</v>
      </c>
      <c r="G48" s="0" t="s">
        <v>1578</v>
      </c>
    </row>
    <row customHeight="1" ht="11.25">
      <c r="A49" s="0" t="s">
        <v>14</v>
      </c>
      <c r="B49" s="0" t="s">
        <v>3602</v>
      </c>
      <c r="C49" s="0" t="s">
        <v>3603</v>
      </c>
      <c r="D49" s="0" t="s">
        <v>3622</v>
      </c>
      <c r="E49" s="0" t="s">
        <v>3623</v>
      </c>
      <c r="F49" s="0" t="s">
        <v>3530</v>
      </c>
      <c r="G49" s="0" t="s">
        <v>1581</v>
      </c>
    </row>
    <row customHeight="1" ht="11.25">
      <c r="A50" s="0" t="s">
        <v>14</v>
      </c>
      <c r="B50" s="0" t="s">
        <v>3602</v>
      </c>
      <c r="C50" s="0" t="s">
        <v>3603</v>
      </c>
      <c r="D50" s="0" t="s">
        <v>3624</v>
      </c>
      <c r="E50" s="0" t="s">
        <v>3625</v>
      </c>
      <c r="F50" s="0" t="s">
        <v>3530</v>
      </c>
      <c r="G50" s="0" t="s">
        <v>1585</v>
      </c>
    </row>
    <row customHeight="1" ht="11.25">
      <c r="A51" s="0" t="s">
        <v>14</v>
      </c>
      <c r="B51" s="0" t="s">
        <v>3602</v>
      </c>
      <c r="C51" s="0" t="s">
        <v>3603</v>
      </c>
      <c r="D51" s="0" t="s">
        <v>3626</v>
      </c>
      <c r="E51" s="0" t="s">
        <v>3627</v>
      </c>
      <c r="F51" s="0" t="s">
        <v>3569</v>
      </c>
      <c r="G51" s="0" t="s">
        <v>1589</v>
      </c>
    </row>
    <row customHeight="1" ht="11.25">
      <c r="A52" s="0" t="s">
        <v>14</v>
      </c>
      <c r="B52" s="0" t="s">
        <v>3628</v>
      </c>
      <c r="C52" s="0" t="s">
        <v>3629</v>
      </c>
      <c r="D52" s="0" t="s">
        <v>3628</v>
      </c>
      <c r="E52" s="0" t="s">
        <v>3629</v>
      </c>
      <c r="F52" s="0" t="s">
        <v>3527</v>
      </c>
      <c r="G52" s="0" t="s">
        <v>1593</v>
      </c>
    </row>
    <row customHeight="1" ht="11.25">
      <c r="A53" s="0" t="s">
        <v>14</v>
      </c>
      <c r="B53" s="0" t="s">
        <v>3628</v>
      </c>
      <c r="C53" s="0" t="s">
        <v>3629</v>
      </c>
      <c r="D53" s="0" t="s">
        <v>3630</v>
      </c>
      <c r="E53" s="0" t="s">
        <v>3631</v>
      </c>
      <c r="F53" s="0" t="s">
        <v>3530</v>
      </c>
      <c r="G53" s="0" t="s">
        <v>1595</v>
      </c>
    </row>
    <row customHeight="1" ht="11.25">
      <c r="A54" s="0" t="s">
        <v>14</v>
      </c>
      <c r="B54" s="0" t="s">
        <v>3628</v>
      </c>
      <c r="C54" s="0" t="s">
        <v>3629</v>
      </c>
      <c r="D54" s="0" t="s">
        <v>3632</v>
      </c>
      <c r="E54" s="0" t="s">
        <v>3633</v>
      </c>
      <c r="F54" s="0" t="s">
        <v>3530</v>
      </c>
      <c r="G54" s="0" t="s">
        <v>1598</v>
      </c>
    </row>
    <row customHeight="1" ht="11.25">
      <c r="A55" s="0" t="s">
        <v>14</v>
      </c>
      <c r="B55" s="0" t="s">
        <v>3628</v>
      </c>
      <c r="C55" s="0" t="s">
        <v>3629</v>
      </c>
      <c r="D55" s="0" t="s">
        <v>3634</v>
      </c>
      <c r="E55" s="0" t="s">
        <v>3635</v>
      </c>
      <c r="F55" s="0" t="s">
        <v>3530</v>
      </c>
      <c r="G55" s="0" t="s">
        <v>1602</v>
      </c>
    </row>
    <row customHeight="1" ht="11.25">
      <c r="A56" s="0" t="s">
        <v>14</v>
      </c>
      <c r="B56" s="0" t="s">
        <v>3628</v>
      </c>
      <c r="C56" s="0" t="s">
        <v>3629</v>
      </c>
      <c r="D56" s="0" t="s">
        <v>3636</v>
      </c>
      <c r="E56" s="0" t="s">
        <v>3637</v>
      </c>
      <c r="F56" s="0" t="s">
        <v>3530</v>
      </c>
      <c r="G56" s="0" t="s">
        <v>1605</v>
      </c>
    </row>
    <row customHeight="1" ht="11.25">
      <c r="A57" s="0" t="s">
        <v>14</v>
      </c>
      <c r="B57" s="0" t="s">
        <v>3628</v>
      </c>
      <c r="C57" s="0" t="s">
        <v>3629</v>
      </c>
      <c r="D57" s="0" t="s">
        <v>3638</v>
      </c>
      <c r="E57" s="0" t="s">
        <v>3639</v>
      </c>
      <c r="F57" s="0" t="s">
        <v>3530</v>
      </c>
      <c r="G57" s="0" t="s">
        <v>1608</v>
      </c>
    </row>
    <row customHeight="1" ht="11.25">
      <c r="A58" s="0" t="s">
        <v>14</v>
      </c>
      <c r="B58" s="0" t="s">
        <v>3628</v>
      </c>
      <c r="C58" s="0" t="s">
        <v>3629</v>
      </c>
      <c r="D58" s="0" t="s">
        <v>3640</v>
      </c>
      <c r="E58" s="0" t="s">
        <v>3641</v>
      </c>
      <c r="F58" s="0" t="s">
        <v>3530</v>
      </c>
      <c r="G58" s="0" t="s">
        <v>1611</v>
      </c>
    </row>
    <row customHeight="1" ht="11.25">
      <c r="A59" s="0" t="s">
        <v>14</v>
      </c>
      <c r="B59" s="0" t="s">
        <v>3628</v>
      </c>
      <c r="C59" s="0" t="s">
        <v>3629</v>
      </c>
      <c r="D59" s="0" t="s">
        <v>3642</v>
      </c>
      <c r="E59" s="0" t="s">
        <v>3643</v>
      </c>
      <c r="F59" s="0" t="s">
        <v>3530</v>
      </c>
      <c r="G59" s="0" t="s">
        <v>1615</v>
      </c>
    </row>
    <row customHeight="1" ht="11.25">
      <c r="A60" s="0" t="s">
        <v>14</v>
      </c>
      <c r="B60" s="0" t="s">
        <v>3644</v>
      </c>
      <c r="C60" s="0" t="s">
        <v>3645</v>
      </c>
      <c r="D60" s="0" t="s">
        <v>3644</v>
      </c>
      <c r="E60" s="0" t="s">
        <v>3645</v>
      </c>
      <c r="F60" s="0" t="s">
        <v>3527</v>
      </c>
      <c r="G60" s="0" t="s">
        <v>1618</v>
      </c>
    </row>
    <row customHeight="1" ht="11.25">
      <c r="A61" s="0" t="s">
        <v>14</v>
      </c>
      <c r="B61" s="0" t="s">
        <v>3644</v>
      </c>
      <c r="C61" s="0" t="s">
        <v>3645</v>
      </c>
      <c r="D61" s="0" t="s">
        <v>3646</v>
      </c>
      <c r="E61" s="0" t="s">
        <v>3647</v>
      </c>
      <c r="F61" s="0" t="s">
        <v>3530</v>
      </c>
      <c r="G61" s="0" t="s">
        <v>3648</v>
      </c>
    </row>
    <row customHeight="1" ht="11.25">
      <c r="A62" s="0" t="s">
        <v>14</v>
      </c>
      <c r="B62" s="0" t="s">
        <v>3644</v>
      </c>
      <c r="C62" s="0" t="s">
        <v>3645</v>
      </c>
      <c r="D62" s="0" t="s">
        <v>3649</v>
      </c>
      <c r="E62" s="0" t="s">
        <v>3650</v>
      </c>
      <c r="F62" s="0" t="s">
        <v>3530</v>
      </c>
      <c r="G62" s="0" t="s">
        <v>3651</v>
      </c>
    </row>
    <row customHeight="1" ht="11.25">
      <c r="A63" s="0" t="s">
        <v>14</v>
      </c>
      <c r="B63" s="0" t="s">
        <v>3644</v>
      </c>
      <c r="C63" s="0" t="s">
        <v>3645</v>
      </c>
      <c r="D63" s="0" t="s">
        <v>3652</v>
      </c>
      <c r="E63" s="0" t="s">
        <v>3653</v>
      </c>
      <c r="F63" s="0" t="s">
        <v>3530</v>
      </c>
      <c r="G63" s="0" t="s">
        <v>3654</v>
      </c>
    </row>
    <row customHeight="1" ht="11.25">
      <c r="A64" s="0" t="s">
        <v>14</v>
      </c>
      <c r="B64" s="0" t="s">
        <v>3644</v>
      </c>
      <c r="C64" s="0" t="s">
        <v>3645</v>
      </c>
      <c r="D64" s="0" t="s">
        <v>3655</v>
      </c>
      <c r="E64" s="0" t="s">
        <v>3656</v>
      </c>
      <c r="F64" s="0" t="s">
        <v>3530</v>
      </c>
      <c r="G64" s="0" t="s">
        <v>3657</v>
      </c>
    </row>
    <row customHeight="1" ht="11.25">
      <c r="A65" s="0" t="s">
        <v>14</v>
      </c>
      <c r="B65" s="0" t="s">
        <v>3644</v>
      </c>
      <c r="C65" s="0" t="s">
        <v>3645</v>
      </c>
      <c r="D65" s="0" t="s">
        <v>3658</v>
      </c>
      <c r="E65" s="0" t="s">
        <v>3659</v>
      </c>
      <c r="F65" s="0" t="s">
        <v>3530</v>
      </c>
      <c r="G65" s="0" t="s">
        <v>3660</v>
      </c>
    </row>
    <row customHeight="1" ht="11.25">
      <c r="A66" s="0" t="s">
        <v>14</v>
      </c>
      <c r="B66" s="0" t="s">
        <v>3644</v>
      </c>
      <c r="C66" s="0" t="s">
        <v>3645</v>
      </c>
      <c r="D66" s="0" t="s">
        <v>3661</v>
      </c>
      <c r="E66" s="0" t="s">
        <v>3662</v>
      </c>
      <c r="F66" s="0" t="s">
        <v>3530</v>
      </c>
      <c r="G66" s="0" t="s">
        <v>3663</v>
      </c>
    </row>
    <row customHeight="1" ht="11.25">
      <c r="A67" s="0" t="s">
        <v>14</v>
      </c>
      <c r="B67" s="0" t="s">
        <v>3644</v>
      </c>
      <c r="C67" s="0" t="s">
        <v>3645</v>
      </c>
      <c r="D67" s="0" t="s">
        <v>3664</v>
      </c>
      <c r="E67" s="0" t="s">
        <v>3665</v>
      </c>
      <c r="F67" s="0" t="s">
        <v>3530</v>
      </c>
      <c r="G67" s="0" t="s">
        <v>1937</v>
      </c>
    </row>
    <row customHeight="1" ht="11.25">
      <c r="A68" s="0" t="s">
        <v>14</v>
      </c>
      <c r="B68" s="0" t="s">
        <v>3644</v>
      </c>
      <c r="C68" s="0" t="s">
        <v>3645</v>
      </c>
      <c r="D68" s="0" t="s">
        <v>3666</v>
      </c>
      <c r="E68" s="0" t="s">
        <v>3667</v>
      </c>
      <c r="F68" s="0" t="s">
        <v>3530</v>
      </c>
      <c r="G68" s="0" t="s">
        <v>3668</v>
      </c>
    </row>
    <row customHeight="1" ht="11.25">
      <c r="A69" s="0" t="s">
        <v>14</v>
      </c>
      <c r="B69" s="0" t="s">
        <v>3644</v>
      </c>
      <c r="C69" s="0" t="s">
        <v>3645</v>
      </c>
      <c r="D69" s="0" t="s">
        <v>3669</v>
      </c>
      <c r="E69" s="0" t="s">
        <v>3670</v>
      </c>
      <c r="F69" s="0" t="s">
        <v>3530</v>
      </c>
      <c r="G69" s="0" t="s">
        <v>2148</v>
      </c>
    </row>
    <row customHeight="1" ht="11.25">
      <c r="A70" s="0" t="s">
        <v>14</v>
      </c>
      <c r="B70" s="0" t="s">
        <v>3644</v>
      </c>
      <c r="C70" s="0" t="s">
        <v>3645</v>
      </c>
      <c r="D70" s="0" t="s">
        <v>3671</v>
      </c>
      <c r="E70" s="0" t="s">
        <v>3672</v>
      </c>
      <c r="F70" s="0" t="s">
        <v>3530</v>
      </c>
      <c r="G70" s="0" t="s">
        <v>3673</v>
      </c>
    </row>
    <row customHeight="1" ht="11.25">
      <c r="A71" s="0" t="s">
        <v>14</v>
      </c>
      <c r="B71" s="0" t="s">
        <v>3674</v>
      </c>
      <c r="C71" s="0" t="s">
        <v>3675</v>
      </c>
      <c r="D71" s="0" t="s">
        <v>3676</v>
      </c>
      <c r="E71" s="0" t="s">
        <v>3677</v>
      </c>
      <c r="F71" s="0" t="s">
        <v>3530</v>
      </c>
      <c r="G71" s="0" t="s">
        <v>3678</v>
      </c>
    </row>
    <row customHeight="1" ht="11.25">
      <c r="A72" s="0" t="s">
        <v>14</v>
      </c>
      <c r="B72" s="0" t="s">
        <v>3674</v>
      </c>
      <c r="C72" s="0" t="s">
        <v>3675</v>
      </c>
      <c r="D72" s="0" t="s">
        <v>3674</v>
      </c>
      <c r="E72" s="0" t="s">
        <v>3675</v>
      </c>
      <c r="F72" s="0" t="s">
        <v>3527</v>
      </c>
      <c r="G72" s="0" t="s">
        <v>3679</v>
      </c>
    </row>
    <row customHeight="1" ht="11.25">
      <c r="A73" s="0" t="s">
        <v>14</v>
      </c>
      <c r="B73" s="0" t="s">
        <v>3674</v>
      </c>
      <c r="C73" s="0" t="s">
        <v>3675</v>
      </c>
      <c r="D73" s="0" t="s">
        <v>3680</v>
      </c>
      <c r="E73" s="0" t="s">
        <v>3681</v>
      </c>
      <c r="F73" s="0" t="s">
        <v>3530</v>
      </c>
      <c r="G73" s="0" t="s">
        <v>3682</v>
      </c>
    </row>
    <row customHeight="1" ht="11.25">
      <c r="A74" s="0" t="s">
        <v>14</v>
      </c>
      <c r="B74" s="0" t="s">
        <v>3674</v>
      </c>
      <c r="C74" s="0" t="s">
        <v>3675</v>
      </c>
      <c r="D74" s="0" t="s">
        <v>3683</v>
      </c>
      <c r="E74" s="0" t="s">
        <v>3684</v>
      </c>
      <c r="F74" s="0" t="s">
        <v>3530</v>
      </c>
      <c r="G74" s="0" t="s">
        <v>3685</v>
      </c>
    </row>
    <row customHeight="1" ht="11.25">
      <c r="A75" s="0" t="s">
        <v>14</v>
      </c>
      <c r="B75" s="0" t="s">
        <v>3674</v>
      </c>
      <c r="C75" s="0" t="s">
        <v>3675</v>
      </c>
      <c r="D75" s="0" t="s">
        <v>3686</v>
      </c>
      <c r="E75" s="0" t="s">
        <v>3687</v>
      </c>
      <c r="F75" s="0" t="s">
        <v>3530</v>
      </c>
      <c r="G75" s="0" t="s">
        <v>3688</v>
      </c>
    </row>
    <row customHeight="1" ht="11.25">
      <c r="A76" s="0" t="s">
        <v>14</v>
      </c>
      <c r="B76" s="0" t="s">
        <v>3689</v>
      </c>
      <c r="C76" s="0" t="s">
        <v>3690</v>
      </c>
      <c r="D76" s="0" t="s">
        <v>3689</v>
      </c>
      <c r="E76" s="0" t="s">
        <v>3690</v>
      </c>
      <c r="F76" s="0" t="s">
        <v>3527</v>
      </c>
      <c r="G76" s="0" t="s">
        <v>3691</v>
      </c>
    </row>
    <row customHeight="1" ht="11.25">
      <c r="A77" s="0" t="s">
        <v>14</v>
      </c>
      <c r="B77" s="0" t="s">
        <v>3689</v>
      </c>
      <c r="C77" s="0" t="s">
        <v>3690</v>
      </c>
      <c r="D77" s="0" t="s">
        <v>3692</v>
      </c>
      <c r="E77" s="0" t="s">
        <v>3693</v>
      </c>
      <c r="F77" s="0" t="s">
        <v>3530</v>
      </c>
      <c r="G77" s="0" t="s">
        <v>3694</v>
      </c>
    </row>
    <row customHeight="1" ht="11.25">
      <c r="A78" s="0" t="s">
        <v>14</v>
      </c>
      <c r="B78" s="0" t="s">
        <v>3689</v>
      </c>
      <c r="C78" s="0" t="s">
        <v>3690</v>
      </c>
      <c r="D78" s="0" t="s">
        <v>3695</v>
      </c>
      <c r="E78" s="0" t="s">
        <v>3696</v>
      </c>
      <c r="F78" s="0" t="s">
        <v>3530</v>
      </c>
      <c r="G78" s="0" t="s">
        <v>3697</v>
      </c>
    </row>
    <row customHeight="1" ht="11.25">
      <c r="A79" s="0" t="s">
        <v>14</v>
      </c>
      <c r="B79" s="0" t="s">
        <v>3689</v>
      </c>
      <c r="C79" s="0" t="s">
        <v>3690</v>
      </c>
      <c r="D79" s="0" t="s">
        <v>3698</v>
      </c>
      <c r="E79" s="0" t="s">
        <v>3699</v>
      </c>
      <c r="F79" s="0" t="s">
        <v>3530</v>
      </c>
      <c r="G79" s="0" t="s">
        <v>3700</v>
      </c>
    </row>
    <row customHeight="1" ht="11.25">
      <c r="A80" s="0" t="s">
        <v>14</v>
      </c>
      <c r="B80" s="0" t="s">
        <v>3689</v>
      </c>
      <c r="C80" s="0" t="s">
        <v>3690</v>
      </c>
      <c r="D80" s="0" t="s">
        <v>3701</v>
      </c>
      <c r="E80" s="0" t="s">
        <v>3702</v>
      </c>
      <c r="F80" s="0" t="s">
        <v>3530</v>
      </c>
      <c r="G80" s="0" t="s">
        <v>3703</v>
      </c>
    </row>
    <row customHeight="1" ht="11.25">
      <c r="A81" s="0" t="s">
        <v>14</v>
      </c>
      <c r="B81" s="0" t="s">
        <v>3689</v>
      </c>
      <c r="C81" s="0" t="s">
        <v>3690</v>
      </c>
      <c r="D81" s="0" t="s">
        <v>3704</v>
      </c>
      <c r="E81" s="0" t="s">
        <v>3705</v>
      </c>
      <c r="F81" s="0" t="s">
        <v>3530</v>
      </c>
      <c r="G81" s="0" t="s">
        <v>3706</v>
      </c>
    </row>
    <row customHeight="1" ht="11.25">
      <c r="A82" s="0" t="s">
        <v>14</v>
      </c>
      <c r="B82" s="0" t="s">
        <v>3689</v>
      </c>
      <c r="C82" s="0" t="s">
        <v>3690</v>
      </c>
      <c r="D82" s="0" t="s">
        <v>3707</v>
      </c>
      <c r="E82" s="0" t="s">
        <v>3708</v>
      </c>
      <c r="F82" s="0" t="s">
        <v>3530</v>
      </c>
      <c r="G82" s="0" t="s">
        <v>3709</v>
      </c>
    </row>
    <row customHeight="1" ht="11.25">
      <c r="A83" s="0" t="s">
        <v>14</v>
      </c>
      <c r="B83" s="0" t="s">
        <v>3689</v>
      </c>
      <c r="C83" s="0" t="s">
        <v>3690</v>
      </c>
      <c r="D83" s="0" t="s">
        <v>3710</v>
      </c>
      <c r="E83" s="0" t="s">
        <v>3711</v>
      </c>
      <c r="F83" s="0" t="s">
        <v>3530</v>
      </c>
      <c r="G83" s="0" t="s">
        <v>3712</v>
      </c>
    </row>
    <row customHeight="1" ht="11.25">
      <c r="A84" s="0" t="s">
        <v>14</v>
      </c>
      <c r="B84" s="0" t="s">
        <v>3713</v>
      </c>
      <c r="C84" s="0" t="s">
        <v>3714</v>
      </c>
      <c r="D84" s="0" t="s">
        <v>3713</v>
      </c>
      <c r="E84" s="0" t="s">
        <v>3714</v>
      </c>
      <c r="F84" s="0" t="s">
        <v>3715</v>
      </c>
      <c r="G84" s="0" t="s">
        <v>3716</v>
      </c>
    </row>
    <row customHeight="1" ht="11.25">
      <c r="A85" s="0" t="s">
        <v>14</v>
      </c>
      <c r="B85" s="0" t="s">
        <v>3717</v>
      </c>
      <c r="C85" s="0" t="s">
        <v>3718</v>
      </c>
      <c r="D85" s="0" t="s">
        <v>3717</v>
      </c>
      <c r="E85" s="0" t="s">
        <v>3718</v>
      </c>
      <c r="F85" s="0" t="s">
        <v>3715</v>
      </c>
      <c r="G85" s="0" t="s">
        <v>3719</v>
      </c>
    </row>
    <row customHeight="1" ht="11.25">
      <c r="A86" s="0" t="s">
        <v>14</v>
      </c>
      <c r="B86" s="0" t="s">
        <v>3720</v>
      </c>
      <c r="C86" s="0" t="s">
        <v>3721</v>
      </c>
      <c r="D86" s="0" t="s">
        <v>3720</v>
      </c>
      <c r="E86" s="0" t="s">
        <v>3721</v>
      </c>
      <c r="F86" s="0" t="s">
        <v>3715</v>
      </c>
      <c r="G86" s="0" t="s">
        <v>3722</v>
      </c>
    </row>
    <row customHeight="1" ht="11.25">
      <c r="A87" s="0" t="s">
        <v>14</v>
      </c>
      <c r="B87" s="0" t="s">
        <v>3723</v>
      </c>
      <c r="C87" s="0" t="s">
        <v>3724</v>
      </c>
      <c r="D87" s="0" t="s">
        <v>3723</v>
      </c>
      <c r="E87" s="0" t="s">
        <v>3724</v>
      </c>
      <c r="F87" s="0" t="s">
        <v>3715</v>
      </c>
      <c r="G87" s="0" t="s">
        <v>3725</v>
      </c>
    </row>
    <row customHeight="1" ht="11.25">
      <c r="A88" s="0" t="s">
        <v>14</v>
      </c>
      <c r="B88" s="0" t="s">
        <v>3726</v>
      </c>
      <c r="C88" s="0" t="s">
        <v>3727</v>
      </c>
      <c r="D88" s="0" t="s">
        <v>3726</v>
      </c>
      <c r="E88" s="0" t="s">
        <v>3727</v>
      </c>
      <c r="F88" s="0" t="s">
        <v>3715</v>
      </c>
      <c r="G88" s="0" t="s">
        <v>3728</v>
      </c>
    </row>
    <row customHeight="1" ht="11.25">
      <c r="A89" s="0" t="s">
        <v>14</v>
      </c>
      <c r="B89" s="0" t="s">
        <v>3729</v>
      </c>
      <c r="C89" s="0" t="s">
        <v>3730</v>
      </c>
      <c r="D89" s="0" t="s">
        <v>3729</v>
      </c>
      <c r="E89" s="0" t="s">
        <v>3730</v>
      </c>
      <c r="F89" s="0" t="s">
        <v>3715</v>
      </c>
      <c r="G89" s="0" t="s">
        <v>3731</v>
      </c>
    </row>
    <row customHeight="1" ht="11.25">
      <c r="A90" s="0" t="s">
        <v>14</v>
      </c>
      <c r="B90" s="0" t="s">
        <v>3732</v>
      </c>
      <c r="C90" s="0" t="s">
        <v>3733</v>
      </c>
      <c r="D90" s="0" t="s">
        <v>3732</v>
      </c>
      <c r="E90" s="0" t="s">
        <v>3733</v>
      </c>
      <c r="F90" s="0" t="s">
        <v>3715</v>
      </c>
      <c r="G90" s="0" t="s">
        <v>3734</v>
      </c>
    </row>
    <row customHeight="1" ht="11.25">
      <c r="A91" s="0" t="s">
        <v>14</v>
      </c>
      <c r="B91" s="0" t="s">
        <v>3735</v>
      </c>
      <c r="C91" s="0" t="s">
        <v>3736</v>
      </c>
      <c r="D91" s="0" t="s">
        <v>3735</v>
      </c>
      <c r="E91" s="0" t="s">
        <v>3736</v>
      </c>
      <c r="F91" s="0" t="s">
        <v>3715</v>
      </c>
      <c r="G91" s="0" t="s">
        <v>3737</v>
      </c>
    </row>
    <row customHeight="1" ht="11.25">
      <c r="A92" s="0" t="s">
        <v>14</v>
      </c>
      <c r="B92" s="0" t="s">
        <v>3738</v>
      </c>
      <c r="C92" s="0" t="s">
        <v>3739</v>
      </c>
      <c r="D92" s="0" t="s">
        <v>3738</v>
      </c>
      <c r="E92" s="0" t="s">
        <v>3739</v>
      </c>
      <c r="F92" s="0" t="s">
        <v>3715</v>
      </c>
      <c r="G92" s="0" t="s">
        <v>3740</v>
      </c>
    </row>
    <row customHeight="1" ht="11.25">
      <c r="A93" s="0" t="s">
        <v>14</v>
      </c>
      <c r="B93" s="0" t="s">
        <v>97</v>
      </c>
      <c r="C93" s="0" t="s">
        <v>98</v>
      </c>
      <c r="D93" s="0" t="s">
        <v>97</v>
      </c>
      <c r="E93" s="0" t="s">
        <v>98</v>
      </c>
      <c r="F93" s="0" t="s">
        <v>3715</v>
      </c>
      <c r="G93" s="0" t="s">
        <v>96</v>
      </c>
    </row>
    <row customHeight="1" ht="11.25">
      <c r="A94" s="0" t="s">
        <v>14</v>
      </c>
      <c r="B94" s="0" t="s">
        <v>3741</v>
      </c>
      <c r="C94" s="0" t="s">
        <v>3742</v>
      </c>
      <c r="D94" s="0" t="s">
        <v>3741</v>
      </c>
      <c r="E94" s="0" t="s">
        <v>3742</v>
      </c>
      <c r="F94" s="0" t="s">
        <v>3715</v>
      </c>
      <c r="G94" s="0" t="s">
        <v>3743</v>
      </c>
    </row>
    <row customHeight="1" ht="11.25">
      <c r="A95" s="0" t="s">
        <v>14</v>
      </c>
      <c r="B95" s="0" t="s">
        <v>3744</v>
      </c>
      <c r="C95" s="0" t="s">
        <v>3745</v>
      </c>
      <c r="D95" s="0" t="s">
        <v>3744</v>
      </c>
      <c r="E95" s="0" t="s">
        <v>3745</v>
      </c>
      <c r="F95" s="0" t="s">
        <v>3715</v>
      </c>
      <c r="G95" s="0" t="s">
        <v>3746</v>
      </c>
    </row>
    <row customHeight="1" ht="11.25">
      <c r="A96" s="0" t="s">
        <v>14</v>
      </c>
      <c r="B96" s="0" t="s">
        <v>3747</v>
      </c>
      <c r="C96" s="0" t="s">
        <v>3748</v>
      </c>
      <c r="D96" s="0" t="s">
        <v>3749</v>
      </c>
      <c r="E96" s="0" t="s">
        <v>3750</v>
      </c>
      <c r="F96" s="0" t="s">
        <v>3530</v>
      </c>
      <c r="G96" s="0" t="s">
        <v>3751</v>
      </c>
    </row>
    <row customHeight="1" ht="11.25">
      <c r="A97" s="0" t="s">
        <v>14</v>
      </c>
      <c r="B97" s="0" t="s">
        <v>3747</v>
      </c>
      <c r="C97" s="0" t="s">
        <v>3748</v>
      </c>
      <c r="D97" s="0" t="s">
        <v>3752</v>
      </c>
      <c r="E97" s="0" t="s">
        <v>3753</v>
      </c>
      <c r="F97" s="0" t="s">
        <v>3530</v>
      </c>
      <c r="G97" s="0" t="s">
        <v>3754</v>
      </c>
    </row>
    <row customHeight="1" ht="11.25">
      <c r="A98" s="0" t="s">
        <v>14</v>
      </c>
      <c r="B98" s="0" t="s">
        <v>3747</v>
      </c>
      <c r="C98" s="0" t="s">
        <v>3748</v>
      </c>
      <c r="D98" s="0" t="s">
        <v>3755</v>
      </c>
      <c r="E98" s="0" t="s">
        <v>3756</v>
      </c>
      <c r="F98" s="0" t="s">
        <v>3530</v>
      </c>
      <c r="G98" s="0" t="s">
        <v>3757</v>
      </c>
    </row>
    <row customHeight="1" ht="11.25">
      <c r="A99" s="0" t="s">
        <v>14</v>
      </c>
      <c r="B99" s="0" t="s">
        <v>3747</v>
      </c>
      <c r="C99" s="0" t="s">
        <v>3748</v>
      </c>
      <c r="D99" s="0" t="s">
        <v>3680</v>
      </c>
      <c r="E99" s="0" t="s">
        <v>3758</v>
      </c>
      <c r="F99" s="0" t="s">
        <v>3530</v>
      </c>
      <c r="G99" s="0" t="s">
        <v>3759</v>
      </c>
    </row>
    <row customHeight="1" ht="11.25">
      <c r="A100" s="0" t="s">
        <v>14</v>
      </c>
      <c r="B100" s="0" t="s">
        <v>3747</v>
      </c>
      <c r="C100" s="0" t="s">
        <v>3748</v>
      </c>
      <c r="D100" s="0" t="s">
        <v>3760</v>
      </c>
      <c r="E100" s="0" t="s">
        <v>3761</v>
      </c>
      <c r="F100" s="0" t="s">
        <v>3530</v>
      </c>
      <c r="G100" s="0" t="s">
        <v>3762</v>
      </c>
    </row>
    <row customHeight="1" ht="11.25">
      <c r="A101" s="0" t="s">
        <v>14</v>
      </c>
      <c r="B101" s="0" t="s">
        <v>3747</v>
      </c>
      <c r="C101" s="0" t="s">
        <v>3748</v>
      </c>
      <c r="D101" s="0" t="s">
        <v>3747</v>
      </c>
      <c r="E101" s="0" t="s">
        <v>3748</v>
      </c>
      <c r="F101" s="0" t="s">
        <v>3527</v>
      </c>
      <c r="G101" s="0" t="s">
        <v>3763</v>
      </c>
    </row>
    <row customHeight="1" ht="11.25">
      <c r="A102" s="0" t="s">
        <v>14</v>
      </c>
      <c r="B102" s="0" t="s">
        <v>3747</v>
      </c>
      <c r="C102" s="0" t="s">
        <v>3748</v>
      </c>
      <c r="D102" s="0" t="s">
        <v>3764</v>
      </c>
      <c r="E102" s="0" t="s">
        <v>3765</v>
      </c>
      <c r="F102" s="0" t="s">
        <v>3530</v>
      </c>
      <c r="G102" s="0" t="s">
        <v>3766</v>
      </c>
    </row>
    <row customHeight="1" ht="11.25">
      <c r="A103" s="0" t="s">
        <v>14</v>
      </c>
      <c r="B103" s="0" t="s">
        <v>3747</v>
      </c>
      <c r="C103" s="0" t="s">
        <v>3748</v>
      </c>
      <c r="D103" s="0" t="s">
        <v>3767</v>
      </c>
      <c r="E103" s="0" t="s">
        <v>3768</v>
      </c>
      <c r="F103" s="0" t="s">
        <v>3530</v>
      </c>
      <c r="G103" s="0" t="s">
        <v>3769</v>
      </c>
    </row>
    <row customHeight="1" ht="11.25">
      <c r="A104" s="0" t="s">
        <v>14</v>
      </c>
      <c r="B104" s="0" t="s">
        <v>3747</v>
      </c>
      <c r="C104" s="0" t="s">
        <v>3748</v>
      </c>
      <c r="D104" s="0" t="s">
        <v>3770</v>
      </c>
      <c r="E104" s="0" t="s">
        <v>3771</v>
      </c>
      <c r="F104" s="0" t="s">
        <v>3530</v>
      </c>
      <c r="G104" s="0" t="s">
        <v>3772</v>
      </c>
    </row>
    <row customHeight="1" ht="11.25">
      <c r="A105" s="0" t="s">
        <v>14</v>
      </c>
      <c r="B105" s="0" t="s">
        <v>3747</v>
      </c>
      <c r="C105" s="0" t="s">
        <v>3748</v>
      </c>
      <c r="D105" s="0" t="s">
        <v>3773</v>
      </c>
      <c r="E105" s="0" t="s">
        <v>3774</v>
      </c>
      <c r="F105" s="0" t="s">
        <v>3530</v>
      </c>
      <c r="G105" s="0" t="s">
        <v>3775</v>
      </c>
    </row>
    <row customHeight="1" ht="11.25">
      <c r="A106" s="0" t="s">
        <v>14</v>
      </c>
      <c r="B106" s="0" t="s">
        <v>3747</v>
      </c>
      <c r="C106" s="0" t="s">
        <v>3748</v>
      </c>
      <c r="D106" s="0" t="s">
        <v>3776</v>
      </c>
      <c r="E106" s="0" t="s">
        <v>3777</v>
      </c>
      <c r="F106" s="0" t="s">
        <v>3530</v>
      </c>
      <c r="G106" s="0" t="s">
        <v>3778</v>
      </c>
    </row>
    <row customHeight="1" ht="11.25">
      <c r="A107" s="0" t="s">
        <v>14</v>
      </c>
      <c r="B107" s="0" t="s">
        <v>3747</v>
      </c>
      <c r="C107" s="0" t="s">
        <v>3748</v>
      </c>
      <c r="D107" s="0" t="s">
        <v>3779</v>
      </c>
      <c r="E107" s="0" t="s">
        <v>3780</v>
      </c>
      <c r="F107" s="0" t="s">
        <v>3530</v>
      </c>
      <c r="G107" s="0" t="s">
        <v>3781</v>
      </c>
    </row>
    <row customHeight="1" ht="11.25">
      <c r="A108" s="0" t="s">
        <v>14</v>
      </c>
      <c r="B108" s="0" t="s">
        <v>3747</v>
      </c>
      <c r="C108" s="0" t="s">
        <v>3748</v>
      </c>
      <c r="D108" s="0" t="s">
        <v>3707</v>
      </c>
      <c r="E108" s="0" t="s">
        <v>3782</v>
      </c>
      <c r="F108" s="0" t="s">
        <v>3530</v>
      </c>
      <c r="G108" s="0" t="s">
        <v>3783</v>
      </c>
    </row>
    <row customHeight="1" ht="11.25">
      <c r="A109" s="0" t="s">
        <v>14</v>
      </c>
      <c r="B109" s="0" t="s">
        <v>3747</v>
      </c>
      <c r="C109" s="0" t="s">
        <v>3748</v>
      </c>
      <c r="D109" s="0" t="s">
        <v>3784</v>
      </c>
      <c r="E109" s="0" t="s">
        <v>3785</v>
      </c>
      <c r="F109" s="0" t="s">
        <v>3530</v>
      </c>
      <c r="G109" s="0" t="s">
        <v>3786</v>
      </c>
    </row>
    <row customHeight="1" ht="11.25">
      <c r="A110" s="0" t="s">
        <v>14</v>
      </c>
      <c r="B110" s="0" t="s">
        <v>3787</v>
      </c>
      <c r="C110" s="0" t="s">
        <v>3788</v>
      </c>
      <c r="D110" s="0" t="s">
        <v>3789</v>
      </c>
      <c r="E110" s="0" t="s">
        <v>3790</v>
      </c>
      <c r="F110" s="0" t="s">
        <v>3530</v>
      </c>
      <c r="G110" s="0" t="s">
        <v>3791</v>
      </c>
    </row>
    <row customHeight="1" ht="11.25">
      <c r="A111" s="0" t="s">
        <v>14</v>
      </c>
      <c r="B111" s="0" t="s">
        <v>3787</v>
      </c>
      <c r="C111" s="0" t="s">
        <v>3788</v>
      </c>
      <c r="D111" s="0" t="s">
        <v>3792</v>
      </c>
      <c r="E111" s="0" t="s">
        <v>3793</v>
      </c>
      <c r="F111" s="0" t="s">
        <v>3530</v>
      </c>
      <c r="G111" s="0" t="s">
        <v>3794</v>
      </c>
    </row>
    <row customHeight="1" ht="11.25">
      <c r="A112" s="0" t="s">
        <v>14</v>
      </c>
      <c r="B112" s="0" t="s">
        <v>3787</v>
      </c>
      <c r="C112" s="0" t="s">
        <v>3788</v>
      </c>
      <c r="D112" s="0" t="s">
        <v>3787</v>
      </c>
      <c r="E112" s="0" t="s">
        <v>3788</v>
      </c>
      <c r="F112" s="0" t="s">
        <v>3527</v>
      </c>
      <c r="G112" s="0" t="s">
        <v>3795</v>
      </c>
    </row>
    <row customHeight="1" ht="11.25">
      <c r="A113" s="0" t="s">
        <v>14</v>
      </c>
      <c r="B113" s="0" t="s">
        <v>3787</v>
      </c>
      <c r="C113" s="0" t="s">
        <v>3788</v>
      </c>
      <c r="D113" s="0" t="s">
        <v>3796</v>
      </c>
      <c r="E113" s="0" t="s">
        <v>3797</v>
      </c>
      <c r="F113" s="0" t="s">
        <v>3530</v>
      </c>
      <c r="G113" s="0" t="s">
        <v>3798</v>
      </c>
    </row>
    <row customHeight="1" ht="11.25">
      <c r="A114" s="0" t="s">
        <v>14</v>
      </c>
      <c r="B114" s="0" t="s">
        <v>3787</v>
      </c>
      <c r="C114" s="0" t="s">
        <v>3788</v>
      </c>
      <c r="D114" s="0" t="s">
        <v>3612</v>
      </c>
      <c r="E114" s="0" t="s">
        <v>3799</v>
      </c>
      <c r="F114" s="0" t="s">
        <v>3530</v>
      </c>
      <c r="G114" s="0" t="s">
        <v>3800</v>
      </c>
    </row>
    <row customHeight="1" ht="11.25">
      <c r="A115" s="0" t="s">
        <v>14</v>
      </c>
      <c r="B115" s="0" t="s">
        <v>3787</v>
      </c>
      <c r="C115" s="0" t="s">
        <v>3788</v>
      </c>
      <c r="D115" s="0" t="s">
        <v>3801</v>
      </c>
      <c r="E115" s="0" t="s">
        <v>3802</v>
      </c>
      <c r="F115" s="0" t="s">
        <v>3530</v>
      </c>
      <c r="G115" s="0" t="s">
        <v>3803</v>
      </c>
    </row>
    <row customHeight="1" ht="11.25">
      <c r="A116" s="0" t="s">
        <v>14</v>
      </c>
      <c r="B116" s="0" t="s">
        <v>3787</v>
      </c>
      <c r="C116" s="0" t="s">
        <v>3788</v>
      </c>
      <c r="D116" s="0" t="s">
        <v>3804</v>
      </c>
      <c r="E116" s="0" t="s">
        <v>3805</v>
      </c>
      <c r="F116" s="0" t="s">
        <v>3530</v>
      </c>
      <c r="G116" s="0" t="s">
        <v>3806</v>
      </c>
    </row>
    <row customHeight="1" ht="11.25">
      <c r="A117" s="0" t="s">
        <v>14</v>
      </c>
      <c r="B117" s="0" t="s">
        <v>3787</v>
      </c>
      <c r="C117" s="0" t="s">
        <v>3788</v>
      </c>
      <c r="D117" s="0" t="s">
        <v>3807</v>
      </c>
      <c r="E117" s="0" t="s">
        <v>3808</v>
      </c>
      <c r="F117" s="0" t="s">
        <v>3530</v>
      </c>
      <c r="G117" s="0" t="s">
        <v>3809</v>
      </c>
    </row>
    <row customHeight="1" ht="11.25">
      <c r="A118" s="0" t="s">
        <v>14</v>
      </c>
      <c r="B118" s="0" t="s">
        <v>3787</v>
      </c>
      <c r="C118" s="0" t="s">
        <v>3788</v>
      </c>
      <c r="D118" s="0" t="s">
        <v>3810</v>
      </c>
      <c r="E118" s="0" t="s">
        <v>3811</v>
      </c>
      <c r="F118" s="0" t="s">
        <v>3530</v>
      </c>
      <c r="G118" s="0" t="s">
        <v>3812</v>
      </c>
    </row>
    <row customHeight="1" ht="11.25">
      <c r="A119" s="0" t="s">
        <v>14</v>
      </c>
      <c r="B119" s="0" t="s">
        <v>3787</v>
      </c>
      <c r="C119" s="0" t="s">
        <v>3788</v>
      </c>
      <c r="D119" s="0" t="s">
        <v>3813</v>
      </c>
      <c r="E119" s="0" t="s">
        <v>3814</v>
      </c>
      <c r="F119" s="0" t="s">
        <v>3530</v>
      </c>
      <c r="G119" s="0" t="s">
        <v>3815</v>
      </c>
    </row>
    <row customHeight="1" ht="11.25">
      <c r="A120" s="0" t="s">
        <v>14</v>
      </c>
      <c r="B120" s="0" t="s">
        <v>3816</v>
      </c>
      <c r="C120" s="0" t="s">
        <v>3817</v>
      </c>
      <c r="D120" s="0" t="s">
        <v>3816</v>
      </c>
      <c r="E120" s="0" t="s">
        <v>3817</v>
      </c>
      <c r="F120" s="0" t="s">
        <v>3527</v>
      </c>
      <c r="G120" s="0" t="s">
        <v>3818</v>
      </c>
    </row>
    <row customHeight="1" ht="11.25">
      <c r="A121" s="0" t="s">
        <v>14</v>
      </c>
      <c r="B121" s="0" t="s">
        <v>3816</v>
      </c>
      <c r="C121" s="0" t="s">
        <v>3817</v>
      </c>
      <c r="D121" s="0" t="s">
        <v>3819</v>
      </c>
      <c r="E121" s="0" t="s">
        <v>3820</v>
      </c>
      <c r="F121" s="0" t="s">
        <v>3530</v>
      </c>
      <c r="G121" s="0" t="s">
        <v>3821</v>
      </c>
    </row>
    <row customHeight="1" ht="11.25">
      <c r="A122" s="0" t="s">
        <v>14</v>
      </c>
      <c r="B122" s="0" t="s">
        <v>3816</v>
      </c>
      <c r="C122" s="0" t="s">
        <v>3817</v>
      </c>
      <c r="D122" s="0" t="s">
        <v>3822</v>
      </c>
      <c r="E122" s="0" t="s">
        <v>3823</v>
      </c>
      <c r="F122" s="0" t="s">
        <v>3530</v>
      </c>
      <c r="G122" s="0" t="s">
        <v>3824</v>
      </c>
    </row>
    <row customHeight="1" ht="11.25">
      <c r="A123" s="0" t="s">
        <v>14</v>
      </c>
      <c r="B123" s="0" t="s">
        <v>3816</v>
      </c>
      <c r="C123" s="0" t="s">
        <v>3817</v>
      </c>
      <c r="D123" s="0" t="s">
        <v>3825</v>
      </c>
      <c r="E123" s="0" t="s">
        <v>3826</v>
      </c>
      <c r="F123" s="0" t="s">
        <v>3530</v>
      </c>
      <c r="G123" s="0" t="s">
        <v>3827</v>
      </c>
    </row>
    <row customHeight="1" ht="11.25">
      <c r="A124" s="0" t="s">
        <v>14</v>
      </c>
      <c r="B124" s="0" t="s">
        <v>3816</v>
      </c>
      <c r="C124" s="0" t="s">
        <v>3817</v>
      </c>
      <c r="D124" s="0" t="s">
        <v>3828</v>
      </c>
      <c r="E124" s="0" t="s">
        <v>3829</v>
      </c>
      <c r="F124" s="0" t="s">
        <v>3530</v>
      </c>
      <c r="G124" s="0" t="s">
        <v>3830</v>
      </c>
    </row>
    <row customHeight="1" ht="11.25">
      <c r="A125" s="0" t="s">
        <v>14</v>
      </c>
      <c r="B125" s="0" t="s">
        <v>3816</v>
      </c>
      <c r="C125" s="0" t="s">
        <v>3817</v>
      </c>
      <c r="D125" s="0" t="s">
        <v>3831</v>
      </c>
      <c r="E125" s="0" t="s">
        <v>3832</v>
      </c>
      <c r="F125" s="0" t="s">
        <v>3530</v>
      </c>
      <c r="G125" s="0" t="s">
        <v>3833</v>
      </c>
    </row>
    <row customHeight="1" ht="11.25">
      <c r="A126" s="0" t="s">
        <v>14</v>
      </c>
      <c r="B126" s="0" t="s">
        <v>3816</v>
      </c>
      <c r="C126" s="0" t="s">
        <v>3817</v>
      </c>
      <c r="D126" s="0" t="s">
        <v>3834</v>
      </c>
      <c r="E126" s="0" t="s">
        <v>3835</v>
      </c>
      <c r="F126" s="0" t="s">
        <v>3530</v>
      </c>
      <c r="G126" s="0" t="s">
        <v>3836</v>
      </c>
    </row>
    <row customHeight="1" ht="11.25">
      <c r="A127" s="0" t="s">
        <v>14</v>
      </c>
      <c r="B127" s="0" t="s">
        <v>3816</v>
      </c>
      <c r="C127" s="0" t="s">
        <v>3817</v>
      </c>
      <c r="D127" s="0" t="s">
        <v>3837</v>
      </c>
      <c r="E127" s="0" t="s">
        <v>3838</v>
      </c>
      <c r="F127" s="0" t="s">
        <v>3530</v>
      </c>
      <c r="G127" s="0" t="s">
        <v>3839</v>
      </c>
    </row>
    <row customHeight="1" ht="11.25">
      <c r="A128" s="0" t="s">
        <v>14</v>
      </c>
      <c r="B128" s="0" t="s">
        <v>3816</v>
      </c>
      <c r="C128" s="0" t="s">
        <v>3817</v>
      </c>
      <c r="D128" s="0" t="s">
        <v>3840</v>
      </c>
      <c r="E128" s="0" t="s">
        <v>3841</v>
      </c>
      <c r="F128" s="0" t="s">
        <v>3530</v>
      </c>
      <c r="G128" s="0" t="s">
        <v>3842</v>
      </c>
    </row>
    <row customHeight="1" ht="11.25">
      <c r="A129" s="0" t="s">
        <v>14</v>
      </c>
      <c r="B129" s="0" t="s">
        <v>3816</v>
      </c>
      <c r="C129" s="0" t="s">
        <v>3817</v>
      </c>
      <c r="D129" s="0" t="s">
        <v>3843</v>
      </c>
      <c r="E129" s="0" t="s">
        <v>3844</v>
      </c>
      <c r="F129" s="0" t="s">
        <v>3530</v>
      </c>
      <c r="G129" s="0" t="s">
        <v>3845</v>
      </c>
    </row>
    <row customHeight="1" ht="11.25">
      <c r="A130" s="0" t="s">
        <v>14</v>
      </c>
      <c r="B130" s="0" t="s">
        <v>3846</v>
      </c>
      <c r="C130" s="0" t="s">
        <v>3847</v>
      </c>
      <c r="D130" s="0" t="s">
        <v>3848</v>
      </c>
      <c r="E130" s="0" t="s">
        <v>3849</v>
      </c>
      <c r="F130" s="0" t="s">
        <v>3530</v>
      </c>
      <c r="G130" s="0" t="s">
        <v>3850</v>
      </c>
    </row>
    <row customHeight="1" ht="11.25">
      <c r="A131" s="0" t="s">
        <v>14</v>
      </c>
      <c r="B131" s="0" t="s">
        <v>3846</v>
      </c>
      <c r="C131" s="0" t="s">
        <v>3847</v>
      </c>
      <c r="D131" s="0" t="s">
        <v>3851</v>
      </c>
      <c r="E131" s="0" t="s">
        <v>3852</v>
      </c>
      <c r="F131" s="0" t="s">
        <v>3530</v>
      </c>
      <c r="G131" s="0" t="s">
        <v>3853</v>
      </c>
    </row>
    <row customHeight="1" ht="11.25">
      <c r="A132" s="0" t="s">
        <v>14</v>
      </c>
      <c r="B132" s="0" t="s">
        <v>3846</v>
      </c>
      <c r="C132" s="0" t="s">
        <v>3847</v>
      </c>
      <c r="D132" s="0" t="s">
        <v>3854</v>
      </c>
      <c r="E132" s="0" t="s">
        <v>3855</v>
      </c>
      <c r="F132" s="0" t="s">
        <v>3530</v>
      </c>
      <c r="G132" s="0" t="s">
        <v>3856</v>
      </c>
    </row>
    <row customHeight="1" ht="11.25">
      <c r="A133" s="0" t="s">
        <v>14</v>
      </c>
      <c r="B133" s="0" t="s">
        <v>3846</v>
      </c>
      <c r="C133" s="0" t="s">
        <v>3847</v>
      </c>
      <c r="D133" s="0" t="s">
        <v>3846</v>
      </c>
      <c r="E133" s="0" t="s">
        <v>3847</v>
      </c>
      <c r="F133" s="0" t="s">
        <v>3527</v>
      </c>
      <c r="G133" s="0" t="s">
        <v>3857</v>
      </c>
    </row>
    <row customHeight="1" ht="11.25">
      <c r="A134" s="0" t="s">
        <v>14</v>
      </c>
      <c r="B134" s="0" t="s">
        <v>3846</v>
      </c>
      <c r="C134" s="0" t="s">
        <v>3847</v>
      </c>
      <c r="D134" s="0" t="s">
        <v>3858</v>
      </c>
      <c r="E134" s="0" t="s">
        <v>3859</v>
      </c>
      <c r="F134" s="0" t="s">
        <v>3569</v>
      </c>
      <c r="G134" s="0" t="s">
        <v>3860</v>
      </c>
    </row>
    <row customHeight="1" ht="11.25">
      <c r="A135" s="0" t="s">
        <v>14</v>
      </c>
      <c r="B135" s="0" t="s">
        <v>3846</v>
      </c>
      <c r="C135" s="0" t="s">
        <v>3847</v>
      </c>
      <c r="D135" s="0" t="s">
        <v>3861</v>
      </c>
      <c r="E135" s="0" t="s">
        <v>3862</v>
      </c>
      <c r="F135" s="0" t="s">
        <v>3530</v>
      </c>
      <c r="G135" s="0" t="s">
        <v>3863</v>
      </c>
    </row>
    <row customHeight="1" ht="11.25">
      <c r="A136" s="0" t="s">
        <v>14</v>
      </c>
      <c r="B136" s="0" t="s">
        <v>3846</v>
      </c>
      <c r="C136" s="0" t="s">
        <v>3847</v>
      </c>
      <c r="D136" s="0" t="s">
        <v>3864</v>
      </c>
      <c r="E136" s="0" t="s">
        <v>3865</v>
      </c>
      <c r="F136" s="0" t="s">
        <v>3530</v>
      </c>
      <c r="G136" s="0" t="s">
        <v>3866</v>
      </c>
    </row>
    <row customHeight="1" ht="11.25">
      <c r="A137" s="0" t="s">
        <v>14</v>
      </c>
      <c r="B137" s="0" t="s">
        <v>3846</v>
      </c>
      <c r="C137" s="0" t="s">
        <v>3847</v>
      </c>
      <c r="D137" s="0" t="s">
        <v>3600</v>
      </c>
      <c r="E137" s="0" t="s">
        <v>3867</v>
      </c>
      <c r="F137" s="0" t="s">
        <v>3530</v>
      </c>
      <c r="G137" s="0" t="s">
        <v>3868</v>
      </c>
    </row>
    <row customHeight="1" ht="11.25">
      <c r="A138" s="0" t="s">
        <v>14</v>
      </c>
      <c r="B138" s="0" t="s">
        <v>3846</v>
      </c>
      <c r="C138" s="0" t="s">
        <v>3847</v>
      </c>
      <c r="D138" s="0" t="s">
        <v>3869</v>
      </c>
      <c r="E138" s="0" t="s">
        <v>3870</v>
      </c>
      <c r="F138" s="0" t="s">
        <v>3530</v>
      </c>
      <c r="G138" s="0" t="s">
        <v>3871</v>
      </c>
    </row>
    <row customHeight="1" ht="11.25">
      <c r="A139" s="0" t="s">
        <v>14</v>
      </c>
      <c r="B139" s="0" t="s">
        <v>3846</v>
      </c>
      <c r="C139" s="0" t="s">
        <v>3847</v>
      </c>
      <c r="D139" s="0" t="s">
        <v>3872</v>
      </c>
      <c r="E139" s="0" t="s">
        <v>3873</v>
      </c>
      <c r="F139" s="0" t="s">
        <v>3530</v>
      </c>
      <c r="G139" s="0" t="s">
        <v>3874</v>
      </c>
    </row>
    <row customHeight="1" ht="11.25">
      <c r="A140" s="0" t="s">
        <v>14</v>
      </c>
      <c r="B140" s="0" t="s">
        <v>3875</v>
      </c>
      <c r="C140" s="0" t="s">
        <v>3876</v>
      </c>
      <c r="D140" s="0" t="s">
        <v>3877</v>
      </c>
      <c r="E140" s="0" t="s">
        <v>3878</v>
      </c>
      <c r="F140" s="0" t="s">
        <v>3530</v>
      </c>
      <c r="G140" s="0" t="s">
        <v>3879</v>
      </c>
    </row>
    <row customHeight="1" ht="11.25">
      <c r="A141" s="0" t="s">
        <v>14</v>
      </c>
      <c r="B141" s="0" t="s">
        <v>3875</v>
      </c>
      <c r="C141" s="0" t="s">
        <v>3876</v>
      </c>
      <c r="D141" s="0" t="s">
        <v>3880</v>
      </c>
      <c r="E141" s="0" t="s">
        <v>3881</v>
      </c>
      <c r="F141" s="0" t="s">
        <v>3530</v>
      </c>
      <c r="G141" s="0" t="s">
        <v>3882</v>
      </c>
    </row>
    <row customHeight="1" ht="11.25">
      <c r="A142" s="0" t="s">
        <v>14</v>
      </c>
      <c r="B142" s="0" t="s">
        <v>3875</v>
      </c>
      <c r="C142" s="0" t="s">
        <v>3876</v>
      </c>
      <c r="D142" s="0" t="s">
        <v>3883</v>
      </c>
      <c r="E142" s="0" t="s">
        <v>3884</v>
      </c>
      <c r="F142" s="0" t="s">
        <v>3530</v>
      </c>
      <c r="G142" s="0" t="s">
        <v>3885</v>
      </c>
    </row>
    <row customHeight="1" ht="11.25">
      <c r="A143" s="0" t="s">
        <v>14</v>
      </c>
      <c r="B143" s="0" t="s">
        <v>3875</v>
      </c>
      <c r="C143" s="0" t="s">
        <v>3876</v>
      </c>
      <c r="D143" s="0" t="s">
        <v>3875</v>
      </c>
      <c r="E143" s="0" t="s">
        <v>3876</v>
      </c>
      <c r="F143" s="0" t="s">
        <v>3527</v>
      </c>
      <c r="G143" s="0" t="s">
        <v>3886</v>
      </c>
    </row>
    <row customHeight="1" ht="11.25">
      <c r="A144" s="0" t="s">
        <v>14</v>
      </c>
      <c r="B144" s="0" t="s">
        <v>3875</v>
      </c>
      <c r="C144" s="0" t="s">
        <v>3876</v>
      </c>
      <c r="D144" s="0" t="s">
        <v>3887</v>
      </c>
      <c r="E144" s="0" t="s">
        <v>3888</v>
      </c>
      <c r="F144" s="0" t="s">
        <v>3530</v>
      </c>
      <c r="G144" s="0" t="s">
        <v>3889</v>
      </c>
    </row>
    <row customHeight="1" ht="11.25">
      <c r="A145" s="0" t="s">
        <v>14</v>
      </c>
      <c r="B145" s="0" t="s">
        <v>3875</v>
      </c>
      <c r="C145" s="0" t="s">
        <v>3876</v>
      </c>
      <c r="D145" s="0" t="s">
        <v>3890</v>
      </c>
      <c r="E145" s="0" t="s">
        <v>3891</v>
      </c>
      <c r="F145" s="0" t="s">
        <v>3530</v>
      </c>
      <c r="G145" s="0" t="s">
        <v>3892</v>
      </c>
    </row>
    <row customHeight="1" ht="11.25">
      <c r="A146" s="0" t="s">
        <v>14</v>
      </c>
      <c r="B146" s="0" t="s">
        <v>3875</v>
      </c>
      <c r="C146" s="0" t="s">
        <v>3876</v>
      </c>
      <c r="D146" s="0" t="s">
        <v>3893</v>
      </c>
      <c r="E146" s="0" t="s">
        <v>3894</v>
      </c>
      <c r="F146" s="0" t="s">
        <v>3530</v>
      </c>
      <c r="G146" s="0" t="s">
        <v>3895</v>
      </c>
    </row>
    <row customHeight="1" ht="11.25">
      <c r="A147" s="0" t="s">
        <v>14</v>
      </c>
      <c r="B147" s="0" t="s">
        <v>3875</v>
      </c>
      <c r="C147" s="0" t="s">
        <v>3876</v>
      </c>
      <c r="D147" s="0" t="s">
        <v>3896</v>
      </c>
      <c r="E147" s="0" t="s">
        <v>3897</v>
      </c>
      <c r="F147" s="0" t="s">
        <v>3530</v>
      </c>
      <c r="G147" s="0" t="s">
        <v>3898</v>
      </c>
    </row>
    <row customHeight="1" ht="11.25">
      <c r="A148" s="0" t="s">
        <v>14</v>
      </c>
      <c r="B148" s="0" t="s">
        <v>3875</v>
      </c>
      <c r="C148" s="0" t="s">
        <v>3876</v>
      </c>
      <c r="D148" s="0" t="s">
        <v>3578</v>
      </c>
      <c r="E148" s="0" t="s">
        <v>3899</v>
      </c>
      <c r="F148" s="0" t="s">
        <v>3530</v>
      </c>
      <c r="G148" s="0" t="s">
        <v>3900</v>
      </c>
    </row>
    <row customHeight="1" ht="11.25">
      <c r="A149" s="0" t="s">
        <v>14</v>
      </c>
      <c r="B149" s="0" t="s">
        <v>3875</v>
      </c>
      <c r="C149" s="0" t="s">
        <v>3876</v>
      </c>
      <c r="D149" s="0" t="s">
        <v>3901</v>
      </c>
      <c r="E149" s="0" t="s">
        <v>3902</v>
      </c>
      <c r="F149" s="0" t="s">
        <v>3530</v>
      </c>
      <c r="G149" s="0" t="s">
        <v>3903</v>
      </c>
    </row>
    <row customHeight="1" ht="11.25">
      <c r="A150" s="0" t="s">
        <v>14</v>
      </c>
      <c r="B150" s="0" t="s">
        <v>3875</v>
      </c>
      <c r="C150" s="0" t="s">
        <v>3876</v>
      </c>
      <c r="D150" s="0" t="s">
        <v>3904</v>
      </c>
      <c r="E150" s="0" t="s">
        <v>3905</v>
      </c>
      <c r="F150" s="0" t="s">
        <v>3530</v>
      </c>
      <c r="G150" s="0" t="s">
        <v>3906</v>
      </c>
    </row>
    <row customHeight="1" ht="11.25">
      <c r="A151" s="0" t="s">
        <v>14</v>
      </c>
      <c r="B151" s="0" t="s">
        <v>3875</v>
      </c>
      <c r="C151" s="0" t="s">
        <v>3876</v>
      </c>
      <c r="D151" s="0" t="s">
        <v>3907</v>
      </c>
      <c r="E151" s="0" t="s">
        <v>3908</v>
      </c>
      <c r="F151" s="0" t="s">
        <v>3530</v>
      </c>
      <c r="G151" s="0" t="s">
        <v>3909</v>
      </c>
    </row>
    <row customHeight="1" ht="11.25">
      <c r="A152" s="0" t="s">
        <v>14</v>
      </c>
      <c r="B152" s="0" t="s">
        <v>3910</v>
      </c>
      <c r="C152" s="0" t="s">
        <v>3911</v>
      </c>
      <c r="D152" s="0" t="s">
        <v>3912</v>
      </c>
      <c r="E152" s="0" t="s">
        <v>3913</v>
      </c>
      <c r="F152" s="0" t="s">
        <v>3530</v>
      </c>
      <c r="G152" s="0" t="s">
        <v>3914</v>
      </c>
    </row>
    <row customHeight="1" ht="11.25">
      <c r="A153" s="0" t="s">
        <v>14</v>
      </c>
      <c r="B153" s="0" t="s">
        <v>3910</v>
      </c>
      <c r="C153" s="0" t="s">
        <v>3911</v>
      </c>
      <c r="D153" s="0" t="s">
        <v>3910</v>
      </c>
      <c r="E153" s="0" t="s">
        <v>3911</v>
      </c>
      <c r="F153" s="0" t="s">
        <v>3527</v>
      </c>
      <c r="G153" s="0" t="s">
        <v>3915</v>
      </c>
    </row>
    <row customHeight="1" ht="11.25">
      <c r="A154" s="0" t="s">
        <v>14</v>
      </c>
      <c r="B154" s="0" t="s">
        <v>3910</v>
      </c>
      <c r="C154" s="0" t="s">
        <v>3911</v>
      </c>
      <c r="D154" s="0" t="s">
        <v>3537</v>
      </c>
      <c r="E154" s="0" t="s">
        <v>3916</v>
      </c>
      <c r="F154" s="0" t="s">
        <v>3530</v>
      </c>
      <c r="G154" s="0" t="s">
        <v>3917</v>
      </c>
    </row>
    <row customHeight="1" ht="11.25">
      <c r="A155" s="0" t="s">
        <v>14</v>
      </c>
      <c r="B155" s="0" t="s">
        <v>3910</v>
      </c>
      <c r="C155" s="0" t="s">
        <v>3911</v>
      </c>
      <c r="D155" s="0" t="s">
        <v>3918</v>
      </c>
      <c r="E155" s="0" t="s">
        <v>3919</v>
      </c>
      <c r="F155" s="0" t="s">
        <v>3530</v>
      </c>
      <c r="G155" s="0" t="s">
        <v>3920</v>
      </c>
    </row>
    <row customHeight="1" ht="11.25">
      <c r="A156" s="0" t="s">
        <v>14</v>
      </c>
      <c r="B156" s="0" t="s">
        <v>3910</v>
      </c>
      <c r="C156" s="0" t="s">
        <v>3911</v>
      </c>
      <c r="D156" s="0" t="s">
        <v>3893</v>
      </c>
      <c r="E156" s="0" t="s">
        <v>3921</v>
      </c>
      <c r="F156" s="0" t="s">
        <v>3530</v>
      </c>
      <c r="G156" s="0" t="s">
        <v>3922</v>
      </c>
    </row>
    <row customHeight="1" ht="11.25">
      <c r="A157" s="0" t="s">
        <v>14</v>
      </c>
      <c r="B157" s="0" t="s">
        <v>3910</v>
      </c>
      <c r="C157" s="0" t="s">
        <v>3911</v>
      </c>
      <c r="D157" s="0" t="s">
        <v>3923</v>
      </c>
      <c r="E157" s="0" t="s">
        <v>3924</v>
      </c>
      <c r="F157" s="0" t="s">
        <v>3530</v>
      </c>
      <c r="G157" s="0" t="s">
        <v>3925</v>
      </c>
    </row>
    <row customHeight="1" ht="11.25">
      <c r="A158" s="0" t="s">
        <v>14</v>
      </c>
      <c r="B158" s="0" t="s">
        <v>3910</v>
      </c>
      <c r="C158" s="0" t="s">
        <v>3911</v>
      </c>
      <c r="D158" s="0" t="s">
        <v>3926</v>
      </c>
      <c r="E158" s="0" t="s">
        <v>3927</v>
      </c>
      <c r="F158" s="0" t="s">
        <v>3530</v>
      </c>
      <c r="G158" s="0" t="s">
        <v>3928</v>
      </c>
    </row>
    <row customHeight="1" ht="11.25">
      <c r="A159" s="0" t="s">
        <v>14</v>
      </c>
      <c r="B159" s="0" t="s">
        <v>3910</v>
      </c>
      <c r="C159" s="0" t="s">
        <v>3911</v>
      </c>
      <c r="D159" s="0" t="s">
        <v>3929</v>
      </c>
      <c r="E159" s="0" t="s">
        <v>3930</v>
      </c>
      <c r="F159" s="0" t="s">
        <v>3530</v>
      </c>
      <c r="G159" s="0" t="s">
        <v>3931</v>
      </c>
    </row>
    <row customHeight="1" ht="11.25">
      <c r="A160" s="0" t="s">
        <v>14</v>
      </c>
      <c r="B160" s="0" t="s">
        <v>3910</v>
      </c>
      <c r="C160" s="0" t="s">
        <v>3911</v>
      </c>
      <c r="D160" s="0" t="s">
        <v>3932</v>
      </c>
      <c r="E160" s="0" t="s">
        <v>3933</v>
      </c>
      <c r="F160" s="0" t="s">
        <v>3530</v>
      </c>
      <c r="G160" s="0" t="s">
        <v>3934</v>
      </c>
    </row>
    <row customHeight="1" ht="11.25">
      <c r="A161" s="0" t="s">
        <v>14</v>
      </c>
      <c r="B161" s="0" t="s">
        <v>3935</v>
      </c>
      <c r="C161" s="0" t="s">
        <v>3936</v>
      </c>
      <c r="D161" s="0" t="s">
        <v>3937</v>
      </c>
      <c r="E161" s="0" t="s">
        <v>3938</v>
      </c>
      <c r="F161" s="0" t="s">
        <v>3530</v>
      </c>
      <c r="G161" s="0" t="s">
        <v>3939</v>
      </c>
    </row>
    <row customHeight="1" ht="11.25">
      <c r="A162" s="0" t="s">
        <v>14</v>
      </c>
      <c r="B162" s="0" t="s">
        <v>3935</v>
      </c>
      <c r="C162" s="0" t="s">
        <v>3936</v>
      </c>
      <c r="D162" s="0" t="s">
        <v>3940</v>
      </c>
      <c r="E162" s="0" t="s">
        <v>3941</v>
      </c>
      <c r="F162" s="0" t="s">
        <v>3530</v>
      </c>
      <c r="G162" s="0" t="s">
        <v>3942</v>
      </c>
    </row>
    <row customHeight="1" ht="11.25">
      <c r="A163" s="0" t="s">
        <v>14</v>
      </c>
      <c r="B163" s="0" t="s">
        <v>3935</v>
      </c>
      <c r="C163" s="0" t="s">
        <v>3936</v>
      </c>
      <c r="D163" s="0" t="s">
        <v>3943</v>
      </c>
      <c r="E163" s="0" t="s">
        <v>3944</v>
      </c>
      <c r="F163" s="0" t="s">
        <v>3530</v>
      </c>
      <c r="G163" s="0" t="s">
        <v>3945</v>
      </c>
    </row>
    <row customHeight="1" ht="11.25">
      <c r="A164" s="0" t="s">
        <v>14</v>
      </c>
      <c r="B164" s="0" t="s">
        <v>3935</v>
      </c>
      <c r="C164" s="0" t="s">
        <v>3936</v>
      </c>
      <c r="D164" s="0" t="s">
        <v>3946</v>
      </c>
      <c r="E164" s="0" t="s">
        <v>3947</v>
      </c>
      <c r="F164" s="0" t="s">
        <v>3948</v>
      </c>
      <c r="G164" s="0" t="s">
        <v>3949</v>
      </c>
    </row>
    <row customHeight="1" ht="11.25">
      <c r="A165" s="0" t="s">
        <v>14</v>
      </c>
      <c r="B165" s="0" t="s">
        <v>3935</v>
      </c>
      <c r="C165" s="0" t="s">
        <v>3936</v>
      </c>
      <c r="D165" s="0" t="s">
        <v>3950</v>
      </c>
      <c r="E165" s="0" t="s">
        <v>3951</v>
      </c>
      <c r="F165" s="0" t="s">
        <v>3530</v>
      </c>
      <c r="G165" s="0" t="s">
        <v>3952</v>
      </c>
    </row>
    <row customHeight="1" ht="11.25">
      <c r="A166" s="0" t="s">
        <v>14</v>
      </c>
      <c r="B166" s="0" t="s">
        <v>3935</v>
      </c>
      <c r="C166" s="0" t="s">
        <v>3936</v>
      </c>
      <c r="D166" s="0" t="s">
        <v>3953</v>
      </c>
      <c r="E166" s="0" t="s">
        <v>3954</v>
      </c>
      <c r="F166" s="0" t="s">
        <v>3530</v>
      </c>
      <c r="G166" s="0" t="s">
        <v>3955</v>
      </c>
    </row>
    <row customHeight="1" ht="11.25">
      <c r="A167" s="0" t="s">
        <v>14</v>
      </c>
      <c r="B167" s="0" t="s">
        <v>3935</v>
      </c>
      <c r="C167" s="0" t="s">
        <v>3936</v>
      </c>
      <c r="D167" s="0" t="s">
        <v>3956</v>
      </c>
      <c r="E167" s="0" t="s">
        <v>3957</v>
      </c>
      <c r="F167" s="0" t="s">
        <v>3530</v>
      </c>
      <c r="G167" s="0" t="s">
        <v>3958</v>
      </c>
    </row>
    <row customHeight="1" ht="11.25">
      <c r="A168" s="0" t="s">
        <v>14</v>
      </c>
      <c r="B168" s="0" t="s">
        <v>3935</v>
      </c>
      <c r="C168" s="0" t="s">
        <v>3936</v>
      </c>
      <c r="D168" s="0" t="s">
        <v>3935</v>
      </c>
      <c r="E168" s="0" t="s">
        <v>3936</v>
      </c>
      <c r="F168" s="0" t="s">
        <v>3527</v>
      </c>
      <c r="G168" s="0" t="s">
        <v>3959</v>
      </c>
    </row>
    <row customHeight="1" ht="11.25">
      <c r="A169" s="0" t="s">
        <v>14</v>
      </c>
      <c r="B169" s="0" t="s">
        <v>3935</v>
      </c>
      <c r="C169" s="0" t="s">
        <v>3936</v>
      </c>
      <c r="D169" s="0" t="s">
        <v>3960</v>
      </c>
      <c r="E169" s="0" t="s">
        <v>3961</v>
      </c>
      <c r="F169" s="0" t="s">
        <v>3530</v>
      </c>
      <c r="G169" s="0" t="s">
        <v>3962</v>
      </c>
    </row>
    <row customHeight="1" ht="11.25">
      <c r="A170" s="0" t="s">
        <v>14</v>
      </c>
      <c r="B170" s="0" t="s">
        <v>3935</v>
      </c>
      <c r="C170" s="0" t="s">
        <v>3936</v>
      </c>
      <c r="D170" s="0" t="s">
        <v>3963</v>
      </c>
      <c r="E170" s="0" t="s">
        <v>3964</v>
      </c>
      <c r="F170" s="0" t="s">
        <v>3530</v>
      </c>
      <c r="G170" s="0" t="s">
        <v>3965</v>
      </c>
    </row>
    <row customHeight="1" ht="11.25">
      <c r="A171" s="0" t="s">
        <v>14</v>
      </c>
      <c r="B171" s="0" t="s">
        <v>3935</v>
      </c>
      <c r="C171" s="0" t="s">
        <v>3936</v>
      </c>
      <c r="D171" s="0" t="s">
        <v>3966</v>
      </c>
      <c r="E171" s="0" t="s">
        <v>3967</v>
      </c>
      <c r="F171" s="0" t="s">
        <v>3530</v>
      </c>
      <c r="G171" s="0" t="s">
        <v>3968</v>
      </c>
    </row>
    <row customHeight="1" ht="11.25">
      <c r="A172" s="0" t="s">
        <v>14</v>
      </c>
      <c r="B172" s="0" t="s">
        <v>3935</v>
      </c>
      <c r="C172" s="0" t="s">
        <v>3936</v>
      </c>
      <c r="D172" s="0" t="s">
        <v>3969</v>
      </c>
      <c r="E172" s="0" t="s">
        <v>3970</v>
      </c>
      <c r="F172" s="0" t="s">
        <v>3530</v>
      </c>
      <c r="G172" s="0" t="s">
        <v>3971</v>
      </c>
    </row>
    <row customHeight="1" ht="11.25">
      <c r="A173" s="0" t="s">
        <v>14</v>
      </c>
      <c r="B173" s="0" t="s">
        <v>3935</v>
      </c>
      <c r="C173" s="0" t="s">
        <v>3936</v>
      </c>
      <c r="D173" s="0" t="s">
        <v>3972</v>
      </c>
      <c r="E173" s="0" t="s">
        <v>3973</v>
      </c>
      <c r="F173" s="0" t="s">
        <v>3530</v>
      </c>
      <c r="G173" s="0" t="s">
        <v>3974</v>
      </c>
    </row>
    <row customHeight="1" ht="11.25">
      <c r="A174" s="0" t="s">
        <v>14</v>
      </c>
      <c r="B174" s="0" t="s">
        <v>3975</v>
      </c>
      <c r="C174" s="0" t="s">
        <v>3976</v>
      </c>
      <c r="D174" s="0" t="s">
        <v>3977</v>
      </c>
      <c r="E174" s="0" t="s">
        <v>3978</v>
      </c>
      <c r="F174" s="0" t="s">
        <v>3530</v>
      </c>
      <c r="G174" s="0" t="s">
        <v>3979</v>
      </c>
    </row>
    <row customHeight="1" ht="11.25">
      <c r="A175" s="0" t="s">
        <v>14</v>
      </c>
      <c r="B175" s="0" t="s">
        <v>3975</v>
      </c>
      <c r="C175" s="0" t="s">
        <v>3976</v>
      </c>
      <c r="D175" s="0" t="s">
        <v>3980</v>
      </c>
      <c r="E175" s="0" t="s">
        <v>3981</v>
      </c>
      <c r="F175" s="0" t="s">
        <v>3530</v>
      </c>
      <c r="G175" s="0" t="s">
        <v>3982</v>
      </c>
    </row>
    <row customHeight="1" ht="11.25">
      <c r="A176" s="0" t="s">
        <v>14</v>
      </c>
      <c r="B176" s="0" t="s">
        <v>3975</v>
      </c>
      <c r="C176" s="0" t="s">
        <v>3976</v>
      </c>
      <c r="D176" s="0" t="s">
        <v>3983</v>
      </c>
      <c r="E176" s="0" t="s">
        <v>3984</v>
      </c>
      <c r="F176" s="0" t="s">
        <v>3530</v>
      </c>
      <c r="G176" s="0" t="s">
        <v>3985</v>
      </c>
    </row>
    <row customHeight="1" ht="11.25">
      <c r="A177" s="0" t="s">
        <v>14</v>
      </c>
      <c r="B177" s="0" t="s">
        <v>3975</v>
      </c>
      <c r="C177" s="0" t="s">
        <v>3976</v>
      </c>
      <c r="D177" s="0" t="s">
        <v>3986</v>
      </c>
      <c r="E177" s="0" t="s">
        <v>3987</v>
      </c>
      <c r="F177" s="0" t="s">
        <v>3530</v>
      </c>
      <c r="G177" s="0" t="s">
        <v>3988</v>
      </c>
    </row>
    <row customHeight="1" ht="11.25">
      <c r="A178" s="0" t="s">
        <v>14</v>
      </c>
      <c r="B178" s="0" t="s">
        <v>3975</v>
      </c>
      <c r="C178" s="0" t="s">
        <v>3976</v>
      </c>
      <c r="D178" s="0" t="s">
        <v>3975</v>
      </c>
      <c r="E178" s="0" t="s">
        <v>3976</v>
      </c>
      <c r="F178" s="0" t="s">
        <v>3527</v>
      </c>
      <c r="G178" s="0" t="s">
        <v>3989</v>
      </c>
    </row>
    <row customHeight="1" ht="11.25">
      <c r="A179" s="0" t="s">
        <v>14</v>
      </c>
      <c r="B179" s="0" t="s">
        <v>3975</v>
      </c>
      <c r="C179" s="0" t="s">
        <v>3976</v>
      </c>
      <c r="D179" s="0" t="s">
        <v>3990</v>
      </c>
      <c r="E179" s="0" t="s">
        <v>3991</v>
      </c>
      <c r="F179" s="0" t="s">
        <v>3530</v>
      </c>
      <c r="G179" s="0" t="s">
        <v>3992</v>
      </c>
    </row>
    <row customHeight="1" ht="11.25">
      <c r="A180" s="0" t="s">
        <v>14</v>
      </c>
      <c r="B180" s="0" t="s">
        <v>3975</v>
      </c>
      <c r="C180" s="0" t="s">
        <v>3976</v>
      </c>
      <c r="D180" s="0" t="s">
        <v>3993</v>
      </c>
      <c r="E180" s="0" t="s">
        <v>3994</v>
      </c>
      <c r="F180" s="0" t="s">
        <v>3530</v>
      </c>
      <c r="G180" s="0" t="s">
        <v>3995</v>
      </c>
    </row>
    <row customHeight="1" ht="11.25">
      <c r="A181" s="0" t="s">
        <v>14</v>
      </c>
      <c r="B181" s="0" t="s">
        <v>3975</v>
      </c>
      <c r="C181" s="0" t="s">
        <v>3976</v>
      </c>
      <c r="D181" s="0" t="s">
        <v>3996</v>
      </c>
      <c r="E181" s="0" t="s">
        <v>3997</v>
      </c>
      <c r="F181" s="0" t="s">
        <v>3530</v>
      </c>
      <c r="G181" s="0" t="s">
        <v>3998</v>
      </c>
    </row>
    <row customHeight="1" ht="11.25">
      <c r="A182" s="0" t="s">
        <v>14</v>
      </c>
      <c r="B182" s="0" t="s">
        <v>3975</v>
      </c>
      <c r="C182" s="0" t="s">
        <v>3976</v>
      </c>
      <c r="D182" s="0" t="s">
        <v>3999</v>
      </c>
      <c r="E182" s="0" t="s">
        <v>4000</v>
      </c>
      <c r="F182" s="0" t="s">
        <v>3530</v>
      </c>
      <c r="G182" s="0" t="s">
        <v>4001</v>
      </c>
    </row>
    <row customHeight="1" ht="11.25">
      <c r="A183" s="0" t="s">
        <v>14</v>
      </c>
      <c r="B183" s="0" t="s">
        <v>3975</v>
      </c>
      <c r="C183" s="0" t="s">
        <v>3976</v>
      </c>
      <c r="D183" s="0" t="s">
        <v>4002</v>
      </c>
      <c r="E183" s="0" t="s">
        <v>4003</v>
      </c>
      <c r="F183" s="0" t="s">
        <v>3530</v>
      </c>
      <c r="G183" s="0" t="s">
        <v>4004</v>
      </c>
    </row>
    <row customHeight="1" ht="11.25">
      <c r="A184" s="0" t="s">
        <v>14</v>
      </c>
      <c r="B184" s="0" t="s">
        <v>3975</v>
      </c>
      <c r="C184" s="0" t="s">
        <v>3976</v>
      </c>
      <c r="D184" s="0" t="s">
        <v>4005</v>
      </c>
      <c r="E184" s="0" t="s">
        <v>4006</v>
      </c>
      <c r="F184" s="0" t="s">
        <v>3530</v>
      </c>
      <c r="G184" s="0" t="s">
        <v>4007</v>
      </c>
    </row>
    <row customHeight="1" ht="11.25">
      <c r="A185" s="0" t="s">
        <v>14</v>
      </c>
      <c r="B185" s="0" t="s">
        <v>4008</v>
      </c>
      <c r="C185" s="0" t="s">
        <v>4009</v>
      </c>
      <c r="D185" s="0" t="s">
        <v>4010</v>
      </c>
      <c r="E185" s="0" t="s">
        <v>4011</v>
      </c>
      <c r="F185" s="0" t="s">
        <v>3530</v>
      </c>
      <c r="G185" s="0" t="s">
        <v>4012</v>
      </c>
    </row>
    <row customHeight="1" ht="11.25">
      <c r="A186" s="0" t="s">
        <v>14</v>
      </c>
      <c r="B186" s="0" t="s">
        <v>4008</v>
      </c>
      <c r="C186" s="0" t="s">
        <v>4009</v>
      </c>
      <c r="D186" s="0" t="s">
        <v>4013</v>
      </c>
      <c r="E186" s="0" t="s">
        <v>4014</v>
      </c>
      <c r="F186" s="0" t="s">
        <v>3530</v>
      </c>
      <c r="G186" s="0" t="s">
        <v>4015</v>
      </c>
    </row>
    <row customHeight="1" ht="11.25">
      <c r="A187" s="0" t="s">
        <v>14</v>
      </c>
      <c r="B187" s="0" t="s">
        <v>4008</v>
      </c>
      <c r="C187" s="0" t="s">
        <v>4009</v>
      </c>
      <c r="D187" s="0" t="s">
        <v>4016</v>
      </c>
      <c r="E187" s="0" t="s">
        <v>4017</v>
      </c>
      <c r="F187" s="0" t="s">
        <v>3530</v>
      </c>
      <c r="G187" s="0" t="s">
        <v>4018</v>
      </c>
    </row>
    <row customHeight="1" ht="11.25">
      <c r="A188" s="0" t="s">
        <v>14</v>
      </c>
      <c r="B188" s="0" t="s">
        <v>4008</v>
      </c>
      <c r="C188" s="0" t="s">
        <v>4009</v>
      </c>
      <c r="D188" s="0" t="s">
        <v>4008</v>
      </c>
      <c r="E188" s="0" t="s">
        <v>4009</v>
      </c>
      <c r="F188" s="0" t="s">
        <v>3527</v>
      </c>
      <c r="G188" s="0" t="s">
        <v>4019</v>
      </c>
    </row>
    <row customHeight="1" ht="11.25">
      <c r="A189" s="0" t="s">
        <v>14</v>
      </c>
      <c r="B189" s="0" t="s">
        <v>4008</v>
      </c>
      <c r="C189" s="0" t="s">
        <v>4009</v>
      </c>
      <c r="D189" s="0" t="s">
        <v>4020</v>
      </c>
      <c r="E189" s="0" t="s">
        <v>4021</v>
      </c>
      <c r="F189" s="0" t="s">
        <v>3569</v>
      </c>
      <c r="G189" s="0" t="s">
        <v>4022</v>
      </c>
    </row>
    <row customHeight="1" ht="11.25">
      <c r="A190" s="0" t="s">
        <v>14</v>
      </c>
      <c r="B190" s="0" t="s">
        <v>4008</v>
      </c>
      <c r="C190" s="0" t="s">
        <v>4009</v>
      </c>
      <c r="D190" s="0" t="s">
        <v>4023</v>
      </c>
      <c r="E190" s="0" t="s">
        <v>4024</v>
      </c>
      <c r="F190" s="0" t="s">
        <v>3530</v>
      </c>
      <c r="G190" s="0" t="s">
        <v>4025</v>
      </c>
    </row>
    <row customHeight="1" ht="11.25">
      <c r="A191" s="0" t="s">
        <v>14</v>
      </c>
      <c r="B191" s="0" t="s">
        <v>4008</v>
      </c>
      <c r="C191" s="0" t="s">
        <v>4009</v>
      </c>
      <c r="D191" s="0" t="s">
        <v>4026</v>
      </c>
      <c r="E191" s="0" t="s">
        <v>4027</v>
      </c>
      <c r="F191" s="0" t="s">
        <v>3530</v>
      </c>
      <c r="G191" s="0" t="s">
        <v>4028</v>
      </c>
    </row>
    <row customHeight="1" ht="11.25">
      <c r="A192" s="0" t="s">
        <v>14</v>
      </c>
      <c r="B192" s="0" t="s">
        <v>4008</v>
      </c>
      <c r="C192" s="0" t="s">
        <v>4009</v>
      </c>
      <c r="D192" s="0" t="s">
        <v>4029</v>
      </c>
      <c r="E192" s="0" t="s">
        <v>4030</v>
      </c>
      <c r="F192" s="0" t="s">
        <v>3530</v>
      </c>
      <c r="G192" s="0" t="s">
        <v>4031</v>
      </c>
    </row>
    <row customHeight="1" ht="11.25">
      <c r="A193" s="0" t="s">
        <v>14</v>
      </c>
      <c r="B193" s="0" t="s">
        <v>4032</v>
      </c>
      <c r="C193" s="0" t="s">
        <v>4033</v>
      </c>
      <c r="D193" s="0" t="s">
        <v>4034</v>
      </c>
      <c r="E193" s="0" t="s">
        <v>4035</v>
      </c>
      <c r="F193" s="0" t="s">
        <v>3530</v>
      </c>
      <c r="G193" s="0" t="s">
        <v>4036</v>
      </c>
    </row>
    <row customHeight="1" ht="11.25">
      <c r="A194" s="0" t="s">
        <v>14</v>
      </c>
      <c r="B194" s="0" t="s">
        <v>4032</v>
      </c>
      <c r="C194" s="0" t="s">
        <v>4033</v>
      </c>
      <c r="D194" s="0" t="s">
        <v>4037</v>
      </c>
      <c r="E194" s="0" t="s">
        <v>4038</v>
      </c>
      <c r="F194" s="0" t="s">
        <v>3530</v>
      </c>
      <c r="G194" s="0" t="s">
        <v>4039</v>
      </c>
    </row>
    <row customHeight="1" ht="11.25">
      <c r="A195" s="0" t="s">
        <v>14</v>
      </c>
      <c r="B195" s="0" t="s">
        <v>4032</v>
      </c>
      <c r="C195" s="0" t="s">
        <v>4033</v>
      </c>
      <c r="D195" s="0" t="s">
        <v>4040</v>
      </c>
      <c r="E195" s="0" t="s">
        <v>4041</v>
      </c>
      <c r="F195" s="0" t="s">
        <v>3569</v>
      </c>
      <c r="G195" s="0" t="s">
        <v>4042</v>
      </c>
    </row>
    <row customHeight="1" ht="11.25">
      <c r="A196" s="0" t="s">
        <v>14</v>
      </c>
      <c r="B196" s="0" t="s">
        <v>4032</v>
      </c>
      <c r="C196" s="0" t="s">
        <v>4033</v>
      </c>
      <c r="D196" s="0" t="s">
        <v>4043</v>
      </c>
      <c r="E196" s="0" t="s">
        <v>4044</v>
      </c>
      <c r="F196" s="0" t="s">
        <v>3530</v>
      </c>
      <c r="G196" s="0" t="s">
        <v>4045</v>
      </c>
    </row>
    <row customHeight="1" ht="11.25">
      <c r="A197" s="0" t="s">
        <v>14</v>
      </c>
      <c r="B197" s="0" t="s">
        <v>4032</v>
      </c>
      <c r="C197" s="0" t="s">
        <v>4033</v>
      </c>
      <c r="D197" s="0" t="s">
        <v>4046</v>
      </c>
      <c r="E197" s="0" t="s">
        <v>4047</v>
      </c>
      <c r="F197" s="0" t="s">
        <v>3530</v>
      </c>
      <c r="G197" s="0" t="s">
        <v>4048</v>
      </c>
    </row>
    <row customHeight="1" ht="11.25">
      <c r="A198" s="0" t="s">
        <v>14</v>
      </c>
      <c r="B198" s="0" t="s">
        <v>4032</v>
      </c>
      <c r="C198" s="0" t="s">
        <v>4033</v>
      </c>
      <c r="D198" s="0" t="s">
        <v>3822</v>
      </c>
      <c r="E198" s="0" t="s">
        <v>4049</v>
      </c>
      <c r="F198" s="0" t="s">
        <v>3530</v>
      </c>
      <c r="G198" s="0" t="s">
        <v>4050</v>
      </c>
    </row>
    <row customHeight="1" ht="11.25">
      <c r="A199" s="0" t="s">
        <v>14</v>
      </c>
      <c r="B199" s="0" t="s">
        <v>4032</v>
      </c>
      <c r="C199" s="0" t="s">
        <v>4033</v>
      </c>
      <c r="D199" s="0" t="s">
        <v>4051</v>
      </c>
      <c r="E199" s="0" t="s">
        <v>4052</v>
      </c>
      <c r="F199" s="0" t="s">
        <v>3530</v>
      </c>
      <c r="G199" s="0" t="s">
        <v>4053</v>
      </c>
    </row>
    <row customHeight="1" ht="11.25">
      <c r="A200" s="0" t="s">
        <v>14</v>
      </c>
      <c r="B200" s="0" t="s">
        <v>4032</v>
      </c>
      <c r="C200" s="0" t="s">
        <v>4033</v>
      </c>
      <c r="D200" s="0" t="s">
        <v>3770</v>
      </c>
      <c r="E200" s="0" t="s">
        <v>4054</v>
      </c>
      <c r="F200" s="0" t="s">
        <v>3530</v>
      </c>
      <c r="G200" s="0" t="s">
        <v>4055</v>
      </c>
    </row>
    <row customHeight="1" ht="11.25">
      <c r="A201" s="0" t="s">
        <v>14</v>
      </c>
      <c r="B201" s="0" t="s">
        <v>4032</v>
      </c>
      <c r="C201" s="0" t="s">
        <v>4033</v>
      </c>
      <c r="D201" s="0" t="s">
        <v>4032</v>
      </c>
      <c r="E201" s="0" t="s">
        <v>4033</v>
      </c>
      <c r="F201" s="0" t="s">
        <v>3527</v>
      </c>
      <c r="G201" s="0" t="s">
        <v>4056</v>
      </c>
    </row>
    <row customHeight="1" ht="11.25">
      <c r="A202" s="0" t="s">
        <v>14</v>
      </c>
      <c r="B202" s="0" t="s">
        <v>4032</v>
      </c>
      <c r="C202" s="0" t="s">
        <v>4033</v>
      </c>
      <c r="D202" s="0" t="s">
        <v>4057</v>
      </c>
      <c r="E202" s="0" t="s">
        <v>4058</v>
      </c>
      <c r="F202" s="0" t="s">
        <v>3569</v>
      </c>
      <c r="G202" s="0" t="s">
        <v>4059</v>
      </c>
    </row>
    <row customHeight="1" ht="11.25">
      <c r="A203" s="0" t="s">
        <v>14</v>
      </c>
      <c r="B203" s="0" t="s">
        <v>4032</v>
      </c>
      <c r="C203" s="0" t="s">
        <v>4033</v>
      </c>
      <c r="D203" s="0" t="s">
        <v>4060</v>
      </c>
      <c r="E203" s="0" t="s">
        <v>4061</v>
      </c>
      <c r="F203" s="0" t="s">
        <v>3530</v>
      </c>
      <c r="G203" s="0" t="s">
        <v>4062</v>
      </c>
    </row>
    <row customHeight="1" ht="11.25">
      <c r="A204" s="0" t="s">
        <v>14</v>
      </c>
      <c r="B204" s="0" t="s">
        <v>4032</v>
      </c>
      <c r="C204" s="0" t="s">
        <v>4033</v>
      </c>
      <c r="D204" s="0" t="s">
        <v>4063</v>
      </c>
      <c r="E204" s="0" t="s">
        <v>4064</v>
      </c>
      <c r="F204" s="0" t="s">
        <v>3530</v>
      </c>
      <c r="G204" s="0" t="s">
        <v>4065</v>
      </c>
    </row>
    <row customHeight="1" ht="11.25">
      <c r="A205" s="0" t="s">
        <v>14</v>
      </c>
      <c r="B205" s="0" t="s">
        <v>4032</v>
      </c>
      <c r="C205" s="0" t="s">
        <v>4033</v>
      </c>
      <c r="D205" s="0" t="s">
        <v>4066</v>
      </c>
      <c r="E205" s="0" t="s">
        <v>4067</v>
      </c>
      <c r="F205" s="0" t="s">
        <v>3530</v>
      </c>
      <c r="G205" s="0" t="s">
        <v>4068</v>
      </c>
    </row>
    <row customHeight="1" ht="11.25">
      <c r="A206" s="0" t="s">
        <v>14</v>
      </c>
      <c r="B206" s="0" t="s">
        <v>4032</v>
      </c>
      <c r="C206" s="0" t="s">
        <v>4033</v>
      </c>
      <c r="D206" s="0" t="s">
        <v>4069</v>
      </c>
      <c r="E206" s="0" t="s">
        <v>4070</v>
      </c>
      <c r="F206" s="0" t="s">
        <v>3530</v>
      </c>
      <c r="G206" s="0" t="s">
        <v>4071</v>
      </c>
    </row>
    <row customHeight="1" ht="11.25">
      <c r="A207" s="0" t="s">
        <v>14</v>
      </c>
      <c r="B207" s="0" t="s">
        <v>4032</v>
      </c>
      <c r="C207" s="0" t="s">
        <v>4033</v>
      </c>
      <c r="D207" s="0" t="s">
        <v>4072</v>
      </c>
      <c r="E207" s="0" t="s">
        <v>4073</v>
      </c>
      <c r="F207" s="0" t="s">
        <v>3948</v>
      </c>
      <c r="G207" s="0" t="s">
        <v>4074</v>
      </c>
    </row>
    <row customHeight="1" ht="11.25">
      <c r="A208" s="0" t="s">
        <v>14</v>
      </c>
      <c r="B208" s="0" t="s">
        <v>4032</v>
      </c>
      <c r="C208" s="0" t="s">
        <v>4033</v>
      </c>
      <c r="D208" s="0" t="s">
        <v>4075</v>
      </c>
      <c r="E208" s="0" t="s">
        <v>4076</v>
      </c>
      <c r="F208" s="0" t="s">
        <v>3530</v>
      </c>
      <c r="G208" s="0" t="s">
        <v>4077</v>
      </c>
    </row>
    <row customHeight="1" ht="11.25">
      <c r="A209" s="0" t="s">
        <v>14</v>
      </c>
      <c r="B209" s="0" t="s">
        <v>4078</v>
      </c>
      <c r="C209" s="0" t="s">
        <v>4079</v>
      </c>
      <c r="D209" s="0" t="s">
        <v>4080</v>
      </c>
      <c r="E209" s="0" t="s">
        <v>4081</v>
      </c>
      <c r="F209" s="0" t="s">
        <v>3530</v>
      </c>
      <c r="G209" s="0" t="s">
        <v>4082</v>
      </c>
    </row>
    <row customHeight="1" ht="11.25">
      <c r="A210" s="0" t="s">
        <v>14</v>
      </c>
      <c r="B210" s="0" t="s">
        <v>4078</v>
      </c>
      <c r="C210" s="0" t="s">
        <v>4079</v>
      </c>
      <c r="D210" s="0" t="s">
        <v>4078</v>
      </c>
      <c r="E210" s="0" t="s">
        <v>4079</v>
      </c>
      <c r="F210" s="0" t="s">
        <v>3527</v>
      </c>
      <c r="G210" s="0" t="s">
        <v>4083</v>
      </c>
    </row>
    <row customHeight="1" ht="11.25">
      <c r="A211" s="0" t="s">
        <v>14</v>
      </c>
      <c r="B211" s="0" t="s">
        <v>4078</v>
      </c>
      <c r="C211" s="0" t="s">
        <v>4079</v>
      </c>
      <c r="D211" s="0" t="s">
        <v>4084</v>
      </c>
      <c r="E211" s="0" t="s">
        <v>4085</v>
      </c>
      <c r="F211" s="0" t="s">
        <v>3530</v>
      </c>
      <c r="G211" s="0" t="s">
        <v>4086</v>
      </c>
    </row>
    <row customHeight="1" ht="11.25">
      <c r="A212" s="0" t="s">
        <v>14</v>
      </c>
      <c r="B212" s="0" t="s">
        <v>4078</v>
      </c>
      <c r="C212" s="0" t="s">
        <v>4079</v>
      </c>
      <c r="D212" s="0" t="s">
        <v>4087</v>
      </c>
      <c r="E212" s="0" t="s">
        <v>4088</v>
      </c>
      <c r="F212" s="0" t="s">
        <v>3530</v>
      </c>
      <c r="G212" s="0" t="s">
        <v>4089</v>
      </c>
    </row>
    <row customHeight="1" ht="11.25">
      <c r="A213" s="0" t="s">
        <v>14</v>
      </c>
      <c r="B213" s="0" t="s">
        <v>4090</v>
      </c>
      <c r="C213" s="0" t="s">
        <v>4091</v>
      </c>
      <c r="D213" s="0" t="s">
        <v>4092</v>
      </c>
      <c r="E213" s="0" t="s">
        <v>4093</v>
      </c>
      <c r="F213" s="0" t="s">
        <v>3530</v>
      </c>
      <c r="G213" s="0" t="s">
        <v>4094</v>
      </c>
    </row>
    <row customHeight="1" ht="11.25">
      <c r="A214" s="0" t="s">
        <v>14</v>
      </c>
      <c r="B214" s="0" t="s">
        <v>4090</v>
      </c>
      <c r="C214" s="0" t="s">
        <v>4091</v>
      </c>
      <c r="D214" s="0" t="s">
        <v>4095</v>
      </c>
      <c r="E214" s="0" t="s">
        <v>4096</v>
      </c>
      <c r="F214" s="0" t="s">
        <v>3530</v>
      </c>
      <c r="G214" s="0" t="s">
        <v>4097</v>
      </c>
    </row>
    <row customHeight="1" ht="11.25">
      <c r="A215" s="0" t="s">
        <v>14</v>
      </c>
      <c r="B215" s="0" t="s">
        <v>4090</v>
      </c>
      <c r="C215" s="0" t="s">
        <v>4091</v>
      </c>
      <c r="D215" s="0" t="s">
        <v>4098</v>
      </c>
      <c r="E215" s="0" t="s">
        <v>4099</v>
      </c>
      <c r="F215" s="0" t="s">
        <v>3530</v>
      </c>
      <c r="G215" s="0" t="s">
        <v>4100</v>
      </c>
    </row>
    <row customHeight="1" ht="11.25">
      <c r="A216" s="0" t="s">
        <v>14</v>
      </c>
      <c r="B216" s="0" t="s">
        <v>4090</v>
      </c>
      <c r="C216" s="0" t="s">
        <v>4091</v>
      </c>
      <c r="D216" s="0" t="s">
        <v>4101</v>
      </c>
      <c r="E216" s="0" t="s">
        <v>4102</v>
      </c>
      <c r="F216" s="0" t="s">
        <v>3530</v>
      </c>
      <c r="G216" s="0" t="s">
        <v>4103</v>
      </c>
    </row>
    <row customHeight="1" ht="11.25">
      <c r="A217" s="0" t="s">
        <v>14</v>
      </c>
      <c r="B217" s="0" t="s">
        <v>4090</v>
      </c>
      <c r="C217" s="0" t="s">
        <v>4091</v>
      </c>
      <c r="D217" s="0" t="s">
        <v>4104</v>
      </c>
      <c r="E217" s="0" t="s">
        <v>4105</v>
      </c>
      <c r="F217" s="0" t="s">
        <v>3530</v>
      </c>
      <c r="G217" s="0" t="s">
        <v>4106</v>
      </c>
    </row>
    <row customHeight="1" ht="11.25">
      <c r="A218" s="0" t="s">
        <v>14</v>
      </c>
      <c r="B218" s="0" t="s">
        <v>4090</v>
      </c>
      <c r="C218" s="0" t="s">
        <v>4091</v>
      </c>
      <c r="D218" s="0" t="s">
        <v>4090</v>
      </c>
      <c r="E218" s="0" t="s">
        <v>4091</v>
      </c>
      <c r="F218" s="0" t="s">
        <v>3527</v>
      </c>
      <c r="G218" s="0" t="s">
        <v>4107</v>
      </c>
    </row>
    <row customHeight="1" ht="11.25">
      <c r="A219" s="0" t="s">
        <v>14</v>
      </c>
      <c r="B219" s="0" t="s">
        <v>4090</v>
      </c>
      <c r="C219" s="0" t="s">
        <v>4091</v>
      </c>
      <c r="D219" s="0" t="s">
        <v>4108</v>
      </c>
      <c r="E219" s="0" t="s">
        <v>4109</v>
      </c>
      <c r="F219" s="0" t="s">
        <v>3530</v>
      </c>
      <c r="G219" s="0" t="s">
        <v>4110</v>
      </c>
    </row>
    <row customHeight="1" ht="11.25">
      <c r="A220" s="0" t="s">
        <v>14</v>
      </c>
      <c r="B220" s="0" t="s">
        <v>4090</v>
      </c>
      <c r="C220" s="0" t="s">
        <v>4091</v>
      </c>
      <c r="D220" s="0" t="s">
        <v>4111</v>
      </c>
      <c r="E220" s="0" t="s">
        <v>4112</v>
      </c>
      <c r="F220" s="0" t="s">
        <v>3530</v>
      </c>
      <c r="G220" s="0" t="s">
        <v>4113</v>
      </c>
    </row>
    <row customHeight="1" ht="11.25">
      <c r="A221" s="0" t="s">
        <v>14</v>
      </c>
      <c r="B221" s="0" t="s">
        <v>4090</v>
      </c>
      <c r="C221" s="0" t="s">
        <v>4091</v>
      </c>
      <c r="D221" s="0" t="s">
        <v>4114</v>
      </c>
      <c r="E221" s="0" t="s">
        <v>4115</v>
      </c>
      <c r="F221" s="0" t="s">
        <v>3530</v>
      </c>
      <c r="G221" s="0" t="s">
        <v>4116</v>
      </c>
    </row>
    <row customHeight="1" ht="11.25">
      <c r="A222" s="0" t="s">
        <v>14</v>
      </c>
      <c r="B222" s="0" t="s">
        <v>4090</v>
      </c>
      <c r="C222" s="0" t="s">
        <v>4091</v>
      </c>
      <c r="D222" s="0" t="s">
        <v>4117</v>
      </c>
      <c r="E222" s="0" t="s">
        <v>4118</v>
      </c>
      <c r="F222" s="0" t="s">
        <v>3530</v>
      </c>
      <c r="G222" s="0" t="s">
        <v>4119</v>
      </c>
    </row>
    <row customHeight="1" ht="11.25">
      <c r="A223" s="0" t="s">
        <v>14</v>
      </c>
      <c r="B223" s="0" t="s">
        <v>4120</v>
      </c>
      <c r="C223" s="0" t="s">
        <v>4121</v>
      </c>
      <c r="D223" s="0" t="s">
        <v>4122</v>
      </c>
      <c r="E223" s="0" t="s">
        <v>4123</v>
      </c>
      <c r="F223" s="0" t="s">
        <v>3530</v>
      </c>
      <c r="G223" s="0" t="s">
        <v>4124</v>
      </c>
    </row>
    <row customHeight="1" ht="11.25">
      <c r="A224" s="0" t="s">
        <v>14</v>
      </c>
      <c r="B224" s="0" t="s">
        <v>4120</v>
      </c>
      <c r="C224" s="0" t="s">
        <v>4121</v>
      </c>
      <c r="D224" s="0" t="s">
        <v>4125</v>
      </c>
      <c r="E224" s="0" t="s">
        <v>4126</v>
      </c>
      <c r="F224" s="0" t="s">
        <v>3530</v>
      </c>
      <c r="G224" s="0" t="s">
        <v>4127</v>
      </c>
    </row>
    <row customHeight="1" ht="11.25">
      <c r="A225" s="0" t="s">
        <v>14</v>
      </c>
      <c r="B225" s="0" t="s">
        <v>4120</v>
      </c>
      <c r="C225" s="0" t="s">
        <v>4121</v>
      </c>
      <c r="D225" s="0" t="s">
        <v>4128</v>
      </c>
      <c r="E225" s="0" t="s">
        <v>4129</v>
      </c>
      <c r="F225" s="0" t="s">
        <v>3530</v>
      </c>
      <c r="G225" s="0" t="s">
        <v>4130</v>
      </c>
    </row>
    <row customHeight="1" ht="11.25">
      <c r="A226" s="0" t="s">
        <v>14</v>
      </c>
      <c r="B226" s="0" t="s">
        <v>4120</v>
      </c>
      <c r="C226" s="0" t="s">
        <v>4121</v>
      </c>
      <c r="D226" s="0" t="s">
        <v>4131</v>
      </c>
      <c r="E226" s="0" t="s">
        <v>4132</v>
      </c>
      <c r="F226" s="0" t="s">
        <v>3530</v>
      </c>
      <c r="G226" s="0" t="s">
        <v>4133</v>
      </c>
    </row>
    <row customHeight="1" ht="11.25">
      <c r="A227" s="0" t="s">
        <v>14</v>
      </c>
      <c r="B227" s="0" t="s">
        <v>4120</v>
      </c>
      <c r="C227" s="0" t="s">
        <v>4121</v>
      </c>
      <c r="D227" s="0" t="s">
        <v>4134</v>
      </c>
      <c r="E227" s="0" t="s">
        <v>4135</v>
      </c>
      <c r="F227" s="0" t="s">
        <v>3530</v>
      </c>
      <c r="G227" s="0" t="s">
        <v>4136</v>
      </c>
    </row>
    <row customHeight="1" ht="11.25">
      <c r="A228" s="0" t="s">
        <v>14</v>
      </c>
      <c r="B228" s="0" t="s">
        <v>4120</v>
      </c>
      <c r="C228" s="0" t="s">
        <v>4121</v>
      </c>
      <c r="D228" s="0" t="s">
        <v>4120</v>
      </c>
      <c r="E228" s="0" t="s">
        <v>4121</v>
      </c>
      <c r="F228" s="0" t="s">
        <v>3527</v>
      </c>
      <c r="G228" s="0" t="s">
        <v>4137</v>
      </c>
    </row>
    <row customHeight="1" ht="11.25">
      <c r="A229" s="0" t="s">
        <v>14</v>
      </c>
      <c r="B229" s="0" t="s">
        <v>4120</v>
      </c>
      <c r="C229" s="0" t="s">
        <v>4121</v>
      </c>
      <c r="D229" s="0" t="s">
        <v>4138</v>
      </c>
      <c r="E229" s="0" t="s">
        <v>4139</v>
      </c>
      <c r="F229" s="0" t="s">
        <v>3530</v>
      </c>
      <c r="G229" s="0" t="s">
        <v>4140</v>
      </c>
    </row>
    <row customHeight="1" ht="11.25">
      <c r="A230" s="0" t="s">
        <v>14</v>
      </c>
      <c r="B230" s="0" t="s">
        <v>4120</v>
      </c>
      <c r="C230" s="0" t="s">
        <v>4121</v>
      </c>
      <c r="D230" s="0" t="s">
        <v>4141</v>
      </c>
      <c r="E230" s="0" t="s">
        <v>4142</v>
      </c>
      <c r="F230" s="0" t="s">
        <v>3530</v>
      </c>
      <c r="G230" s="0" t="s">
        <v>4143</v>
      </c>
    </row>
    <row customHeight="1" ht="11.25">
      <c r="A231" s="0" t="s">
        <v>14</v>
      </c>
      <c r="B231" s="0" t="s">
        <v>4120</v>
      </c>
      <c r="C231" s="0" t="s">
        <v>4121</v>
      </c>
      <c r="D231" s="0" t="s">
        <v>4144</v>
      </c>
      <c r="E231" s="0" t="s">
        <v>4145</v>
      </c>
      <c r="F231" s="0" t="s">
        <v>3530</v>
      </c>
      <c r="G231" s="0" t="s">
        <v>4146</v>
      </c>
    </row>
    <row customHeight="1" ht="11.25">
      <c r="A232" s="0" t="s">
        <v>14</v>
      </c>
      <c r="B232" s="0" t="s">
        <v>4147</v>
      </c>
      <c r="C232" s="0" t="s">
        <v>4148</v>
      </c>
      <c r="D232" s="0" t="s">
        <v>4149</v>
      </c>
      <c r="E232" s="0" t="s">
        <v>4150</v>
      </c>
      <c r="F232" s="0" t="s">
        <v>3530</v>
      </c>
      <c r="G232" s="0" t="s">
        <v>4151</v>
      </c>
    </row>
    <row customHeight="1" ht="11.25">
      <c r="A233" s="0" t="s">
        <v>14</v>
      </c>
      <c r="B233" s="0" t="s">
        <v>4147</v>
      </c>
      <c r="C233" s="0" t="s">
        <v>4148</v>
      </c>
      <c r="D233" s="0" t="s">
        <v>4152</v>
      </c>
      <c r="E233" s="0" t="s">
        <v>4153</v>
      </c>
      <c r="F233" s="0" t="s">
        <v>3530</v>
      </c>
      <c r="G233" s="0" t="s">
        <v>4154</v>
      </c>
    </row>
    <row customHeight="1" ht="11.25">
      <c r="A234" s="0" t="s">
        <v>14</v>
      </c>
      <c r="B234" s="0" t="s">
        <v>4147</v>
      </c>
      <c r="C234" s="0" t="s">
        <v>4148</v>
      </c>
      <c r="D234" s="0" t="s">
        <v>4155</v>
      </c>
      <c r="E234" s="0" t="s">
        <v>4156</v>
      </c>
      <c r="F234" s="0" t="s">
        <v>3530</v>
      </c>
      <c r="G234" s="0" t="s">
        <v>4157</v>
      </c>
    </row>
    <row customHeight="1" ht="11.25">
      <c r="A235" s="0" t="s">
        <v>14</v>
      </c>
      <c r="B235" s="0" t="s">
        <v>4147</v>
      </c>
      <c r="C235" s="0" t="s">
        <v>4148</v>
      </c>
      <c r="D235" s="0" t="s">
        <v>4158</v>
      </c>
      <c r="E235" s="0" t="s">
        <v>4159</v>
      </c>
      <c r="F235" s="0" t="s">
        <v>3530</v>
      </c>
      <c r="G235" s="0" t="s">
        <v>4160</v>
      </c>
    </row>
    <row customHeight="1" ht="11.25">
      <c r="A236" s="0" t="s">
        <v>14</v>
      </c>
      <c r="B236" s="0" t="s">
        <v>4147</v>
      </c>
      <c r="C236" s="0" t="s">
        <v>4148</v>
      </c>
      <c r="D236" s="0" t="s">
        <v>4161</v>
      </c>
      <c r="E236" s="0" t="s">
        <v>4162</v>
      </c>
      <c r="F236" s="0" t="s">
        <v>3530</v>
      </c>
      <c r="G236" s="0" t="s">
        <v>4163</v>
      </c>
    </row>
    <row customHeight="1" ht="11.25">
      <c r="A237" s="0" t="s">
        <v>14</v>
      </c>
      <c r="B237" s="0" t="s">
        <v>4147</v>
      </c>
      <c r="C237" s="0" t="s">
        <v>4148</v>
      </c>
      <c r="D237" s="0" t="s">
        <v>4164</v>
      </c>
      <c r="E237" s="0" t="s">
        <v>4165</v>
      </c>
      <c r="F237" s="0" t="s">
        <v>3530</v>
      </c>
      <c r="G237" s="0" t="s">
        <v>4166</v>
      </c>
    </row>
    <row customHeight="1" ht="11.25">
      <c r="A238" s="0" t="s">
        <v>14</v>
      </c>
      <c r="B238" s="0" t="s">
        <v>4147</v>
      </c>
      <c r="C238" s="0" t="s">
        <v>4148</v>
      </c>
      <c r="D238" s="0" t="s">
        <v>4147</v>
      </c>
      <c r="E238" s="0" t="s">
        <v>4148</v>
      </c>
      <c r="F238" s="0" t="s">
        <v>3527</v>
      </c>
      <c r="G238" s="0" t="s">
        <v>4167</v>
      </c>
    </row>
    <row customHeight="1" ht="11.25">
      <c r="A239" s="0" t="s">
        <v>14</v>
      </c>
      <c r="B239" s="0" t="s">
        <v>4147</v>
      </c>
      <c r="C239" s="0" t="s">
        <v>4148</v>
      </c>
      <c r="D239" s="0" t="s">
        <v>4168</v>
      </c>
      <c r="E239" s="0" t="s">
        <v>4169</v>
      </c>
      <c r="F239" s="0" t="s">
        <v>3569</v>
      </c>
      <c r="G239" s="0" t="s">
        <v>4170</v>
      </c>
    </row>
    <row customHeight="1" ht="11.25">
      <c r="A240" s="0" t="s">
        <v>14</v>
      </c>
      <c r="B240" s="0" t="s">
        <v>4147</v>
      </c>
      <c r="C240" s="0" t="s">
        <v>4148</v>
      </c>
      <c r="D240" s="0" t="s">
        <v>4171</v>
      </c>
      <c r="E240" s="0" t="s">
        <v>4172</v>
      </c>
      <c r="F240" s="0" t="s">
        <v>3530</v>
      </c>
      <c r="G240" s="0" t="s">
        <v>4173</v>
      </c>
    </row>
    <row customHeight="1" ht="11.25">
      <c r="A241" s="0" t="s">
        <v>14</v>
      </c>
      <c r="B241" s="0" t="s">
        <v>4147</v>
      </c>
      <c r="C241" s="0" t="s">
        <v>4148</v>
      </c>
      <c r="D241" s="0" t="s">
        <v>3996</v>
      </c>
      <c r="E241" s="0" t="s">
        <v>4174</v>
      </c>
      <c r="F241" s="0" t="s">
        <v>3530</v>
      </c>
      <c r="G241" s="0" t="s">
        <v>4175</v>
      </c>
    </row>
    <row customHeight="1" ht="11.25">
      <c r="A242" s="0" t="s">
        <v>14</v>
      </c>
      <c r="B242" s="0" t="s">
        <v>4147</v>
      </c>
      <c r="C242" s="0" t="s">
        <v>4148</v>
      </c>
      <c r="D242" s="0" t="s">
        <v>4176</v>
      </c>
      <c r="E242" s="0" t="s">
        <v>4177</v>
      </c>
      <c r="F242" s="0" t="s">
        <v>3530</v>
      </c>
      <c r="G242" s="0" t="s">
        <v>4178</v>
      </c>
    </row>
    <row customHeight="1" ht="11.25">
      <c r="A243" s="0" t="s">
        <v>14</v>
      </c>
      <c r="B243" s="0" t="s">
        <v>4147</v>
      </c>
      <c r="C243" s="0" t="s">
        <v>4148</v>
      </c>
      <c r="D243" s="0" t="s">
        <v>4179</v>
      </c>
      <c r="E243" s="0" t="s">
        <v>4180</v>
      </c>
      <c r="F243" s="0" t="s">
        <v>3530</v>
      </c>
      <c r="G243" s="0" t="s">
        <v>4181</v>
      </c>
    </row>
    <row customHeight="1" ht="11.25">
      <c r="A244" s="0" t="s">
        <v>14</v>
      </c>
      <c r="B244" s="0" t="s">
        <v>4147</v>
      </c>
      <c r="C244" s="0" t="s">
        <v>4148</v>
      </c>
      <c r="D244" s="0" t="s">
        <v>4182</v>
      </c>
      <c r="E244" s="0" t="s">
        <v>4183</v>
      </c>
      <c r="F244" s="0" t="s">
        <v>3530</v>
      </c>
      <c r="G244" s="0" t="s">
        <v>4184</v>
      </c>
    </row>
    <row customHeight="1" ht="11.25">
      <c r="A245" s="0" t="s">
        <v>14</v>
      </c>
      <c r="B245" s="0" t="s">
        <v>4147</v>
      </c>
      <c r="C245" s="0" t="s">
        <v>4148</v>
      </c>
      <c r="D245" s="0" t="s">
        <v>4185</v>
      </c>
      <c r="E245" s="0" t="s">
        <v>4186</v>
      </c>
      <c r="F245" s="0" t="s">
        <v>3530</v>
      </c>
      <c r="G245" s="0" t="s">
        <v>4187</v>
      </c>
    </row>
    <row customHeight="1" ht="11.25">
      <c r="A246" s="0" t="s">
        <v>14</v>
      </c>
      <c r="B246" s="0" t="s">
        <v>4188</v>
      </c>
      <c r="C246" s="0" t="s">
        <v>4189</v>
      </c>
      <c r="D246" s="0" t="s">
        <v>4190</v>
      </c>
      <c r="E246" s="0" t="s">
        <v>4191</v>
      </c>
      <c r="F246" s="0" t="s">
        <v>3530</v>
      </c>
      <c r="G246" s="0" t="s">
        <v>4192</v>
      </c>
    </row>
    <row customHeight="1" ht="11.25">
      <c r="A247" s="0" t="s">
        <v>14</v>
      </c>
      <c r="B247" s="0" t="s">
        <v>4188</v>
      </c>
      <c r="C247" s="0" t="s">
        <v>4189</v>
      </c>
      <c r="D247" s="0" t="s">
        <v>4193</v>
      </c>
      <c r="E247" s="0" t="s">
        <v>4194</v>
      </c>
      <c r="F247" s="0" t="s">
        <v>3530</v>
      </c>
      <c r="G247" s="0" t="s">
        <v>4195</v>
      </c>
    </row>
    <row customHeight="1" ht="11.25">
      <c r="A248" s="0" t="s">
        <v>14</v>
      </c>
      <c r="B248" s="0" t="s">
        <v>4188</v>
      </c>
      <c r="C248" s="0" t="s">
        <v>4189</v>
      </c>
      <c r="D248" s="0" t="s">
        <v>4188</v>
      </c>
      <c r="E248" s="0" t="s">
        <v>4189</v>
      </c>
      <c r="F248" s="0" t="s">
        <v>3527</v>
      </c>
      <c r="G248" s="0" t="s">
        <v>4196</v>
      </c>
    </row>
    <row customHeight="1" ht="11.25">
      <c r="A249" s="0" t="s">
        <v>14</v>
      </c>
      <c r="B249" s="0" t="s">
        <v>4188</v>
      </c>
      <c r="C249" s="0" t="s">
        <v>4189</v>
      </c>
      <c r="D249" s="0" t="s">
        <v>4197</v>
      </c>
      <c r="E249" s="0" t="s">
        <v>4198</v>
      </c>
      <c r="F249" s="0" t="s">
        <v>3530</v>
      </c>
      <c r="G249" s="0" t="s">
        <v>4199</v>
      </c>
    </row>
    <row customHeight="1" ht="11.25">
      <c r="A250" s="0" t="s">
        <v>14</v>
      </c>
      <c r="B250" s="0" t="s">
        <v>4188</v>
      </c>
      <c r="C250" s="0" t="s">
        <v>4189</v>
      </c>
      <c r="D250" s="0" t="s">
        <v>4200</v>
      </c>
      <c r="E250" s="0" t="s">
        <v>4201</v>
      </c>
      <c r="F250" s="0" t="s">
        <v>3530</v>
      </c>
      <c r="G250" s="0" t="s">
        <v>4202</v>
      </c>
    </row>
    <row customHeight="1" ht="11.25">
      <c r="A251" s="0" t="s">
        <v>14</v>
      </c>
      <c r="B251" s="0" t="s">
        <v>4188</v>
      </c>
      <c r="C251" s="0" t="s">
        <v>4189</v>
      </c>
      <c r="D251" s="0" t="s">
        <v>4203</v>
      </c>
      <c r="E251" s="0" t="s">
        <v>4204</v>
      </c>
      <c r="F251" s="0" t="s">
        <v>3530</v>
      </c>
      <c r="G251" s="0" t="s">
        <v>4205</v>
      </c>
    </row>
    <row customHeight="1" ht="11.25">
      <c r="A252" s="0" t="s">
        <v>14</v>
      </c>
      <c r="B252" s="0" t="s">
        <v>4188</v>
      </c>
      <c r="C252" s="0" t="s">
        <v>4189</v>
      </c>
      <c r="D252" s="0" t="s">
        <v>4206</v>
      </c>
      <c r="E252" s="0" t="s">
        <v>4207</v>
      </c>
      <c r="F252" s="0" t="s">
        <v>3530</v>
      </c>
      <c r="G252" s="0" t="s">
        <v>4208</v>
      </c>
    </row>
    <row customHeight="1" ht="11.25">
      <c r="A253" s="0" t="s">
        <v>14</v>
      </c>
      <c r="B253" s="0" t="s">
        <v>4188</v>
      </c>
      <c r="C253" s="0" t="s">
        <v>4189</v>
      </c>
      <c r="D253" s="0" t="s">
        <v>4209</v>
      </c>
      <c r="E253" s="0" t="s">
        <v>4210</v>
      </c>
      <c r="F253" s="0" t="s">
        <v>3530</v>
      </c>
      <c r="G253" s="0" t="s">
        <v>4211</v>
      </c>
    </row>
    <row customHeight="1" ht="11.25">
      <c r="A254" s="0" t="s">
        <v>14</v>
      </c>
      <c r="B254" s="0" t="s">
        <v>4212</v>
      </c>
      <c r="C254" s="0" t="s">
        <v>4213</v>
      </c>
      <c r="D254" s="0" t="s">
        <v>4214</v>
      </c>
      <c r="E254" s="0" t="s">
        <v>4215</v>
      </c>
      <c r="F254" s="0" t="s">
        <v>3530</v>
      </c>
      <c r="G254" s="0" t="s">
        <v>4216</v>
      </c>
    </row>
    <row customHeight="1" ht="11.25">
      <c r="A255" s="0" t="s">
        <v>14</v>
      </c>
      <c r="B255" s="0" t="s">
        <v>4212</v>
      </c>
      <c r="C255" s="0" t="s">
        <v>4213</v>
      </c>
      <c r="D255" s="0" t="s">
        <v>4217</v>
      </c>
      <c r="E255" s="0" t="s">
        <v>4218</v>
      </c>
      <c r="F255" s="0" t="s">
        <v>3530</v>
      </c>
      <c r="G255" s="0" t="s">
        <v>4219</v>
      </c>
    </row>
    <row customHeight="1" ht="11.25">
      <c r="A256" s="0" t="s">
        <v>14</v>
      </c>
      <c r="B256" s="0" t="s">
        <v>4212</v>
      </c>
      <c r="C256" s="0" t="s">
        <v>4213</v>
      </c>
      <c r="D256" s="0" t="s">
        <v>4220</v>
      </c>
      <c r="E256" s="0" t="s">
        <v>4221</v>
      </c>
      <c r="F256" s="0" t="s">
        <v>3530</v>
      </c>
      <c r="G256" s="0" t="s">
        <v>4222</v>
      </c>
    </row>
    <row customHeight="1" ht="11.25">
      <c r="A257" s="0" t="s">
        <v>14</v>
      </c>
      <c r="B257" s="0" t="s">
        <v>4212</v>
      </c>
      <c r="C257" s="0" t="s">
        <v>4213</v>
      </c>
      <c r="D257" s="0" t="s">
        <v>4223</v>
      </c>
      <c r="E257" s="0" t="s">
        <v>4224</v>
      </c>
      <c r="F257" s="0" t="s">
        <v>3530</v>
      </c>
      <c r="G257" s="0" t="s">
        <v>4225</v>
      </c>
    </row>
    <row customHeight="1" ht="11.25">
      <c r="A258" s="0" t="s">
        <v>14</v>
      </c>
      <c r="B258" s="0" t="s">
        <v>4212</v>
      </c>
      <c r="C258" s="0" t="s">
        <v>4213</v>
      </c>
      <c r="D258" s="0" t="s">
        <v>4226</v>
      </c>
      <c r="E258" s="0" t="s">
        <v>4227</v>
      </c>
      <c r="F258" s="0" t="s">
        <v>3530</v>
      </c>
      <c r="G258" s="0" t="s">
        <v>4228</v>
      </c>
    </row>
    <row customHeight="1" ht="11.25">
      <c r="A259" s="0" t="s">
        <v>14</v>
      </c>
      <c r="B259" s="0" t="s">
        <v>4212</v>
      </c>
      <c r="C259" s="0" t="s">
        <v>4213</v>
      </c>
      <c r="D259" s="0" t="s">
        <v>4229</v>
      </c>
      <c r="E259" s="0" t="s">
        <v>4230</v>
      </c>
      <c r="F259" s="0" t="s">
        <v>3530</v>
      </c>
      <c r="G259" s="0" t="s">
        <v>4231</v>
      </c>
    </row>
    <row customHeight="1" ht="11.25">
      <c r="A260" s="0" t="s">
        <v>14</v>
      </c>
      <c r="B260" s="0" t="s">
        <v>4212</v>
      </c>
      <c r="C260" s="0" t="s">
        <v>4213</v>
      </c>
      <c r="D260" s="0" t="s">
        <v>4212</v>
      </c>
      <c r="E260" s="0" t="s">
        <v>4213</v>
      </c>
      <c r="F260" s="0" t="s">
        <v>3527</v>
      </c>
      <c r="G260" s="0" t="s">
        <v>4232</v>
      </c>
    </row>
    <row customHeight="1" ht="11.25">
      <c r="A261" s="0" t="s">
        <v>14</v>
      </c>
      <c r="B261" s="0" t="s">
        <v>4212</v>
      </c>
      <c r="C261" s="0" t="s">
        <v>4213</v>
      </c>
      <c r="D261" s="0" t="s">
        <v>4233</v>
      </c>
      <c r="E261" s="0" t="s">
        <v>4234</v>
      </c>
      <c r="F261" s="0" t="s">
        <v>3569</v>
      </c>
      <c r="G261" s="0" t="s">
        <v>4235</v>
      </c>
    </row>
    <row customHeight="1" ht="11.25">
      <c r="A262" s="0" t="s">
        <v>14</v>
      </c>
      <c r="B262" s="0" t="s">
        <v>4212</v>
      </c>
      <c r="C262" s="0" t="s">
        <v>4213</v>
      </c>
      <c r="D262" s="0" t="s">
        <v>4236</v>
      </c>
      <c r="E262" s="0" t="s">
        <v>4237</v>
      </c>
      <c r="F262" s="0" t="s">
        <v>3530</v>
      </c>
      <c r="G262" s="0" t="s">
        <v>4238</v>
      </c>
    </row>
    <row customHeight="1" ht="11.25">
      <c r="A263" s="0" t="s">
        <v>14</v>
      </c>
      <c r="B263" s="0" t="s">
        <v>4212</v>
      </c>
      <c r="C263" s="0" t="s">
        <v>4213</v>
      </c>
      <c r="D263" s="0" t="s">
        <v>4239</v>
      </c>
      <c r="E263" s="0" t="s">
        <v>4240</v>
      </c>
      <c r="F263" s="0" t="s">
        <v>3530</v>
      </c>
      <c r="G263" s="0" t="s">
        <v>4241</v>
      </c>
    </row>
    <row customHeight="1" ht="11.25">
      <c r="A264" s="0" t="s">
        <v>14</v>
      </c>
      <c r="B264" s="0" t="s">
        <v>4242</v>
      </c>
      <c r="C264" s="0" t="s">
        <v>4243</v>
      </c>
      <c r="D264" s="0" t="s">
        <v>4244</v>
      </c>
      <c r="E264" s="0" t="s">
        <v>4245</v>
      </c>
      <c r="F264" s="0" t="s">
        <v>3530</v>
      </c>
      <c r="G264" s="0" t="s">
        <v>4246</v>
      </c>
    </row>
    <row customHeight="1" ht="11.25">
      <c r="A265" s="0" t="s">
        <v>14</v>
      </c>
      <c r="B265" s="0" t="s">
        <v>4242</v>
      </c>
      <c r="C265" s="0" t="s">
        <v>4243</v>
      </c>
      <c r="D265" s="0" t="s">
        <v>3918</v>
      </c>
      <c r="E265" s="0" t="s">
        <v>4247</v>
      </c>
      <c r="F265" s="0" t="s">
        <v>3530</v>
      </c>
      <c r="G265" s="0" t="s">
        <v>4248</v>
      </c>
    </row>
    <row customHeight="1" ht="11.25">
      <c r="A266" s="0" t="s">
        <v>14</v>
      </c>
      <c r="B266" s="0" t="s">
        <v>4242</v>
      </c>
      <c r="C266" s="0" t="s">
        <v>4243</v>
      </c>
      <c r="D266" s="0" t="s">
        <v>4249</v>
      </c>
      <c r="E266" s="0" t="s">
        <v>4250</v>
      </c>
      <c r="F266" s="0" t="s">
        <v>3530</v>
      </c>
      <c r="G266" s="0" t="s">
        <v>4251</v>
      </c>
    </row>
    <row customHeight="1" ht="11.25">
      <c r="A267" s="0" t="s">
        <v>14</v>
      </c>
      <c r="B267" s="0" t="s">
        <v>4242</v>
      </c>
      <c r="C267" s="0" t="s">
        <v>4243</v>
      </c>
      <c r="D267" s="0" t="s">
        <v>4252</v>
      </c>
      <c r="E267" s="0" t="s">
        <v>4253</v>
      </c>
      <c r="F267" s="0" t="s">
        <v>3530</v>
      </c>
      <c r="G267" s="0" t="s">
        <v>4254</v>
      </c>
    </row>
    <row customHeight="1" ht="11.25">
      <c r="A268" s="0" t="s">
        <v>14</v>
      </c>
      <c r="B268" s="0" t="s">
        <v>4242</v>
      </c>
      <c r="C268" s="0" t="s">
        <v>4243</v>
      </c>
      <c r="D268" s="0" t="s">
        <v>4242</v>
      </c>
      <c r="E268" s="0" t="s">
        <v>4243</v>
      </c>
      <c r="F268" s="0" t="s">
        <v>3527</v>
      </c>
      <c r="G268" s="0" t="s">
        <v>4255</v>
      </c>
    </row>
    <row customHeight="1" ht="11.25">
      <c r="A269" s="0" t="s">
        <v>14</v>
      </c>
      <c r="B269" s="0" t="s">
        <v>4242</v>
      </c>
      <c r="C269" s="0" t="s">
        <v>4243</v>
      </c>
      <c r="D269" s="0" t="s">
        <v>4256</v>
      </c>
      <c r="E269" s="0" t="s">
        <v>4257</v>
      </c>
      <c r="F269" s="0" t="s">
        <v>3530</v>
      </c>
      <c r="G269" s="0" t="s">
        <v>4258</v>
      </c>
    </row>
    <row customHeight="1" ht="11.25">
      <c r="A270" s="0" t="s">
        <v>14</v>
      </c>
      <c r="B270" s="0" t="s">
        <v>4242</v>
      </c>
      <c r="C270" s="0" t="s">
        <v>4243</v>
      </c>
      <c r="D270" s="0" t="s">
        <v>4259</v>
      </c>
      <c r="E270" s="0" t="s">
        <v>4260</v>
      </c>
      <c r="F270" s="0" t="s">
        <v>3530</v>
      </c>
      <c r="G270" s="0" t="s">
        <v>4261</v>
      </c>
    </row>
    <row customHeight="1" ht="11.25">
      <c r="A271" s="0" t="s">
        <v>14</v>
      </c>
      <c r="B271" s="0" t="s">
        <v>4242</v>
      </c>
      <c r="C271" s="0" t="s">
        <v>4243</v>
      </c>
      <c r="D271" s="0" t="s">
        <v>4262</v>
      </c>
      <c r="E271" s="0" t="s">
        <v>4263</v>
      </c>
      <c r="F271" s="0" t="s">
        <v>3530</v>
      </c>
      <c r="G271" s="0" t="s">
        <v>4264</v>
      </c>
    </row>
    <row customHeight="1" ht="11.25">
      <c r="A272" s="0" t="s">
        <v>14</v>
      </c>
      <c r="B272" s="0" t="s">
        <v>4265</v>
      </c>
      <c r="C272" s="0" t="s">
        <v>4266</v>
      </c>
      <c r="D272" s="0" t="s">
        <v>4267</v>
      </c>
      <c r="E272" s="0" t="s">
        <v>4268</v>
      </c>
      <c r="F272" s="0" t="s">
        <v>3530</v>
      </c>
      <c r="G272" s="0" t="s">
        <v>4269</v>
      </c>
    </row>
    <row customHeight="1" ht="11.25">
      <c r="A273" s="0" t="s">
        <v>14</v>
      </c>
      <c r="B273" s="0" t="s">
        <v>4265</v>
      </c>
      <c r="C273" s="0" t="s">
        <v>4266</v>
      </c>
      <c r="D273" s="0" t="s">
        <v>4270</v>
      </c>
      <c r="E273" s="0" t="s">
        <v>4271</v>
      </c>
      <c r="F273" s="0" t="s">
        <v>3530</v>
      </c>
      <c r="G273" s="0" t="s">
        <v>4272</v>
      </c>
    </row>
    <row customHeight="1" ht="11.25">
      <c r="A274" s="0" t="s">
        <v>14</v>
      </c>
      <c r="B274" s="0" t="s">
        <v>4265</v>
      </c>
      <c r="C274" s="0" t="s">
        <v>4266</v>
      </c>
      <c r="D274" s="0" t="s">
        <v>4273</v>
      </c>
      <c r="E274" s="0" t="s">
        <v>4274</v>
      </c>
      <c r="F274" s="0" t="s">
        <v>3530</v>
      </c>
      <c r="G274" s="0" t="s">
        <v>4275</v>
      </c>
    </row>
    <row customHeight="1" ht="11.25">
      <c r="A275" s="0" t="s">
        <v>14</v>
      </c>
      <c r="B275" s="0" t="s">
        <v>4265</v>
      </c>
      <c r="C275" s="0" t="s">
        <v>4266</v>
      </c>
      <c r="D275" s="0" t="s">
        <v>4276</v>
      </c>
      <c r="E275" s="0" t="s">
        <v>4277</v>
      </c>
      <c r="F275" s="0" t="s">
        <v>3530</v>
      </c>
      <c r="G275" s="0" t="s">
        <v>4278</v>
      </c>
    </row>
    <row customHeight="1" ht="11.25">
      <c r="A276" s="0" t="s">
        <v>14</v>
      </c>
      <c r="B276" s="0" t="s">
        <v>4265</v>
      </c>
      <c r="C276" s="0" t="s">
        <v>4266</v>
      </c>
      <c r="D276" s="0" t="s">
        <v>4279</v>
      </c>
      <c r="E276" s="0" t="s">
        <v>4280</v>
      </c>
      <c r="F276" s="0" t="s">
        <v>3530</v>
      </c>
      <c r="G276" s="0" t="s">
        <v>4281</v>
      </c>
    </row>
    <row customHeight="1" ht="11.25">
      <c r="A277" s="0" t="s">
        <v>14</v>
      </c>
      <c r="B277" s="0" t="s">
        <v>4265</v>
      </c>
      <c r="C277" s="0" t="s">
        <v>4266</v>
      </c>
      <c r="D277" s="0" t="s">
        <v>4282</v>
      </c>
      <c r="E277" s="0" t="s">
        <v>4283</v>
      </c>
      <c r="F277" s="0" t="s">
        <v>3530</v>
      </c>
      <c r="G277" s="0" t="s">
        <v>4284</v>
      </c>
    </row>
    <row customHeight="1" ht="11.25">
      <c r="A278" s="0" t="s">
        <v>14</v>
      </c>
      <c r="B278" s="0" t="s">
        <v>4265</v>
      </c>
      <c r="C278" s="0" t="s">
        <v>4266</v>
      </c>
      <c r="D278" s="0" t="s">
        <v>4265</v>
      </c>
      <c r="E278" s="0" t="s">
        <v>4266</v>
      </c>
      <c r="F278" s="0" t="s">
        <v>3527</v>
      </c>
      <c r="G278" s="0" t="s">
        <v>4285</v>
      </c>
    </row>
    <row customHeight="1" ht="11.25">
      <c r="A279" s="0" t="s">
        <v>14</v>
      </c>
      <c r="B279" s="0" t="s">
        <v>4265</v>
      </c>
      <c r="C279" s="0" t="s">
        <v>4266</v>
      </c>
      <c r="D279" s="0" t="s">
        <v>4023</v>
      </c>
      <c r="E279" s="0" t="s">
        <v>4286</v>
      </c>
      <c r="F279" s="0" t="s">
        <v>3530</v>
      </c>
      <c r="G279" s="0" t="s">
        <v>4287</v>
      </c>
    </row>
    <row customHeight="1" ht="11.25">
      <c r="A280" s="0" t="s">
        <v>14</v>
      </c>
      <c r="B280" s="0" t="s">
        <v>4265</v>
      </c>
      <c r="C280" s="0" t="s">
        <v>4266</v>
      </c>
      <c r="D280" s="0" t="s">
        <v>4288</v>
      </c>
      <c r="E280" s="0" t="s">
        <v>4289</v>
      </c>
      <c r="F280" s="0" t="s">
        <v>3530</v>
      </c>
      <c r="G280" s="0" t="s">
        <v>4290</v>
      </c>
    </row>
    <row customHeight="1" ht="11.25">
      <c r="A281" s="0" t="s">
        <v>14</v>
      </c>
      <c r="B281" s="0" t="s">
        <v>4265</v>
      </c>
      <c r="C281" s="0" t="s">
        <v>4266</v>
      </c>
      <c r="D281" s="0" t="s">
        <v>4291</v>
      </c>
      <c r="E281" s="0" t="s">
        <v>4292</v>
      </c>
      <c r="F281" s="0" t="s">
        <v>3530</v>
      </c>
      <c r="G281" s="0" t="s">
        <v>4293</v>
      </c>
    </row>
    <row customHeight="1" ht="11.25">
      <c r="A282" s="0" t="s">
        <v>14</v>
      </c>
      <c r="B282" s="0" t="s">
        <v>4265</v>
      </c>
      <c r="C282" s="0" t="s">
        <v>4266</v>
      </c>
      <c r="D282" s="0" t="s">
        <v>4294</v>
      </c>
      <c r="E282" s="0" t="s">
        <v>4295</v>
      </c>
      <c r="F282" s="0" t="s">
        <v>3530</v>
      </c>
      <c r="G282" s="0" t="s">
        <v>4296</v>
      </c>
    </row>
    <row customHeight="1" ht="11.25">
      <c r="A283" s="0" t="s">
        <v>14</v>
      </c>
      <c r="B283" s="0" t="s">
        <v>4265</v>
      </c>
      <c r="C283" s="0" t="s">
        <v>4266</v>
      </c>
      <c r="D283" s="0" t="s">
        <v>4297</v>
      </c>
      <c r="E283" s="0" t="s">
        <v>4298</v>
      </c>
      <c r="F283" s="0" t="s">
        <v>3530</v>
      </c>
      <c r="G283" s="0" t="s">
        <v>4299</v>
      </c>
    </row>
    <row customHeight="1" ht="11.25">
      <c r="A284" s="0" t="s">
        <v>14</v>
      </c>
      <c r="B284" s="0" t="s">
        <v>4265</v>
      </c>
      <c r="C284" s="0" t="s">
        <v>4266</v>
      </c>
      <c r="D284" s="0" t="s">
        <v>4300</v>
      </c>
      <c r="E284" s="0" t="s">
        <v>4301</v>
      </c>
      <c r="F284" s="0" t="s">
        <v>3530</v>
      </c>
      <c r="G284" s="0" t="s">
        <v>4302</v>
      </c>
    </row>
    <row customHeight="1" ht="11.25">
      <c r="A285" s="0" t="s">
        <v>14</v>
      </c>
      <c r="B285" s="0" t="s">
        <v>4265</v>
      </c>
      <c r="C285" s="0" t="s">
        <v>4266</v>
      </c>
      <c r="D285" s="0" t="s">
        <v>4303</v>
      </c>
      <c r="E285" s="0" t="s">
        <v>4304</v>
      </c>
      <c r="F285" s="0" t="s">
        <v>3530</v>
      </c>
      <c r="G285" s="0" t="s">
        <v>4305</v>
      </c>
    </row>
    <row customHeight="1" ht="11.25">
      <c r="A286" s="0" t="s">
        <v>14</v>
      </c>
      <c r="B286" s="0" t="s">
        <v>4265</v>
      </c>
      <c r="C286" s="0" t="s">
        <v>4266</v>
      </c>
      <c r="D286" s="0" t="s">
        <v>4306</v>
      </c>
      <c r="E286" s="0" t="s">
        <v>4307</v>
      </c>
      <c r="F286" s="0" t="s">
        <v>3530</v>
      </c>
      <c r="G286" s="0" t="s">
        <v>4308</v>
      </c>
    </row>
    <row customHeight="1" ht="11.25">
      <c r="A287" s="0" t="s">
        <v>14</v>
      </c>
      <c r="B287" s="0" t="s">
        <v>4265</v>
      </c>
      <c r="C287" s="0" t="s">
        <v>4266</v>
      </c>
      <c r="D287" s="0" t="s">
        <v>4309</v>
      </c>
      <c r="E287" s="0" t="s">
        <v>4310</v>
      </c>
      <c r="F287" s="0" t="s">
        <v>3530</v>
      </c>
      <c r="G287" s="0" t="s">
        <v>4311</v>
      </c>
    </row>
    <row customHeight="1" ht="11.25">
      <c r="A288" s="0" t="s">
        <v>14</v>
      </c>
      <c r="B288" s="0" t="s">
        <v>4265</v>
      </c>
      <c r="C288" s="0" t="s">
        <v>4266</v>
      </c>
      <c r="D288" s="0" t="s">
        <v>4312</v>
      </c>
      <c r="E288" s="0" t="s">
        <v>4313</v>
      </c>
      <c r="F288" s="0" t="s">
        <v>3530</v>
      </c>
      <c r="G288" s="0" t="s">
        <v>4314</v>
      </c>
    </row>
    <row customHeight="1" ht="11.25">
      <c r="A289" s="0" t="s">
        <v>14</v>
      </c>
      <c r="B289" s="0" t="s">
        <v>4265</v>
      </c>
      <c r="C289" s="0" t="s">
        <v>4266</v>
      </c>
      <c r="D289" s="0" t="s">
        <v>4315</v>
      </c>
      <c r="E289" s="0" t="s">
        <v>4316</v>
      </c>
      <c r="F289" s="0" t="s">
        <v>3530</v>
      </c>
      <c r="G289" s="0" t="s">
        <v>4317</v>
      </c>
    </row>
    <row customHeight="1" ht="11.25">
      <c r="A290" s="0" t="s">
        <v>14</v>
      </c>
      <c r="B290" s="0" t="s">
        <v>4265</v>
      </c>
      <c r="C290" s="0" t="s">
        <v>4266</v>
      </c>
      <c r="D290" s="0" t="s">
        <v>4318</v>
      </c>
      <c r="E290" s="0" t="s">
        <v>4319</v>
      </c>
      <c r="F290" s="0" t="s">
        <v>3530</v>
      </c>
      <c r="G290" s="0" t="s">
        <v>4320</v>
      </c>
    </row>
    <row customHeight="1" ht="11.25">
      <c r="A291" s="0" t="s">
        <v>14</v>
      </c>
      <c r="B291" s="0" t="s">
        <v>4321</v>
      </c>
      <c r="C291" s="0" t="s">
        <v>4322</v>
      </c>
      <c r="D291" s="0" t="s">
        <v>3528</v>
      </c>
      <c r="E291" s="0" t="s">
        <v>4323</v>
      </c>
      <c r="F291" s="0" t="s">
        <v>3530</v>
      </c>
      <c r="G291" s="0" t="s">
        <v>4324</v>
      </c>
    </row>
    <row customHeight="1" ht="11.25">
      <c r="A292" s="0" t="s">
        <v>14</v>
      </c>
      <c r="B292" s="0" t="s">
        <v>4321</v>
      </c>
      <c r="C292" s="0" t="s">
        <v>4322</v>
      </c>
      <c r="D292" s="0" t="s">
        <v>4122</v>
      </c>
      <c r="E292" s="0" t="s">
        <v>4325</v>
      </c>
      <c r="F292" s="0" t="s">
        <v>3530</v>
      </c>
      <c r="G292" s="0" t="s">
        <v>4326</v>
      </c>
    </row>
    <row customHeight="1" ht="11.25">
      <c r="A293" s="0" t="s">
        <v>14</v>
      </c>
      <c r="B293" s="0" t="s">
        <v>4321</v>
      </c>
      <c r="C293" s="0" t="s">
        <v>4322</v>
      </c>
      <c r="D293" s="0" t="s">
        <v>4327</v>
      </c>
      <c r="E293" s="0" t="s">
        <v>4328</v>
      </c>
      <c r="F293" s="0" t="s">
        <v>3530</v>
      </c>
      <c r="G293" s="0" t="s">
        <v>4329</v>
      </c>
    </row>
    <row customHeight="1" ht="11.25">
      <c r="A294" s="0" t="s">
        <v>14</v>
      </c>
      <c r="B294" s="0" t="s">
        <v>4321</v>
      </c>
      <c r="C294" s="0" t="s">
        <v>4322</v>
      </c>
      <c r="D294" s="0" t="s">
        <v>4330</v>
      </c>
      <c r="E294" s="0" t="s">
        <v>4331</v>
      </c>
      <c r="F294" s="0" t="s">
        <v>3530</v>
      </c>
      <c r="G294" s="0" t="s">
        <v>4332</v>
      </c>
    </row>
    <row customHeight="1" ht="11.25">
      <c r="A295" s="0" t="s">
        <v>14</v>
      </c>
      <c r="B295" s="0" t="s">
        <v>4321</v>
      </c>
      <c r="C295" s="0" t="s">
        <v>4322</v>
      </c>
      <c r="D295" s="0" t="s">
        <v>4333</v>
      </c>
      <c r="E295" s="0" t="s">
        <v>4334</v>
      </c>
      <c r="F295" s="0" t="s">
        <v>3530</v>
      </c>
      <c r="G295" s="0" t="s">
        <v>4335</v>
      </c>
    </row>
    <row customHeight="1" ht="11.25">
      <c r="A296" s="0" t="s">
        <v>14</v>
      </c>
      <c r="B296" s="0" t="s">
        <v>4321</v>
      </c>
      <c r="C296" s="0" t="s">
        <v>4322</v>
      </c>
      <c r="D296" s="0" t="s">
        <v>4321</v>
      </c>
      <c r="E296" s="0" t="s">
        <v>4322</v>
      </c>
      <c r="F296" s="0" t="s">
        <v>3527</v>
      </c>
      <c r="G296" s="0" t="s">
        <v>4336</v>
      </c>
    </row>
    <row customHeight="1" ht="11.25">
      <c r="A297" s="0" t="s">
        <v>14</v>
      </c>
      <c r="B297" s="0" t="s">
        <v>4321</v>
      </c>
      <c r="C297" s="0" t="s">
        <v>4322</v>
      </c>
      <c r="D297" s="0" t="s">
        <v>4337</v>
      </c>
      <c r="E297" s="0" t="s">
        <v>4338</v>
      </c>
      <c r="F297" s="0" t="s">
        <v>3530</v>
      </c>
      <c r="G297" s="0" t="s">
        <v>4339</v>
      </c>
    </row>
    <row customHeight="1" ht="11.25">
      <c r="A298" s="0" t="s">
        <v>14</v>
      </c>
      <c r="B298" s="0" t="s">
        <v>4321</v>
      </c>
      <c r="C298" s="0" t="s">
        <v>4322</v>
      </c>
      <c r="D298" s="0" t="s">
        <v>4340</v>
      </c>
      <c r="E298" s="0" t="s">
        <v>4341</v>
      </c>
      <c r="F298" s="0" t="s">
        <v>3530</v>
      </c>
      <c r="G298" s="0" t="s">
        <v>4342</v>
      </c>
    </row>
    <row customHeight="1" ht="11.25">
      <c r="A299" s="0" t="s">
        <v>14</v>
      </c>
      <c r="B299" s="0" t="s">
        <v>4343</v>
      </c>
      <c r="C299" s="0" t="s">
        <v>4344</v>
      </c>
      <c r="D299" s="0" t="s">
        <v>4122</v>
      </c>
      <c r="E299" s="0" t="s">
        <v>4345</v>
      </c>
      <c r="F299" s="0" t="s">
        <v>3530</v>
      </c>
      <c r="G299" s="0" t="s">
        <v>4346</v>
      </c>
    </row>
    <row customHeight="1" ht="11.25">
      <c r="A300" s="0" t="s">
        <v>14</v>
      </c>
      <c r="B300" s="0" t="s">
        <v>4343</v>
      </c>
      <c r="C300" s="0" t="s">
        <v>4344</v>
      </c>
      <c r="D300" s="0" t="s">
        <v>4347</v>
      </c>
      <c r="E300" s="0" t="s">
        <v>4348</v>
      </c>
      <c r="F300" s="0" t="s">
        <v>3530</v>
      </c>
      <c r="G300" s="0" t="s">
        <v>4349</v>
      </c>
    </row>
    <row customHeight="1" ht="11.25">
      <c r="A301" s="0" t="s">
        <v>14</v>
      </c>
      <c r="B301" s="0" t="s">
        <v>4343</v>
      </c>
      <c r="C301" s="0" t="s">
        <v>4344</v>
      </c>
      <c r="D301" s="0" t="s">
        <v>4350</v>
      </c>
      <c r="E301" s="0" t="s">
        <v>4351</v>
      </c>
      <c r="F301" s="0" t="s">
        <v>3530</v>
      </c>
      <c r="G301" s="0" t="s">
        <v>4352</v>
      </c>
    </row>
    <row customHeight="1" ht="11.25">
      <c r="A302" s="0" t="s">
        <v>14</v>
      </c>
      <c r="B302" s="0" t="s">
        <v>4343</v>
      </c>
      <c r="C302" s="0" t="s">
        <v>4344</v>
      </c>
      <c r="D302" s="0" t="s">
        <v>4353</v>
      </c>
      <c r="E302" s="0" t="s">
        <v>4354</v>
      </c>
      <c r="F302" s="0" t="s">
        <v>3948</v>
      </c>
      <c r="G302" s="0" t="s">
        <v>4355</v>
      </c>
    </row>
    <row customHeight="1" ht="11.25">
      <c r="A303" s="0" t="s">
        <v>14</v>
      </c>
      <c r="B303" s="0" t="s">
        <v>4343</v>
      </c>
      <c r="C303" s="0" t="s">
        <v>4344</v>
      </c>
      <c r="D303" s="0" t="s">
        <v>4356</v>
      </c>
      <c r="E303" s="0" t="s">
        <v>4357</v>
      </c>
      <c r="F303" s="0" t="s">
        <v>3530</v>
      </c>
      <c r="G303" s="0" t="s">
        <v>4358</v>
      </c>
    </row>
    <row customHeight="1" ht="11.25">
      <c r="A304" s="0" t="s">
        <v>14</v>
      </c>
      <c r="B304" s="0" t="s">
        <v>4343</v>
      </c>
      <c r="C304" s="0" t="s">
        <v>4344</v>
      </c>
      <c r="D304" s="0" t="s">
        <v>4359</v>
      </c>
      <c r="E304" s="0" t="s">
        <v>4360</v>
      </c>
      <c r="F304" s="0" t="s">
        <v>3530</v>
      </c>
      <c r="G304" s="0" t="s">
        <v>4361</v>
      </c>
    </row>
    <row customHeight="1" ht="11.25">
      <c r="A305" s="0" t="s">
        <v>14</v>
      </c>
      <c r="B305" s="0" t="s">
        <v>4343</v>
      </c>
      <c r="C305" s="0" t="s">
        <v>4344</v>
      </c>
      <c r="D305" s="0" t="s">
        <v>3642</v>
      </c>
      <c r="E305" s="0" t="s">
        <v>4362</v>
      </c>
      <c r="F305" s="0" t="s">
        <v>3530</v>
      </c>
      <c r="G305" s="0" t="s">
        <v>4363</v>
      </c>
    </row>
    <row customHeight="1" ht="11.25">
      <c r="A306" s="0" t="s">
        <v>14</v>
      </c>
      <c r="B306" s="0" t="s">
        <v>4343</v>
      </c>
      <c r="C306" s="0" t="s">
        <v>4344</v>
      </c>
      <c r="D306" s="0" t="s">
        <v>4364</v>
      </c>
      <c r="E306" s="0" t="s">
        <v>4365</v>
      </c>
      <c r="F306" s="0" t="s">
        <v>3530</v>
      </c>
      <c r="G306" s="0" t="s">
        <v>4366</v>
      </c>
    </row>
    <row customHeight="1" ht="11.25">
      <c r="A307" s="0" t="s">
        <v>14</v>
      </c>
      <c r="B307" s="0" t="s">
        <v>4343</v>
      </c>
      <c r="C307" s="0" t="s">
        <v>4344</v>
      </c>
      <c r="D307" s="0" t="s">
        <v>4367</v>
      </c>
      <c r="E307" s="0" t="s">
        <v>4368</v>
      </c>
      <c r="F307" s="0" t="s">
        <v>3530</v>
      </c>
      <c r="G307" s="0" t="s">
        <v>4369</v>
      </c>
    </row>
    <row customHeight="1" ht="11.25">
      <c r="A308" s="0" t="s">
        <v>14</v>
      </c>
      <c r="B308" s="0" t="s">
        <v>4343</v>
      </c>
      <c r="C308" s="0" t="s">
        <v>4344</v>
      </c>
      <c r="D308" s="0" t="s">
        <v>4370</v>
      </c>
      <c r="E308" s="0" t="s">
        <v>4371</v>
      </c>
      <c r="F308" s="0" t="s">
        <v>3530</v>
      </c>
      <c r="G308" s="0" t="s">
        <v>4372</v>
      </c>
    </row>
    <row customHeight="1" ht="11.25">
      <c r="A309" s="0" t="s">
        <v>14</v>
      </c>
      <c r="B309" s="0" t="s">
        <v>4343</v>
      </c>
      <c r="C309" s="0" t="s">
        <v>4344</v>
      </c>
      <c r="D309" s="0" t="s">
        <v>4373</v>
      </c>
      <c r="E309" s="0" t="s">
        <v>4374</v>
      </c>
      <c r="F309" s="0" t="s">
        <v>3530</v>
      </c>
      <c r="G309" s="0" t="s">
        <v>4375</v>
      </c>
    </row>
    <row customHeight="1" ht="11.25">
      <c r="A310" s="0" t="s">
        <v>14</v>
      </c>
      <c r="B310" s="0" t="s">
        <v>4343</v>
      </c>
      <c r="C310" s="0" t="s">
        <v>4344</v>
      </c>
      <c r="D310" s="0" t="s">
        <v>4343</v>
      </c>
      <c r="E310" s="0" t="s">
        <v>4344</v>
      </c>
      <c r="F310" s="0" t="s">
        <v>3527</v>
      </c>
      <c r="G310" s="0" t="s">
        <v>4376</v>
      </c>
    </row>
    <row customHeight="1" ht="11.25">
      <c r="A311" s="0" t="s">
        <v>14</v>
      </c>
      <c r="B311" s="0" t="s">
        <v>4343</v>
      </c>
      <c r="C311" s="0" t="s">
        <v>4344</v>
      </c>
      <c r="D311" s="0" t="s">
        <v>4377</v>
      </c>
      <c r="E311" s="0" t="s">
        <v>4378</v>
      </c>
      <c r="F311" s="0" t="s">
        <v>3530</v>
      </c>
      <c r="G311" s="0" t="s">
        <v>4379</v>
      </c>
    </row>
    <row customHeight="1" ht="11.25">
      <c r="A312" s="0" t="s">
        <v>14</v>
      </c>
      <c r="B312" s="0" t="s">
        <v>4380</v>
      </c>
      <c r="C312" s="0" t="s">
        <v>4381</v>
      </c>
      <c r="D312" s="0" t="s">
        <v>4382</v>
      </c>
      <c r="E312" s="0" t="s">
        <v>4383</v>
      </c>
      <c r="F312" s="0" t="s">
        <v>3530</v>
      </c>
      <c r="G312" s="0" t="s">
        <v>4384</v>
      </c>
    </row>
    <row customHeight="1" ht="11.25">
      <c r="A313" s="0" t="s">
        <v>14</v>
      </c>
      <c r="B313" s="0" t="s">
        <v>4380</v>
      </c>
      <c r="C313" s="0" t="s">
        <v>4381</v>
      </c>
      <c r="D313" s="0" t="s">
        <v>3854</v>
      </c>
      <c r="E313" s="0" t="s">
        <v>4385</v>
      </c>
      <c r="F313" s="0" t="s">
        <v>3530</v>
      </c>
      <c r="G313" s="0" t="s">
        <v>4386</v>
      </c>
    </row>
    <row customHeight="1" ht="11.25">
      <c r="A314" s="0" t="s">
        <v>14</v>
      </c>
      <c r="B314" s="0" t="s">
        <v>4380</v>
      </c>
      <c r="C314" s="0" t="s">
        <v>4381</v>
      </c>
      <c r="D314" s="0" t="s">
        <v>4387</v>
      </c>
      <c r="E314" s="0" t="s">
        <v>4388</v>
      </c>
      <c r="F314" s="0" t="s">
        <v>3530</v>
      </c>
      <c r="G314" s="0" t="s">
        <v>4389</v>
      </c>
    </row>
    <row customHeight="1" ht="11.25">
      <c r="A315" s="0" t="s">
        <v>14</v>
      </c>
      <c r="B315" s="0" t="s">
        <v>4380</v>
      </c>
      <c r="C315" s="0" t="s">
        <v>4381</v>
      </c>
      <c r="D315" s="0" t="s">
        <v>3890</v>
      </c>
      <c r="E315" s="0" t="s">
        <v>4390</v>
      </c>
      <c r="F315" s="0" t="s">
        <v>3530</v>
      </c>
      <c r="G315" s="0" t="s">
        <v>4391</v>
      </c>
    </row>
    <row customHeight="1" ht="11.25">
      <c r="A316" s="0" t="s">
        <v>14</v>
      </c>
      <c r="B316" s="0" t="s">
        <v>4380</v>
      </c>
      <c r="C316" s="0" t="s">
        <v>4381</v>
      </c>
      <c r="D316" s="0" t="s">
        <v>3864</v>
      </c>
      <c r="E316" s="0" t="s">
        <v>4392</v>
      </c>
      <c r="F316" s="0" t="s">
        <v>3530</v>
      </c>
      <c r="G316" s="0" t="s">
        <v>4393</v>
      </c>
    </row>
    <row customHeight="1" ht="11.25">
      <c r="A317" s="0" t="s">
        <v>14</v>
      </c>
      <c r="B317" s="0" t="s">
        <v>4380</v>
      </c>
      <c r="C317" s="0" t="s">
        <v>4381</v>
      </c>
      <c r="D317" s="0" t="s">
        <v>4394</v>
      </c>
      <c r="E317" s="0" t="s">
        <v>4395</v>
      </c>
      <c r="F317" s="0" t="s">
        <v>3530</v>
      </c>
      <c r="G317" s="0" t="s">
        <v>4396</v>
      </c>
    </row>
    <row customHeight="1" ht="11.25">
      <c r="A318" s="0" t="s">
        <v>14</v>
      </c>
      <c r="B318" s="0" t="s">
        <v>4380</v>
      </c>
      <c r="C318" s="0" t="s">
        <v>4381</v>
      </c>
      <c r="D318" s="0" t="s">
        <v>4397</v>
      </c>
      <c r="E318" s="0" t="s">
        <v>4398</v>
      </c>
      <c r="F318" s="0" t="s">
        <v>3530</v>
      </c>
      <c r="G318" s="0" t="s">
        <v>4399</v>
      </c>
    </row>
    <row customHeight="1" ht="11.25">
      <c r="A319" s="0" t="s">
        <v>14</v>
      </c>
      <c r="B319" s="0" t="s">
        <v>4380</v>
      </c>
      <c r="C319" s="0" t="s">
        <v>4381</v>
      </c>
      <c r="D319" s="0" t="s">
        <v>4400</v>
      </c>
      <c r="E319" s="0" t="s">
        <v>4401</v>
      </c>
      <c r="F319" s="0" t="s">
        <v>3530</v>
      </c>
      <c r="G319" s="0" t="s">
        <v>4402</v>
      </c>
    </row>
    <row customHeight="1" ht="11.25">
      <c r="A320" s="0" t="s">
        <v>14</v>
      </c>
      <c r="B320" s="0" t="s">
        <v>4380</v>
      </c>
      <c r="C320" s="0" t="s">
        <v>4381</v>
      </c>
      <c r="D320" s="0" t="s">
        <v>4380</v>
      </c>
      <c r="E320" s="0" t="s">
        <v>4381</v>
      </c>
      <c r="F320" s="0" t="s">
        <v>3527</v>
      </c>
      <c r="G320" s="0" t="s">
        <v>4403</v>
      </c>
    </row>
    <row customHeight="1" ht="11.25">
      <c r="A321" s="0" t="s">
        <v>14</v>
      </c>
      <c r="B321" s="0" t="s">
        <v>4380</v>
      </c>
      <c r="C321" s="0" t="s">
        <v>4381</v>
      </c>
      <c r="D321" s="0" t="s">
        <v>4203</v>
      </c>
      <c r="E321" s="0" t="s">
        <v>4404</v>
      </c>
      <c r="F321" s="0" t="s">
        <v>3530</v>
      </c>
      <c r="G321" s="0" t="s">
        <v>4405</v>
      </c>
    </row>
    <row customHeight="1" ht="11.25">
      <c r="A322" s="0" t="s">
        <v>14</v>
      </c>
      <c r="B322" s="0" t="s">
        <v>4380</v>
      </c>
      <c r="C322" s="0" t="s">
        <v>4381</v>
      </c>
      <c r="D322" s="0" t="s">
        <v>4406</v>
      </c>
      <c r="E322" s="0" t="s">
        <v>4407</v>
      </c>
      <c r="F322" s="0" t="s">
        <v>3530</v>
      </c>
      <c r="G322" s="0" t="s">
        <v>4408</v>
      </c>
    </row>
    <row customHeight="1" ht="11.25">
      <c r="A323" s="0" t="s">
        <v>14</v>
      </c>
      <c r="B323" s="0" t="s">
        <v>4380</v>
      </c>
      <c r="C323" s="0" t="s">
        <v>4381</v>
      </c>
      <c r="D323" s="0" t="s">
        <v>4063</v>
      </c>
      <c r="E323" s="0" t="s">
        <v>4409</v>
      </c>
      <c r="F323" s="0" t="s">
        <v>3530</v>
      </c>
      <c r="G323" s="0" t="s">
        <v>4410</v>
      </c>
    </row>
    <row customHeight="1" ht="11.25">
      <c r="A324" s="0" t="s">
        <v>14</v>
      </c>
      <c r="B324" s="0" t="s">
        <v>4411</v>
      </c>
      <c r="C324" s="0" t="s">
        <v>4412</v>
      </c>
      <c r="D324" s="0" t="s">
        <v>4413</v>
      </c>
      <c r="E324" s="0" t="s">
        <v>4414</v>
      </c>
      <c r="F324" s="0" t="s">
        <v>3530</v>
      </c>
      <c r="G324" s="0" t="s">
        <v>4415</v>
      </c>
    </row>
    <row customHeight="1" ht="11.25">
      <c r="A325" s="0" t="s">
        <v>14</v>
      </c>
      <c r="B325" s="0" t="s">
        <v>4411</v>
      </c>
      <c r="C325" s="0" t="s">
        <v>4412</v>
      </c>
      <c r="D325" s="0" t="s">
        <v>3767</v>
      </c>
      <c r="E325" s="0" t="s">
        <v>4416</v>
      </c>
      <c r="F325" s="0" t="s">
        <v>3530</v>
      </c>
      <c r="G325" s="0" t="s">
        <v>4417</v>
      </c>
    </row>
    <row customHeight="1" ht="11.25">
      <c r="A326" s="0" t="s">
        <v>14</v>
      </c>
      <c r="B326" s="0" t="s">
        <v>4411</v>
      </c>
      <c r="C326" s="0" t="s">
        <v>4412</v>
      </c>
      <c r="D326" s="0" t="s">
        <v>4418</v>
      </c>
      <c r="E326" s="0" t="s">
        <v>4419</v>
      </c>
      <c r="F326" s="0" t="s">
        <v>3530</v>
      </c>
      <c r="G326" s="0" t="s">
        <v>4420</v>
      </c>
    </row>
    <row customHeight="1" ht="11.25">
      <c r="A327" s="0" t="s">
        <v>14</v>
      </c>
      <c r="B327" s="0" t="s">
        <v>4411</v>
      </c>
      <c r="C327" s="0" t="s">
        <v>4412</v>
      </c>
      <c r="D327" s="0" t="s">
        <v>4421</v>
      </c>
      <c r="E327" s="0" t="s">
        <v>4422</v>
      </c>
      <c r="F327" s="0" t="s">
        <v>3530</v>
      </c>
      <c r="G327" s="0" t="s">
        <v>4423</v>
      </c>
    </row>
    <row customHeight="1" ht="11.25">
      <c r="A328" s="0" t="s">
        <v>14</v>
      </c>
      <c r="B328" s="0" t="s">
        <v>4411</v>
      </c>
      <c r="C328" s="0" t="s">
        <v>4412</v>
      </c>
      <c r="D328" s="0" t="s">
        <v>4424</v>
      </c>
      <c r="E328" s="0" t="s">
        <v>4425</v>
      </c>
      <c r="F328" s="0" t="s">
        <v>3530</v>
      </c>
      <c r="G328" s="0" t="s">
        <v>4426</v>
      </c>
    </row>
    <row customHeight="1" ht="11.25">
      <c r="A329" s="0" t="s">
        <v>14</v>
      </c>
      <c r="B329" s="0" t="s">
        <v>4411</v>
      </c>
      <c r="C329" s="0" t="s">
        <v>4412</v>
      </c>
      <c r="D329" s="0" t="s">
        <v>4411</v>
      </c>
      <c r="E329" s="0" t="s">
        <v>4412</v>
      </c>
      <c r="F329" s="0" t="s">
        <v>3527</v>
      </c>
      <c r="G329" s="0" t="s">
        <v>4427</v>
      </c>
    </row>
    <row customHeight="1" ht="11.25">
      <c r="A330" s="0" t="s">
        <v>14</v>
      </c>
      <c r="B330" s="0" t="s">
        <v>4411</v>
      </c>
      <c r="C330" s="0" t="s">
        <v>4412</v>
      </c>
      <c r="D330" s="0" t="s">
        <v>4428</v>
      </c>
      <c r="E330" s="0" t="s">
        <v>4429</v>
      </c>
      <c r="F330" s="0" t="s">
        <v>3530</v>
      </c>
      <c r="G330" s="0" t="s">
        <v>4430</v>
      </c>
    </row>
    <row customHeight="1" ht="11.25">
      <c r="A331" s="0" t="s">
        <v>14</v>
      </c>
      <c r="B331" s="0" t="s">
        <v>4411</v>
      </c>
      <c r="C331" s="0" t="s">
        <v>4412</v>
      </c>
      <c r="D331" s="0" t="s">
        <v>4431</v>
      </c>
      <c r="E331" s="0" t="s">
        <v>4432</v>
      </c>
      <c r="F331" s="0" t="s">
        <v>3530</v>
      </c>
      <c r="G331" s="0" t="s">
        <v>4433</v>
      </c>
    </row>
    <row customHeight="1" ht="11.25">
      <c r="A332" s="0" t="s">
        <v>14</v>
      </c>
      <c r="B332" s="0" t="s">
        <v>4411</v>
      </c>
      <c r="C332" s="0" t="s">
        <v>4412</v>
      </c>
      <c r="D332" s="0" t="s">
        <v>4434</v>
      </c>
      <c r="E332" s="0" t="s">
        <v>4435</v>
      </c>
      <c r="F332" s="0" t="s">
        <v>3530</v>
      </c>
      <c r="G332" s="0" t="s">
        <v>4436</v>
      </c>
    </row>
    <row customHeight="1" ht="11.25">
      <c r="A333" s="0" t="s">
        <v>14</v>
      </c>
      <c r="B333" s="0" t="s">
        <v>4411</v>
      </c>
      <c r="C333" s="0" t="s">
        <v>4412</v>
      </c>
      <c r="D333" s="0" t="s">
        <v>4437</v>
      </c>
      <c r="E333" s="0" t="s">
        <v>4438</v>
      </c>
      <c r="F333" s="0" t="s">
        <v>3530</v>
      </c>
      <c r="G333" s="0" t="s">
        <v>4439</v>
      </c>
    </row>
    <row customHeight="1" ht="11.25">
      <c r="A334" s="0" t="s">
        <v>14</v>
      </c>
      <c r="B334" s="0" t="s">
        <v>4440</v>
      </c>
      <c r="C334" s="0" t="s">
        <v>4441</v>
      </c>
      <c r="D334" s="0" t="s">
        <v>4442</v>
      </c>
      <c r="E334" s="0" t="s">
        <v>4443</v>
      </c>
      <c r="F334" s="0" t="s">
        <v>3530</v>
      </c>
      <c r="G334" s="0" t="s">
        <v>4444</v>
      </c>
    </row>
    <row customHeight="1" ht="11.25">
      <c r="A335" s="0" t="s">
        <v>14</v>
      </c>
      <c r="B335" s="0" t="s">
        <v>4440</v>
      </c>
      <c r="C335" s="0" t="s">
        <v>4441</v>
      </c>
      <c r="D335" s="0" t="s">
        <v>4445</v>
      </c>
      <c r="E335" s="0" t="s">
        <v>4446</v>
      </c>
      <c r="F335" s="0" t="s">
        <v>3530</v>
      </c>
      <c r="G335" s="0" t="s">
        <v>4447</v>
      </c>
    </row>
    <row customHeight="1" ht="11.25">
      <c r="A336" s="0" t="s">
        <v>14</v>
      </c>
      <c r="B336" s="0" t="s">
        <v>4440</v>
      </c>
      <c r="C336" s="0" t="s">
        <v>4441</v>
      </c>
      <c r="D336" s="0" t="s">
        <v>4448</v>
      </c>
      <c r="E336" s="0" t="s">
        <v>4449</v>
      </c>
      <c r="F336" s="0" t="s">
        <v>3530</v>
      </c>
      <c r="G336" s="0" t="s">
        <v>4450</v>
      </c>
    </row>
    <row customHeight="1" ht="11.25">
      <c r="A337" s="0" t="s">
        <v>14</v>
      </c>
      <c r="B337" s="0" t="s">
        <v>4440</v>
      </c>
      <c r="C337" s="0" t="s">
        <v>4441</v>
      </c>
      <c r="D337" s="0" t="s">
        <v>4451</v>
      </c>
      <c r="E337" s="0" t="s">
        <v>4452</v>
      </c>
      <c r="F337" s="0" t="s">
        <v>3530</v>
      </c>
      <c r="G337" s="0" t="s">
        <v>4453</v>
      </c>
    </row>
    <row customHeight="1" ht="11.25">
      <c r="A338" s="0" t="s">
        <v>14</v>
      </c>
      <c r="B338" s="0" t="s">
        <v>4440</v>
      </c>
      <c r="C338" s="0" t="s">
        <v>4441</v>
      </c>
      <c r="D338" s="0" t="s">
        <v>4023</v>
      </c>
      <c r="E338" s="0" t="s">
        <v>4454</v>
      </c>
      <c r="F338" s="0" t="s">
        <v>3530</v>
      </c>
      <c r="G338" s="0" t="s">
        <v>4455</v>
      </c>
    </row>
    <row customHeight="1" ht="11.25">
      <c r="A339" s="0" t="s">
        <v>14</v>
      </c>
      <c r="B339" s="0" t="s">
        <v>4440</v>
      </c>
      <c r="C339" s="0" t="s">
        <v>4441</v>
      </c>
      <c r="D339" s="0" t="s">
        <v>4456</v>
      </c>
      <c r="E339" s="0" t="s">
        <v>4457</v>
      </c>
      <c r="F339" s="0" t="s">
        <v>3530</v>
      </c>
      <c r="G339" s="0" t="s">
        <v>4458</v>
      </c>
    </row>
    <row customHeight="1" ht="11.25">
      <c r="A340" s="0" t="s">
        <v>14</v>
      </c>
      <c r="B340" s="0" t="s">
        <v>4440</v>
      </c>
      <c r="C340" s="0" t="s">
        <v>4441</v>
      </c>
      <c r="D340" s="0" t="s">
        <v>4459</v>
      </c>
      <c r="E340" s="0" t="s">
        <v>4460</v>
      </c>
      <c r="F340" s="0" t="s">
        <v>3530</v>
      </c>
      <c r="G340" s="0" t="s">
        <v>4461</v>
      </c>
    </row>
    <row customHeight="1" ht="11.25">
      <c r="A341" s="0" t="s">
        <v>14</v>
      </c>
      <c r="B341" s="0" t="s">
        <v>4440</v>
      </c>
      <c r="C341" s="0" t="s">
        <v>4441</v>
      </c>
      <c r="D341" s="0" t="s">
        <v>4440</v>
      </c>
      <c r="E341" s="0" t="s">
        <v>4441</v>
      </c>
      <c r="F341" s="0" t="s">
        <v>3527</v>
      </c>
      <c r="G341" s="0" t="s">
        <v>4462</v>
      </c>
    </row>
    <row customHeight="1" ht="11.25">
      <c r="A342" s="0" t="s">
        <v>14</v>
      </c>
      <c r="B342" s="0" t="s">
        <v>4440</v>
      </c>
      <c r="C342" s="0" t="s">
        <v>4441</v>
      </c>
      <c r="D342" s="0" t="s">
        <v>4463</v>
      </c>
      <c r="E342" s="0" t="s">
        <v>4464</v>
      </c>
      <c r="F342" s="0" t="s">
        <v>3569</v>
      </c>
      <c r="G342" s="0" t="s">
        <v>4465</v>
      </c>
    </row>
    <row customHeight="1" ht="11.25">
      <c r="A343" s="0" t="s">
        <v>14</v>
      </c>
      <c r="B343" s="0" t="s">
        <v>4440</v>
      </c>
      <c r="C343" s="0" t="s">
        <v>4441</v>
      </c>
      <c r="D343" s="0" t="s">
        <v>4466</v>
      </c>
      <c r="E343" s="0" t="s">
        <v>4467</v>
      </c>
      <c r="F343" s="0" t="s">
        <v>3530</v>
      </c>
      <c r="G343" s="0" t="s">
        <v>4468</v>
      </c>
    </row>
    <row customHeight="1" ht="11.25">
      <c r="A344" s="0" t="s">
        <v>14</v>
      </c>
      <c r="B344" s="0" t="s">
        <v>4440</v>
      </c>
      <c r="C344" s="0" t="s">
        <v>4441</v>
      </c>
      <c r="D344" s="0" t="s">
        <v>4469</v>
      </c>
      <c r="E344" s="0" t="s">
        <v>4470</v>
      </c>
      <c r="F344" s="0" t="s">
        <v>3530</v>
      </c>
      <c r="G344" s="0" t="s">
        <v>4471</v>
      </c>
    </row>
    <row customHeight="1" ht="11.25">
      <c r="A345" s="0" t="s">
        <v>14</v>
      </c>
      <c r="B345" s="0" t="s">
        <v>4472</v>
      </c>
      <c r="C345" s="0" t="s">
        <v>4473</v>
      </c>
      <c r="D345" s="0" t="s">
        <v>4474</v>
      </c>
      <c r="E345" s="0" t="s">
        <v>4475</v>
      </c>
      <c r="F345" s="0" t="s">
        <v>3530</v>
      </c>
      <c r="G345" s="0" t="s">
        <v>4476</v>
      </c>
    </row>
    <row customHeight="1" ht="11.25">
      <c r="A346" s="0" t="s">
        <v>14</v>
      </c>
      <c r="B346" s="0" t="s">
        <v>4472</v>
      </c>
      <c r="C346" s="0" t="s">
        <v>4473</v>
      </c>
      <c r="D346" s="0" t="s">
        <v>4477</v>
      </c>
      <c r="E346" s="0" t="s">
        <v>4478</v>
      </c>
      <c r="F346" s="0" t="s">
        <v>3530</v>
      </c>
      <c r="G346" s="0" t="s">
        <v>4479</v>
      </c>
    </row>
    <row customHeight="1" ht="11.25">
      <c r="A347" s="0" t="s">
        <v>14</v>
      </c>
      <c r="B347" s="0" t="s">
        <v>4472</v>
      </c>
      <c r="C347" s="0" t="s">
        <v>4473</v>
      </c>
      <c r="D347" s="0" t="s">
        <v>3918</v>
      </c>
      <c r="E347" s="0" t="s">
        <v>4480</v>
      </c>
      <c r="F347" s="0" t="s">
        <v>3530</v>
      </c>
      <c r="G347" s="0" t="s">
        <v>4481</v>
      </c>
    </row>
    <row customHeight="1" ht="11.25">
      <c r="A348" s="0" t="s">
        <v>14</v>
      </c>
      <c r="B348" s="0" t="s">
        <v>4472</v>
      </c>
      <c r="C348" s="0" t="s">
        <v>4473</v>
      </c>
      <c r="D348" s="0" t="s">
        <v>3993</v>
      </c>
      <c r="E348" s="0" t="s">
        <v>4482</v>
      </c>
      <c r="F348" s="0" t="s">
        <v>3530</v>
      </c>
      <c r="G348" s="0" t="s">
        <v>4483</v>
      </c>
    </row>
    <row customHeight="1" ht="11.25">
      <c r="A349" s="0" t="s">
        <v>14</v>
      </c>
      <c r="B349" s="0" t="s">
        <v>4472</v>
      </c>
      <c r="C349" s="0" t="s">
        <v>4473</v>
      </c>
      <c r="D349" s="0" t="s">
        <v>4484</v>
      </c>
      <c r="E349" s="0" t="s">
        <v>4485</v>
      </c>
      <c r="F349" s="0" t="s">
        <v>3530</v>
      </c>
      <c r="G349" s="0" t="s">
        <v>4486</v>
      </c>
    </row>
    <row customHeight="1" ht="11.25">
      <c r="A350" s="0" t="s">
        <v>14</v>
      </c>
      <c r="B350" s="0" t="s">
        <v>4472</v>
      </c>
      <c r="C350" s="0" t="s">
        <v>4473</v>
      </c>
      <c r="D350" s="0" t="s">
        <v>4487</v>
      </c>
      <c r="E350" s="0" t="s">
        <v>4488</v>
      </c>
      <c r="F350" s="0" t="s">
        <v>3530</v>
      </c>
      <c r="G350" s="0" t="s">
        <v>4489</v>
      </c>
    </row>
    <row customHeight="1" ht="11.25">
      <c r="A351" s="0" t="s">
        <v>14</v>
      </c>
      <c r="B351" s="0" t="s">
        <v>4472</v>
      </c>
      <c r="C351" s="0" t="s">
        <v>4473</v>
      </c>
      <c r="D351" s="0" t="s">
        <v>3996</v>
      </c>
      <c r="E351" s="0" t="s">
        <v>4490</v>
      </c>
      <c r="F351" s="0" t="s">
        <v>3530</v>
      </c>
      <c r="G351" s="0" t="s">
        <v>4491</v>
      </c>
    </row>
    <row customHeight="1" ht="11.25">
      <c r="A352" s="0" t="s">
        <v>14</v>
      </c>
      <c r="B352" s="0" t="s">
        <v>4472</v>
      </c>
      <c r="C352" s="0" t="s">
        <v>4473</v>
      </c>
      <c r="D352" s="0" t="s">
        <v>4492</v>
      </c>
      <c r="E352" s="0" t="s">
        <v>4493</v>
      </c>
      <c r="F352" s="0" t="s">
        <v>3530</v>
      </c>
      <c r="G352" s="0" t="s">
        <v>4494</v>
      </c>
    </row>
    <row customHeight="1" ht="11.25">
      <c r="A353" s="0" t="s">
        <v>14</v>
      </c>
      <c r="B353" s="0" t="s">
        <v>4472</v>
      </c>
      <c r="C353" s="0" t="s">
        <v>4473</v>
      </c>
      <c r="D353" s="0" t="s">
        <v>4495</v>
      </c>
      <c r="E353" s="0" t="s">
        <v>4496</v>
      </c>
      <c r="F353" s="0" t="s">
        <v>3530</v>
      </c>
      <c r="G353" s="0" t="s">
        <v>4497</v>
      </c>
    </row>
    <row customHeight="1" ht="11.25">
      <c r="A354" s="0" t="s">
        <v>14</v>
      </c>
      <c r="B354" s="0" t="s">
        <v>4472</v>
      </c>
      <c r="C354" s="0" t="s">
        <v>4473</v>
      </c>
      <c r="D354" s="0" t="s">
        <v>4472</v>
      </c>
      <c r="E354" s="0" t="s">
        <v>4473</v>
      </c>
      <c r="F354" s="0" t="s">
        <v>3527</v>
      </c>
      <c r="G354" s="0" t="s">
        <v>4498</v>
      </c>
    </row>
    <row customHeight="1" ht="11.25">
      <c r="A355" s="0" t="s">
        <v>14</v>
      </c>
      <c r="B355" s="0" t="s">
        <v>4472</v>
      </c>
      <c r="C355" s="0" t="s">
        <v>4473</v>
      </c>
      <c r="D355" s="0" t="s">
        <v>4499</v>
      </c>
      <c r="E355" s="0" t="s">
        <v>4500</v>
      </c>
      <c r="F355" s="0" t="s">
        <v>3530</v>
      </c>
      <c r="G355" s="0" t="s">
        <v>4501</v>
      </c>
    </row>
    <row customHeight="1" ht="11.25">
      <c r="A356" s="0" t="s">
        <v>14</v>
      </c>
      <c r="B356" s="0" t="s">
        <v>4502</v>
      </c>
      <c r="C356" s="0" t="s">
        <v>4503</v>
      </c>
      <c r="D356" s="0" t="s">
        <v>4504</v>
      </c>
      <c r="E356" s="0" t="s">
        <v>4505</v>
      </c>
      <c r="F356" s="0" t="s">
        <v>3530</v>
      </c>
      <c r="G356" s="0" t="s">
        <v>4506</v>
      </c>
    </row>
    <row customHeight="1" ht="11.25">
      <c r="A357" s="0" t="s">
        <v>14</v>
      </c>
      <c r="B357" s="0" t="s">
        <v>4502</v>
      </c>
      <c r="C357" s="0" t="s">
        <v>4503</v>
      </c>
      <c r="D357" s="0" t="s">
        <v>4507</v>
      </c>
      <c r="E357" s="0" t="s">
        <v>4508</v>
      </c>
      <c r="F357" s="0" t="s">
        <v>3530</v>
      </c>
      <c r="G357" s="0" t="s">
        <v>4509</v>
      </c>
    </row>
    <row customHeight="1" ht="11.25">
      <c r="A358" s="0" t="s">
        <v>14</v>
      </c>
      <c r="B358" s="0" t="s">
        <v>4502</v>
      </c>
      <c r="C358" s="0" t="s">
        <v>4503</v>
      </c>
      <c r="D358" s="0" t="s">
        <v>4510</v>
      </c>
      <c r="E358" s="0" t="s">
        <v>4511</v>
      </c>
      <c r="F358" s="0" t="s">
        <v>3530</v>
      </c>
      <c r="G358" s="0" t="s">
        <v>4512</v>
      </c>
    </row>
    <row customHeight="1" ht="11.25">
      <c r="A359" s="0" t="s">
        <v>14</v>
      </c>
      <c r="B359" s="0" t="s">
        <v>4502</v>
      </c>
      <c r="C359" s="0" t="s">
        <v>4503</v>
      </c>
      <c r="D359" s="0" t="s">
        <v>4152</v>
      </c>
      <c r="E359" s="0" t="s">
        <v>4513</v>
      </c>
      <c r="F359" s="0" t="s">
        <v>3530</v>
      </c>
      <c r="G359" s="0" t="s">
        <v>4514</v>
      </c>
    </row>
    <row customHeight="1" ht="11.25">
      <c r="A360" s="0" t="s">
        <v>14</v>
      </c>
      <c r="B360" s="0" t="s">
        <v>4502</v>
      </c>
      <c r="C360" s="0" t="s">
        <v>4503</v>
      </c>
      <c r="D360" s="0" t="s">
        <v>3896</v>
      </c>
      <c r="E360" s="0" t="s">
        <v>4515</v>
      </c>
      <c r="F360" s="0" t="s">
        <v>3530</v>
      </c>
      <c r="G360" s="0" t="s">
        <v>4516</v>
      </c>
    </row>
    <row customHeight="1" ht="11.25">
      <c r="A361" s="0" t="s">
        <v>14</v>
      </c>
      <c r="B361" s="0" t="s">
        <v>4502</v>
      </c>
      <c r="C361" s="0" t="s">
        <v>4503</v>
      </c>
      <c r="D361" s="0" t="s">
        <v>4502</v>
      </c>
      <c r="E361" s="0" t="s">
        <v>4503</v>
      </c>
      <c r="F361" s="0" t="s">
        <v>3527</v>
      </c>
      <c r="G361" s="0" t="s">
        <v>4517</v>
      </c>
    </row>
    <row customHeight="1" ht="11.25">
      <c r="A362" s="0" t="s">
        <v>14</v>
      </c>
      <c r="B362" s="0" t="s">
        <v>4502</v>
      </c>
      <c r="C362" s="0" t="s">
        <v>4503</v>
      </c>
      <c r="D362" s="0" t="s">
        <v>4518</v>
      </c>
      <c r="E362" s="0" t="s">
        <v>4519</v>
      </c>
      <c r="F362" s="0" t="s">
        <v>3530</v>
      </c>
      <c r="G362" s="0" t="s">
        <v>4520</v>
      </c>
    </row>
    <row customHeight="1" ht="11.25">
      <c r="A363" s="0" t="s">
        <v>14</v>
      </c>
      <c r="B363" s="0" t="s">
        <v>4521</v>
      </c>
      <c r="C363" s="0" t="s">
        <v>4522</v>
      </c>
      <c r="D363" s="0" t="s">
        <v>4442</v>
      </c>
      <c r="E363" s="0" t="s">
        <v>4523</v>
      </c>
      <c r="F363" s="0" t="s">
        <v>3530</v>
      </c>
      <c r="G363" s="0" t="s">
        <v>4524</v>
      </c>
    </row>
    <row customHeight="1" ht="11.25">
      <c r="A364" s="0" t="s">
        <v>14</v>
      </c>
      <c r="B364" s="0" t="s">
        <v>4521</v>
      </c>
      <c r="C364" s="0" t="s">
        <v>4522</v>
      </c>
      <c r="D364" s="0" t="s">
        <v>4525</v>
      </c>
      <c r="E364" s="0" t="s">
        <v>4526</v>
      </c>
      <c r="F364" s="0" t="s">
        <v>3530</v>
      </c>
      <c r="G364" s="0" t="s">
        <v>4527</v>
      </c>
    </row>
    <row customHeight="1" ht="11.25">
      <c r="A365" s="0" t="s">
        <v>14</v>
      </c>
      <c r="B365" s="0" t="s">
        <v>4521</v>
      </c>
      <c r="C365" s="0" t="s">
        <v>4522</v>
      </c>
      <c r="D365" s="0" t="s">
        <v>4131</v>
      </c>
      <c r="E365" s="0" t="s">
        <v>4528</v>
      </c>
      <c r="F365" s="0" t="s">
        <v>3530</v>
      </c>
      <c r="G365" s="0" t="s">
        <v>4529</v>
      </c>
    </row>
    <row customHeight="1" ht="11.25">
      <c r="A366" s="0" t="s">
        <v>14</v>
      </c>
      <c r="B366" s="0" t="s">
        <v>4521</v>
      </c>
      <c r="C366" s="0" t="s">
        <v>4522</v>
      </c>
      <c r="D366" s="0" t="s">
        <v>4530</v>
      </c>
      <c r="E366" s="0" t="s">
        <v>4531</v>
      </c>
      <c r="F366" s="0" t="s">
        <v>3530</v>
      </c>
      <c r="G366" s="0" t="s">
        <v>4532</v>
      </c>
    </row>
    <row customHeight="1" ht="11.25">
      <c r="A367" s="0" t="s">
        <v>14</v>
      </c>
      <c r="B367" s="0" t="s">
        <v>4521</v>
      </c>
      <c r="C367" s="0" t="s">
        <v>4522</v>
      </c>
      <c r="D367" s="0" t="s">
        <v>4533</v>
      </c>
      <c r="E367" s="0" t="s">
        <v>4534</v>
      </c>
      <c r="F367" s="0" t="s">
        <v>3530</v>
      </c>
      <c r="G367" s="0" t="s">
        <v>4535</v>
      </c>
    </row>
    <row customHeight="1" ht="11.25">
      <c r="A368" s="0" t="s">
        <v>14</v>
      </c>
      <c r="B368" s="0" t="s">
        <v>4521</v>
      </c>
      <c r="C368" s="0" t="s">
        <v>4522</v>
      </c>
      <c r="D368" s="0" t="s">
        <v>3600</v>
      </c>
      <c r="E368" s="0" t="s">
        <v>4536</v>
      </c>
      <c r="F368" s="0" t="s">
        <v>3530</v>
      </c>
      <c r="G368" s="0" t="s">
        <v>4537</v>
      </c>
    </row>
    <row customHeight="1" ht="11.25">
      <c r="A369" s="0" t="s">
        <v>14</v>
      </c>
      <c r="B369" s="0" t="s">
        <v>4521</v>
      </c>
      <c r="C369" s="0" t="s">
        <v>4522</v>
      </c>
      <c r="D369" s="0" t="s">
        <v>4538</v>
      </c>
      <c r="E369" s="0" t="s">
        <v>4539</v>
      </c>
      <c r="F369" s="0" t="s">
        <v>3530</v>
      </c>
      <c r="G369" s="0" t="s">
        <v>4540</v>
      </c>
    </row>
    <row customHeight="1" ht="11.25">
      <c r="A370" s="0" t="s">
        <v>14</v>
      </c>
      <c r="B370" s="0" t="s">
        <v>4521</v>
      </c>
      <c r="C370" s="0" t="s">
        <v>4522</v>
      </c>
      <c r="D370" s="0" t="s">
        <v>4541</v>
      </c>
      <c r="E370" s="0" t="s">
        <v>4542</v>
      </c>
      <c r="F370" s="0" t="s">
        <v>3530</v>
      </c>
      <c r="G370" s="0" t="s">
        <v>4543</v>
      </c>
    </row>
    <row customHeight="1" ht="11.25">
      <c r="A371" s="0" t="s">
        <v>14</v>
      </c>
      <c r="B371" s="0" t="s">
        <v>4521</v>
      </c>
      <c r="C371" s="0" t="s">
        <v>4522</v>
      </c>
      <c r="D371" s="0" t="s">
        <v>4521</v>
      </c>
      <c r="E371" s="0" t="s">
        <v>4522</v>
      </c>
      <c r="F371" s="0" t="s">
        <v>3527</v>
      </c>
      <c r="G371" s="0" t="s">
        <v>4544</v>
      </c>
    </row>
    <row customHeight="1" ht="11.25">
      <c r="A372" s="0" t="s">
        <v>14</v>
      </c>
      <c r="B372" s="0" t="s">
        <v>4521</v>
      </c>
      <c r="C372" s="0" t="s">
        <v>4522</v>
      </c>
      <c r="D372" s="0" t="s">
        <v>4545</v>
      </c>
      <c r="E372" s="0" t="s">
        <v>4546</v>
      </c>
      <c r="F372" s="0" t="s">
        <v>3569</v>
      </c>
      <c r="G372" s="0" t="s">
        <v>4547</v>
      </c>
    </row>
    <row customHeight="1" ht="11.25">
      <c r="A373" s="0" t="s">
        <v>14</v>
      </c>
      <c r="B373" s="0" t="s">
        <v>4521</v>
      </c>
      <c r="C373" s="0" t="s">
        <v>4522</v>
      </c>
      <c r="D373" s="0" t="s">
        <v>4548</v>
      </c>
      <c r="E373" s="0" t="s">
        <v>4549</v>
      </c>
      <c r="F373" s="0" t="s">
        <v>3530</v>
      </c>
      <c r="G373" s="0" t="s">
        <v>4550</v>
      </c>
    </row>
    <row customHeight="1" ht="11.25">
      <c r="A374" s="0" t="s">
        <v>14</v>
      </c>
      <c r="B374" s="0" t="s">
        <v>4521</v>
      </c>
      <c r="C374" s="0" t="s">
        <v>4522</v>
      </c>
      <c r="D374" s="0" t="s">
        <v>4551</v>
      </c>
      <c r="E374" s="0" t="s">
        <v>4552</v>
      </c>
      <c r="F374" s="0" t="s">
        <v>3530</v>
      </c>
      <c r="G374" s="0" t="s">
        <v>4553</v>
      </c>
    </row>
    <row customHeight="1" ht="11.25">
      <c r="A375" s="0" t="s">
        <v>14</v>
      </c>
      <c r="B375" s="0" t="s">
        <v>4554</v>
      </c>
      <c r="C375" s="0" t="s">
        <v>4555</v>
      </c>
      <c r="D375" s="0" t="s">
        <v>4556</v>
      </c>
      <c r="E375" s="0" t="s">
        <v>4557</v>
      </c>
      <c r="F375" s="0" t="s">
        <v>3530</v>
      </c>
      <c r="G375" s="0" t="s">
        <v>4558</v>
      </c>
    </row>
    <row customHeight="1" ht="11.25">
      <c r="A376" s="0" t="s">
        <v>14</v>
      </c>
      <c r="B376" s="0" t="s">
        <v>4554</v>
      </c>
      <c r="C376" s="0" t="s">
        <v>4555</v>
      </c>
      <c r="D376" s="0" t="s">
        <v>4559</v>
      </c>
      <c r="E376" s="0" t="s">
        <v>4560</v>
      </c>
      <c r="F376" s="0" t="s">
        <v>3530</v>
      </c>
      <c r="G376" s="0" t="s">
        <v>4561</v>
      </c>
    </row>
    <row customHeight="1" ht="11.25">
      <c r="A377" s="0" t="s">
        <v>14</v>
      </c>
      <c r="B377" s="0" t="s">
        <v>4554</v>
      </c>
      <c r="C377" s="0" t="s">
        <v>4555</v>
      </c>
      <c r="D377" s="0" t="s">
        <v>4562</v>
      </c>
      <c r="E377" s="0" t="s">
        <v>4563</v>
      </c>
      <c r="F377" s="0" t="s">
        <v>3530</v>
      </c>
      <c r="G377" s="0" t="s">
        <v>4564</v>
      </c>
    </row>
    <row customHeight="1" ht="11.25">
      <c r="A378" s="0" t="s">
        <v>14</v>
      </c>
      <c r="B378" s="0" t="s">
        <v>4554</v>
      </c>
      <c r="C378" s="0" t="s">
        <v>4555</v>
      </c>
      <c r="D378" s="0" t="s">
        <v>4565</v>
      </c>
      <c r="E378" s="0" t="s">
        <v>4566</v>
      </c>
      <c r="F378" s="0" t="s">
        <v>3530</v>
      </c>
      <c r="G378" s="0" t="s">
        <v>4567</v>
      </c>
    </row>
    <row customHeight="1" ht="11.25">
      <c r="A379" s="0" t="s">
        <v>14</v>
      </c>
      <c r="B379" s="0" t="s">
        <v>4554</v>
      </c>
      <c r="C379" s="0" t="s">
        <v>4555</v>
      </c>
      <c r="D379" s="0" t="s">
        <v>4568</v>
      </c>
      <c r="E379" s="0" t="s">
        <v>4569</v>
      </c>
      <c r="F379" s="0" t="s">
        <v>3530</v>
      </c>
      <c r="G379" s="0" t="s">
        <v>4570</v>
      </c>
    </row>
    <row customHeight="1" ht="11.25">
      <c r="A380" s="0" t="s">
        <v>14</v>
      </c>
      <c r="B380" s="0" t="s">
        <v>4554</v>
      </c>
      <c r="C380" s="0" t="s">
        <v>4555</v>
      </c>
      <c r="D380" s="0" t="s">
        <v>4571</v>
      </c>
      <c r="E380" s="0" t="s">
        <v>4572</v>
      </c>
      <c r="F380" s="0" t="s">
        <v>3530</v>
      </c>
      <c r="G380" s="0" t="s">
        <v>4573</v>
      </c>
    </row>
    <row customHeight="1" ht="11.25">
      <c r="A381" s="0" t="s">
        <v>14</v>
      </c>
      <c r="B381" s="0" t="s">
        <v>4554</v>
      </c>
      <c r="C381" s="0" t="s">
        <v>4555</v>
      </c>
      <c r="D381" s="0" t="s">
        <v>4574</v>
      </c>
      <c r="E381" s="0" t="s">
        <v>4575</v>
      </c>
      <c r="F381" s="0" t="s">
        <v>3530</v>
      </c>
      <c r="G381" s="0" t="s">
        <v>4576</v>
      </c>
    </row>
    <row customHeight="1" ht="11.25">
      <c r="A382" s="0" t="s">
        <v>14</v>
      </c>
      <c r="B382" s="0" t="s">
        <v>4554</v>
      </c>
      <c r="C382" s="0" t="s">
        <v>4555</v>
      </c>
      <c r="D382" s="0" t="s">
        <v>4554</v>
      </c>
      <c r="E382" s="0" t="s">
        <v>4555</v>
      </c>
      <c r="F382" s="0" t="s">
        <v>3527</v>
      </c>
      <c r="G382" s="0" t="s">
        <v>4577</v>
      </c>
    </row>
    <row customHeight="1" ht="11.25">
      <c r="A383" s="0" t="s">
        <v>14</v>
      </c>
      <c r="B383" s="0" t="s">
        <v>4554</v>
      </c>
      <c r="C383" s="0" t="s">
        <v>4555</v>
      </c>
      <c r="D383" s="0" t="s">
        <v>4578</v>
      </c>
      <c r="E383" s="0" t="s">
        <v>4579</v>
      </c>
      <c r="F383" s="0" t="s">
        <v>3569</v>
      </c>
      <c r="G383" s="0" t="s">
        <v>4580</v>
      </c>
    </row>
    <row customHeight="1" ht="11.25">
      <c r="A384" s="0" t="s">
        <v>14</v>
      </c>
      <c r="B384" s="0" t="s">
        <v>4554</v>
      </c>
      <c r="C384" s="0" t="s">
        <v>4555</v>
      </c>
      <c r="D384" s="0" t="s">
        <v>4581</v>
      </c>
      <c r="E384" s="0" t="s">
        <v>4582</v>
      </c>
      <c r="F384" s="0" t="s">
        <v>3530</v>
      </c>
      <c r="G384" s="0" t="s">
        <v>4583</v>
      </c>
    </row>
    <row customHeight="1" ht="11.25">
      <c r="A385" s="0" t="s">
        <v>14</v>
      </c>
      <c r="B385" s="0" t="s">
        <v>4554</v>
      </c>
      <c r="C385" s="0" t="s">
        <v>4555</v>
      </c>
      <c r="D385" s="0" t="s">
        <v>4584</v>
      </c>
      <c r="E385" s="0" t="s">
        <v>4585</v>
      </c>
      <c r="F385" s="0" t="s">
        <v>3530</v>
      </c>
      <c r="G385" s="0" t="s">
        <v>4586</v>
      </c>
    </row>
    <row customHeight="1" ht="11.25">
      <c r="A386" s="0" t="s">
        <v>14</v>
      </c>
      <c r="B386" s="0" t="s">
        <v>4587</v>
      </c>
      <c r="C386" s="0" t="s">
        <v>4588</v>
      </c>
      <c r="D386" s="0" t="s">
        <v>4589</v>
      </c>
      <c r="E386" s="0" t="s">
        <v>4590</v>
      </c>
      <c r="F386" s="0" t="s">
        <v>3530</v>
      </c>
      <c r="G386" s="0" t="s">
        <v>4591</v>
      </c>
    </row>
    <row customHeight="1" ht="11.25">
      <c r="A387" s="0" t="s">
        <v>14</v>
      </c>
      <c r="B387" s="0" t="s">
        <v>4587</v>
      </c>
      <c r="C387" s="0" t="s">
        <v>4588</v>
      </c>
      <c r="D387" s="0" t="s">
        <v>4587</v>
      </c>
      <c r="E387" s="0" t="s">
        <v>4588</v>
      </c>
      <c r="F387" s="0" t="s">
        <v>3527</v>
      </c>
      <c r="G387" s="0" t="s">
        <v>4592</v>
      </c>
    </row>
    <row customHeight="1" ht="11.25">
      <c r="A388" s="0" t="s">
        <v>14</v>
      </c>
      <c r="B388" s="0" t="s">
        <v>4587</v>
      </c>
      <c r="C388" s="0" t="s">
        <v>4588</v>
      </c>
      <c r="D388" s="0" t="s">
        <v>4593</v>
      </c>
      <c r="E388" s="0" t="s">
        <v>4594</v>
      </c>
      <c r="F388" s="0" t="s">
        <v>3530</v>
      </c>
      <c r="G388" s="0" t="s">
        <v>4595</v>
      </c>
    </row>
    <row customHeight="1" ht="11.25">
      <c r="A389" s="0" t="s">
        <v>14</v>
      </c>
      <c r="B389" s="0" t="s">
        <v>4587</v>
      </c>
      <c r="C389" s="0" t="s">
        <v>4588</v>
      </c>
      <c r="D389" s="0" t="s">
        <v>4596</v>
      </c>
      <c r="E389" s="0" t="s">
        <v>4597</v>
      </c>
      <c r="F389" s="0" t="s">
        <v>3530</v>
      </c>
      <c r="G389" s="0" t="s">
        <v>4598</v>
      </c>
    </row>
    <row customHeight="1" ht="11.25">
      <c r="A390" s="0" t="s">
        <v>14</v>
      </c>
      <c r="B390" s="0" t="s">
        <v>4599</v>
      </c>
      <c r="C390" s="0" t="s">
        <v>4600</v>
      </c>
      <c r="D390" s="0" t="s">
        <v>4601</v>
      </c>
      <c r="E390" s="0" t="s">
        <v>4602</v>
      </c>
      <c r="F390" s="0" t="s">
        <v>3530</v>
      </c>
      <c r="G390" s="0" t="s">
        <v>4603</v>
      </c>
    </row>
    <row customHeight="1" ht="11.25">
      <c r="A391" s="0" t="s">
        <v>14</v>
      </c>
      <c r="B391" s="0" t="s">
        <v>4599</v>
      </c>
      <c r="C391" s="0" t="s">
        <v>4600</v>
      </c>
      <c r="D391" s="0" t="s">
        <v>4604</v>
      </c>
      <c r="E391" s="0" t="s">
        <v>4605</v>
      </c>
      <c r="F391" s="0" t="s">
        <v>3530</v>
      </c>
      <c r="G391" s="0" t="s">
        <v>4606</v>
      </c>
    </row>
    <row customHeight="1" ht="11.25">
      <c r="A392" s="0" t="s">
        <v>14</v>
      </c>
      <c r="B392" s="0" t="s">
        <v>4599</v>
      </c>
      <c r="C392" s="0" t="s">
        <v>4600</v>
      </c>
      <c r="D392" s="0" t="s">
        <v>4607</v>
      </c>
      <c r="E392" s="0" t="s">
        <v>4608</v>
      </c>
      <c r="F392" s="0" t="s">
        <v>3530</v>
      </c>
      <c r="G392" s="0" t="s">
        <v>4609</v>
      </c>
    </row>
    <row customHeight="1" ht="11.25">
      <c r="A393" s="0" t="s">
        <v>14</v>
      </c>
      <c r="B393" s="0" t="s">
        <v>4599</v>
      </c>
      <c r="C393" s="0" t="s">
        <v>4600</v>
      </c>
      <c r="D393" s="0" t="s">
        <v>4610</v>
      </c>
      <c r="E393" s="0" t="s">
        <v>4611</v>
      </c>
      <c r="F393" s="0" t="s">
        <v>3530</v>
      </c>
      <c r="G393" s="0" t="s">
        <v>4612</v>
      </c>
    </row>
    <row customHeight="1" ht="11.25">
      <c r="A394" s="0" t="s">
        <v>14</v>
      </c>
      <c r="B394" s="0" t="s">
        <v>4599</v>
      </c>
      <c r="C394" s="0" t="s">
        <v>4600</v>
      </c>
      <c r="D394" s="0" t="s">
        <v>4613</v>
      </c>
      <c r="E394" s="0" t="s">
        <v>4614</v>
      </c>
      <c r="F394" s="0" t="s">
        <v>3530</v>
      </c>
      <c r="G394" s="0" t="s">
        <v>4615</v>
      </c>
    </row>
    <row customHeight="1" ht="11.25">
      <c r="A395" s="0" t="s">
        <v>14</v>
      </c>
      <c r="B395" s="0" t="s">
        <v>4599</v>
      </c>
      <c r="C395" s="0" t="s">
        <v>4600</v>
      </c>
      <c r="D395" s="0" t="s">
        <v>4616</v>
      </c>
      <c r="E395" s="0" t="s">
        <v>4617</v>
      </c>
      <c r="F395" s="0" t="s">
        <v>3530</v>
      </c>
      <c r="G395" s="0" t="s">
        <v>4618</v>
      </c>
    </row>
    <row customHeight="1" ht="11.25">
      <c r="A396" s="0" t="s">
        <v>14</v>
      </c>
      <c r="B396" s="0" t="s">
        <v>4599</v>
      </c>
      <c r="C396" s="0" t="s">
        <v>4600</v>
      </c>
      <c r="D396" s="0" t="s">
        <v>3960</v>
      </c>
      <c r="E396" s="0" t="s">
        <v>4619</v>
      </c>
      <c r="F396" s="0" t="s">
        <v>3530</v>
      </c>
      <c r="G396" s="0" t="s">
        <v>4620</v>
      </c>
    </row>
    <row customHeight="1" ht="11.25">
      <c r="A397" s="0" t="s">
        <v>14</v>
      </c>
      <c r="B397" s="0" t="s">
        <v>4599</v>
      </c>
      <c r="C397" s="0" t="s">
        <v>4600</v>
      </c>
      <c r="D397" s="0" t="s">
        <v>4621</v>
      </c>
      <c r="E397" s="0" t="s">
        <v>4622</v>
      </c>
      <c r="F397" s="0" t="s">
        <v>3530</v>
      </c>
      <c r="G397" s="0" t="s">
        <v>4623</v>
      </c>
    </row>
    <row customHeight="1" ht="11.25">
      <c r="A398" s="0" t="s">
        <v>14</v>
      </c>
      <c r="B398" s="0" t="s">
        <v>4599</v>
      </c>
      <c r="C398" s="0" t="s">
        <v>4600</v>
      </c>
      <c r="D398" s="0" t="s">
        <v>4624</v>
      </c>
      <c r="E398" s="0" t="s">
        <v>4625</v>
      </c>
      <c r="F398" s="0" t="s">
        <v>3530</v>
      </c>
      <c r="G398" s="0" t="s">
        <v>4626</v>
      </c>
    </row>
    <row customHeight="1" ht="11.25">
      <c r="A399" s="0" t="s">
        <v>14</v>
      </c>
      <c r="B399" s="0" t="s">
        <v>4599</v>
      </c>
      <c r="C399" s="0" t="s">
        <v>4600</v>
      </c>
      <c r="D399" s="0" t="s">
        <v>4599</v>
      </c>
      <c r="E399" s="0" t="s">
        <v>4600</v>
      </c>
      <c r="F399" s="0" t="s">
        <v>3527</v>
      </c>
      <c r="G399" s="0" t="s">
        <v>4627</v>
      </c>
    </row>
    <row customHeight="1" ht="11.25">
      <c r="A400" s="0" t="s">
        <v>14</v>
      </c>
      <c r="B400" s="0" t="s">
        <v>4599</v>
      </c>
      <c r="C400" s="0" t="s">
        <v>4600</v>
      </c>
      <c r="D400" s="0" t="s">
        <v>4628</v>
      </c>
      <c r="E400" s="0" t="s">
        <v>4629</v>
      </c>
      <c r="F400" s="0" t="s">
        <v>3530</v>
      </c>
      <c r="G400" s="0" t="s">
        <v>4630</v>
      </c>
    </row>
    <row customHeight="1" ht="11.25">
      <c r="A401" s="0" t="s">
        <v>14</v>
      </c>
      <c r="B401" s="0" t="s">
        <v>4631</v>
      </c>
      <c r="C401" s="0" t="s">
        <v>4632</v>
      </c>
      <c r="D401" s="0" t="s">
        <v>4633</v>
      </c>
      <c r="E401" s="0" t="s">
        <v>4634</v>
      </c>
      <c r="F401" s="0" t="s">
        <v>3530</v>
      </c>
      <c r="G401" s="0" t="s">
        <v>4635</v>
      </c>
    </row>
    <row customHeight="1" ht="11.25">
      <c r="A402" s="0" t="s">
        <v>14</v>
      </c>
      <c r="B402" s="0" t="s">
        <v>4631</v>
      </c>
      <c r="C402" s="0" t="s">
        <v>4632</v>
      </c>
      <c r="D402" s="0" t="s">
        <v>4636</v>
      </c>
      <c r="E402" s="0" t="s">
        <v>4637</v>
      </c>
      <c r="F402" s="0" t="s">
        <v>3530</v>
      </c>
      <c r="G402" s="0" t="s">
        <v>4638</v>
      </c>
    </row>
    <row customHeight="1" ht="11.25">
      <c r="A403" s="0" t="s">
        <v>14</v>
      </c>
      <c r="B403" s="0" t="s">
        <v>4631</v>
      </c>
      <c r="C403" s="0" t="s">
        <v>4632</v>
      </c>
      <c r="D403" s="0" t="s">
        <v>4639</v>
      </c>
      <c r="E403" s="0" t="s">
        <v>4640</v>
      </c>
      <c r="F403" s="0" t="s">
        <v>3530</v>
      </c>
      <c r="G403" s="0" t="s">
        <v>4641</v>
      </c>
    </row>
    <row customHeight="1" ht="11.25">
      <c r="A404" s="0" t="s">
        <v>14</v>
      </c>
      <c r="B404" s="0" t="s">
        <v>4631</v>
      </c>
      <c r="C404" s="0" t="s">
        <v>4632</v>
      </c>
      <c r="D404" s="0" t="s">
        <v>4642</v>
      </c>
      <c r="E404" s="0" t="s">
        <v>4643</v>
      </c>
      <c r="F404" s="0" t="s">
        <v>3530</v>
      </c>
      <c r="G404" s="0" t="s">
        <v>4644</v>
      </c>
    </row>
    <row customHeight="1" ht="11.25">
      <c r="A405" s="0" t="s">
        <v>14</v>
      </c>
      <c r="B405" s="0" t="s">
        <v>4631</v>
      </c>
      <c r="C405" s="0" t="s">
        <v>4632</v>
      </c>
      <c r="D405" s="0" t="s">
        <v>4645</v>
      </c>
      <c r="E405" s="0" t="s">
        <v>4646</v>
      </c>
      <c r="F405" s="0" t="s">
        <v>3530</v>
      </c>
      <c r="G405" s="0" t="s">
        <v>4647</v>
      </c>
    </row>
    <row customHeight="1" ht="11.25">
      <c r="A406" s="0" t="s">
        <v>14</v>
      </c>
      <c r="B406" s="0" t="s">
        <v>4631</v>
      </c>
      <c r="C406" s="0" t="s">
        <v>4632</v>
      </c>
      <c r="D406" s="0" t="s">
        <v>4648</v>
      </c>
      <c r="E406" s="0" t="s">
        <v>4649</v>
      </c>
      <c r="F406" s="0" t="s">
        <v>3530</v>
      </c>
      <c r="G406" s="0" t="s">
        <v>4650</v>
      </c>
    </row>
    <row customHeight="1" ht="11.25">
      <c r="A407" s="0" t="s">
        <v>14</v>
      </c>
      <c r="B407" s="0" t="s">
        <v>4631</v>
      </c>
      <c r="C407" s="0" t="s">
        <v>4632</v>
      </c>
      <c r="D407" s="0" t="s">
        <v>4060</v>
      </c>
      <c r="E407" s="0" t="s">
        <v>4651</v>
      </c>
      <c r="F407" s="0" t="s">
        <v>3530</v>
      </c>
      <c r="G407" s="0" t="s">
        <v>4652</v>
      </c>
    </row>
    <row customHeight="1" ht="11.25">
      <c r="A408" s="0" t="s">
        <v>14</v>
      </c>
      <c r="B408" s="0" t="s">
        <v>4631</v>
      </c>
      <c r="C408" s="0" t="s">
        <v>4632</v>
      </c>
      <c r="D408" s="0" t="s">
        <v>4653</v>
      </c>
      <c r="E408" s="0" t="s">
        <v>4654</v>
      </c>
      <c r="F408" s="0" t="s">
        <v>3530</v>
      </c>
      <c r="G408" s="0" t="s">
        <v>4655</v>
      </c>
    </row>
    <row customHeight="1" ht="11.25">
      <c r="A409" s="0" t="s">
        <v>14</v>
      </c>
      <c r="B409" s="0" t="s">
        <v>4631</v>
      </c>
      <c r="C409" s="0" t="s">
        <v>4632</v>
      </c>
      <c r="D409" s="0" t="s">
        <v>4466</v>
      </c>
      <c r="E409" s="0" t="s">
        <v>4656</v>
      </c>
      <c r="F409" s="0" t="s">
        <v>3530</v>
      </c>
      <c r="G409" s="0" t="s">
        <v>4657</v>
      </c>
    </row>
    <row customHeight="1" ht="11.25">
      <c r="A410" s="0" t="s">
        <v>14</v>
      </c>
      <c r="B410" s="0" t="s">
        <v>4631</v>
      </c>
      <c r="C410" s="0" t="s">
        <v>4632</v>
      </c>
      <c r="D410" s="0" t="s">
        <v>4631</v>
      </c>
      <c r="E410" s="0" t="s">
        <v>4632</v>
      </c>
      <c r="F410" s="0" t="s">
        <v>3527</v>
      </c>
      <c r="G410" s="0" t="s">
        <v>4658</v>
      </c>
    </row>
    <row customHeight="1" ht="11.25">
      <c r="A411" s="0" t="s">
        <v>14</v>
      </c>
      <c r="B411" s="0" t="s">
        <v>4631</v>
      </c>
      <c r="C411" s="0" t="s">
        <v>4632</v>
      </c>
      <c r="D411" s="0" t="s">
        <v>4659</v>
      </c>
      <c r="E411" s="0" t="s">
        <v>4660</v>
      </c>
      <c r="F411" s="0" t="s">
        <v>3530</v>
      </c>
      <c r="G411" s="0" t="s">
        <v>4661</v>
      </c>
    </row>
    <row customHeight="1" ht="11.25">
      <c r="A412" s="0" t="s">
        <v>14</v>
      </c>
      <c r="B412" s="0" t="s">
        <v>4631</v>
      </c>
      <c r="C412" s="0" t="s">
        <v>4632</v>
      </c>
      <c r="D412" s="0" t="s">
        <v>4662</v>
      </c>
      <c r="E412" s="0" t="s">
        <v>4663</v>
      </c>
      <c r="F412" s="0" t="s">
        <v>3530</v>
      </c>
      <c r="G412" s="0" t="s">
        <v>4664</v>
      </c>
    </row>
    <row customHeight="1" ht="11.25">
      <c r="A413" s="0" t="s">
        <v>14</v>
      </c>
      <c r="B413" s="0" t="s">
        <v>4665</v>
      </c>
      <c r="C413" s="0" t="s">
        <v>4666</v>
      </c>
      <c r="D413" s="0" t="s">
        <v>4667</v>
      </c>
      <c r="E413" s="0" t="s">
        <v>4668</v>
      </c>
      <c r="F413" s="0" t="s">
        <v>3530</v>
      </c>
      <c r="G413" s="0" t="s">
        <v>4669</v>
      </c>
    </row>
    <row customHeight="1" ht="11.25">
      <c r="A414" s="0" t="s">
        <v>14</v>
      </c>
      <c r="B414" s="0" t="s">
        <v>4665</v>
      </c>
      <c r="C414" s="0" t="s">
        <v>4666</v>
      </c>
      <c r="D414" s="0" t="s">
        <v>4670</v>
      </c>
      <c r="E414" s="0" t="s">
        <v>4671</v>
      </c>
      <c r="F414" s="0" t="s">
        <v>3530</v>
      </c>
      <c r="G414" s="0" t="s">
        <v>4672</v>
      </c>
    </row>
    <row customHeight="1" ht="11.25">
      <c r="A415" s="0" t="s">
        <v>14</v>
      </c>
      <c r="B415" s="0" t="s">
        <v>4665</v>
      </c>
      <c r="C415" s="0" t="s">
        <v>4666</v>
      </c>
      <c r="D415" s="0" t="s">
        <v>4252</v>
      </c>
      <c r="E415" s="0" t="s">
        <v>4673</v>
      </c>
      <c r="F415" s="0" t="s">
        <v>3530</v>
      </c>
      <c r="G415" s="0" t="s">
        <v>4674</v>
      </c>
    </row>
    <row customHeight="1" ht="11.25">
      <c r="A416" s="0" t="s">
        <v>14</v>
      </c>
      <c r="B416" s="0" t="s">
        <v>4665</v>
      </c>
      <c r="C416" s="0" t="s">
        <v>4666</v>
      </c>
      <c r="D416" s="0" t="s">
        <v>4675</v>
      </c>
      <c r="E416" s="0" t="s">
        <v>4676</v>
      </c>
      <c r="F416" s="0" t="s">
        <v>3530</v>
      </c>
      <c r="G416" s="0" t="s">
        <v>4677</v>
      </c>
    </row>
    <row customHeight="1" ht="11.25">
      <c r="A417" s="0" t="s">
        <v>14</v>
      </c>
      <c r="B417" s="0" t="s">
        <v>4665</v>
      </c>
      <c r="C417" s="0" t="s">
        <v>4666</v>
      </c>
      <c r="D417" s="0" t="s">
        <v>4678</v>
      </c>
      <c r="E417" s="0" t="s">
        <v>4679</v>
      </c>
      <c r="F417" s="0" t="s">
        <v>3530</v>
      </c>
      <c r="G417" s="0" t="s">
        <v>4680</v>
      </c>
    </row>
    <row customHeight="1" ht="11.25">
      <c r="A418" s="0" t="s">
        <v>14</v>
      </c>
      <c r="B418" s="0" t="s">
        <v>4665</v>
      </c>
      <c r="C418" s="0" t="s">
        <v>4666</v>
      </c>
      <c r="D418" s="0" t="s">
        <v>4681</v>
      </c>
      <c r="E418" s="0" t="s">
        <v>4682</v>
      </c>
      <c r="F418" s="0" t="s">
        <v>3530</v>
      </c>
      <c r="G418" s="0" t="s">
        <v>4683</v>
      </c>
    </row>
    <row customHeight="1" ht="11.25">
      <c r="A419" s="0" t="s">
        <v>14</v>
      </c>
      <c r="B419" s="0" t="s">
        <v>4665</v>
      </c>
      <c r="C419" s="0" t="s">
        <v>4666</v>
      </c>
      <c r="D419" s="0" t="s">
        <v>4684</v>
      </c>
      <c r="E419" s="0" t="s">
        <v>4685</v>
      </c>
      <c r="F419" s="0" t="s">
        <v>3530</v>
      </c>
      <c r="G419" s="0" t="s">
        <v>4686</v>
      </c>
    </row>
    <row customHeight="1" ht="11.25">
      <c r="A420" s="0" t="s">
        <v>14</v>
      </c>
      <c r="B420" s="0" t="s">
        <v>4665</v>
      </c>
      <c r="C420" s="0" t="s">
        <v>4666</v>
      </c>
      <c r="D420" s="0" t="s">
        <v>4665</v>
      </c>
      <c r="E420" s="0" t="s">
        <v>4666</v>
      </c>
      <c r="F420" s="0" t="s">
        <v>3527</v>
      </c>
      <c r="G420" s="0" t="s">
        <v>4687</v>
      </c>
    </row>
    <row customHeight="1" ht="11.25">
      <c r="A421" s="0" t="s">
        <v>14</v>
      </c>
      <c r="B421" s="0" t="s">
        <v>4665</v>
      </c>
      <c r="C421" s="0" t="s">
        <v>4666</v>
      </c>
      <c r="D421" s="0" t="s">
        <v>4688</v>
      </c>
      <c r="E421" s="0" t="s">
        <v>4689</v>
      </c>
      <c r="F421" s="0" t="s">
        <v>3948</v>
      </c>
      <c r="G421" s="0" t="s">
        <v>4690</v>
      </c>
    </row>
    <row customHeight="1" ht="11.25">
      <c r="A422" s="0" t="s">
        <v>14</v>
      </c>
      <c r="B422" s="0" t="s">
        <v>4691</v>
      </c>
      <c r="C422" s="0" t="s">
        <v>4692</v>
      </c>
      <c r="D422" s="0" t="s">
        <v>3893</v>
      </c>
      <c r="E422" s="0" t="s">
        <v>4693</v>
      </c>
      <c r="F422" s="0" t="s">
        <v>3530</v>
      </c>
      <c r="G422" s="0" t="s">
        <v>4694</v>
      </c>
    </row>
    <row customHeight="1" ht="11.25">
      <c r="A423" s="0" t="s">
        <v>14</v>
      </c>
      <c r="B423" s="0" t="s">
        <v>4691</v>
      </c>
      <c r="C423" s="0" t="s">
        <v>4692</v>
      </c>
      <c r="D423" s="0" t="s">
        <v>4695</v>
      </c>
      <c r="E423" s="0" t="s">
        <v>4696</v>
      </c>
      <c r="F423" s="0" t="s">
        <v>3530</v>
      </c>
      <c r="G423" s="0" t="s">
        <v>4697</v>
      </c>
    </row>
    <row customHeight="1" ht="11.25">
      <c r="A424" s="0" t="s">
        <v>14</v>
      </c>
      <c r="B424" s="0" t="s">
        <v>4691</v>
      </c>
      <c r="C424" s="0" t="s">
        <v>4692</v>
      </c>
      <c r="D424" s="0" t="s">
        <v>4060</v>
      </c>
      <c r="E424" s="0" t="s">
        <v>4698</v>
      </c>
      <c r="F424" s="0" t="s">
        <v>3530</v>
      </c>
      <c r="G424" s="0" t="s">
        <v>4699</v>
      </c>
    </row>
    <row customHeight="1" ht="11.25">
      <c r="A425" s="0" t="s">
        <v>14</v>
      </c>
      <c r="B425" s="0" t="s">
        <v>4691</v>
      </c>
      <c r="C425" s="0" t="s">
        <v>4692</v>
      </c>
      <c r="D425" s="0" t="s">
        <v>4700</v>
      </c>
      <c r="E425" s="0" t="s">
        <v>4701</v>
      </c>
      <c r="F425" s="0" t="s">
        <v>3530</v>
      </c>
      <c r="G425" s="0" t="s">
        <v>4702</v>
      </c>
    </row>
    <row customHeight="1" ht="11.25">
      <c r="A426" s="0" t="s">
        <v>14</v>
      </c>
      <c r="B426" s="0" t="s">
        <v>4691</v>
      </c>
      <c r="C426" s="0" t="s">
        <v>4692</v>
      </c>
      <c r="D426" s="0" t="s">
        <v>4703</v>
      </c>
      <c r="E426" s="0" t="s">
        <v>4704</v>
      </c>
      <c r="F426" s="0" t="s">
        <v>3530</v>
      </c>
      <c r="G426" s="0" t="s">
        <v>4705</v>
      </c>
    </row>
    <row customHeight="1" ht="11.25">
      <c r="A427" s="0" t="s">
        <v>14</v>
      </c>
      <c r="B427" s="0" t="s">
        <v>4691</v>
      </c>
      <c r="C427" s="0" t="s">
        <v>4692</v>
      </c>
      <c r="D427" s="0" t="s">
        <v>4706</v>
      </c>
      <c r="E427" s="0" t="s">
        <v>4707</v>
      </c>
      <c r="F427" s="0" t="s">
        <v>3530</v>
      </c>
      <c r="G427" s="0" t="s">
        <v>4708</v>
      </c>
    </row>
    <row customHeight="1" ht="11.25">
      <c r="A428" s="0" t="s">
        <v>14</v>
      </c>
      <c r="B428" s="0" t="s">
        <v>4691</v>
      </c>
      <c r="C428" s="0" t="s">
        <v>4692</v>
      </c>
      <c r="D428" s="0" t="s">
        <v>4709</v>
      </c>
      <c r="E428" s="0" t="s">
        <v>4710</v>
      </c>
      <c r="F428" s="0" t="s">
        <v>3530</v>
      </c>
      <c r="G428" s="0" t="s">
        <v>4711</v>
      </c>
    </row>
    <row customHeight="1" ht="11.25">
      <c r="A429" s="0" t="s">
        <v>14</v>
      </c>
      <c r="B429" s="0" t="s">
        <v>4691</v>
      </c>
      <c r="C429" s="0" t="s">
        <v>4692</v>
      </c>
      <c r="D429" s="0" t="s">
        <v>4691</v>
      </c>
      <c r="E429" s="0" t="s">
        <v>4692</v>
      </c>
      <c r="F429" s="0" t="s">
        <v>3527</v>
      </c>
      <c r="G429" s="0" t="s">
        <v>4712</v>
      </c>
    </row>
    <row customHeight="1" ht="11.25">
      <c r="A430" s="0" t="s">
        <v>14</v>
      </c>
      <c r="B430" s="0" t="s">
        <v>4691</v>
      </c>
      <c r="C430" s="0" t="s">
        <v>4692</v>
      </c>
      <c r="D430" s="0" t="s">
        <v>4713</v>
      </c>
      <c r="E430" s="0" t="s">
        <v>4714</v>
      </c>
      <c r="F430" s="0" t="s">
        <v>3530</v>
      </c>
      <c r="G430" s="0" t="s">
        <v>4715</v>
      </c>
    </row>
    <row customHeight="1" ht="11.25">
      <c r="A431" s="0" t="s">
        <v>14</v>
      </c>
      <c r="B431" s="0" t="s">
        <v>4691</v>
      </c>
      <c r="C431" s="0" t="s">
        <v>4692</v>
      </c>
      <c r="D431" s="0" t="s">
        <v>4551</v>
      </c>
      <c r="E431" s="0" t="s">
        <v>4716</v>
      </c>
      <c r="F431" s="0" t="s">
        <v>3530</v>
      </c>
      <c r="G431" s="0" t="s">
        <v>4717</v>
      </c>
    </row>
    <row customHeight="1" ht="11.25">
      <c r="A432" s="0" t="s">
        <v>14</v>
      </c>
      <c r="B432" s="0" t="s">
        <v>4718</v>
      </c>
      <c r="C432" s="0" t="s">
        <v>4719</v>
      </c>
      <c r="D432" s="0" t="s">
        <v>3918</v>
      </c>
      <c r="E432" s="0" t="s">
        <v>4720</v>
      </c>
      <c r="F432" s="0" t="s">
        <v>3530</v>
      </c>
      <c r="G432" s="0" t="s">
        <v>4721</v>
      </c>
    </row>
    <row customHeight="1" ht="11.25">
      <c r="A433" s="0" t="s">
        <v>14</v>
      </c>
      <c r="B433" s="0" t="s">
        <v>4718</v>
      </c>
      <c r="C433" s="0" t="s">
        <v>4719</v>
      </c>
      <c r="D433" s="0" t="s">
        <v>4722</v>
      </c>
      <c r="E433" s="0" t="s">
        <v>4723</v>
      </c>
      <c r="F433" s="0" t="s">
        <v>3530</v>
      </c>
      <c r="G433" s="0" t="s">
        <v>4724</v>
      </c>
    </row>
    <row customHeight="1" ht="11.25">
      <c r="A434" s="0" t="s">
        <v>14</v>
      </c>
      <c r="B434" s="0" t="s">
        <v>4718</v>
      </c>
      <c r="C434" s="0" t="s">
        <v>4719</v>
      </c>
      <c r="D434" s="0" t="s">
        <v>4725</v>
      </c>
      <c r="E434" s="0" t="s">
        <v>4726</v>
      </c>
      <c r="F434" s="0" t="s">
        <v>3530</v>
      </c>
      <c r="G434" s="0" t="s">
        <v>4727</v>
      </c>
    </row>
    <row customHeight="1" ht="11.25">
      <c r="A435" s="0" t="s">
        <v>14</v>
      </c>
      <c r="B435" s="0" t="s">
        <v>4718</v>
      </c>
      <c r="C435" s="0" t="s">
        <v>4719</v>
      </c>
      <c r="D435" s="0" t="s">
        <v>4728</v>
      </c>
      <c r="E435" s="0" t="s">
        <v>4729</v>
      </c>
      <c r="F435" s="0" t="s">
        <v>3530</v>
      </c>
      <c r="G435" s="0" t="s">
        <v>4730</v>
      </c>
    </row>
    <row customHeight="1" ht="11.25">
      <c r="A436" s="0" t="s">
        <v>14</v>
      </c>
      <c r="B436" s="0" t="s">
        <v>4718</v>
      </c>
      <c r="C436" s="0" t="s">
        <v>4719</v>
      </c>
      <c r="D436" s="0" t="s">
        <v>4731</v>
      </c>
      <c r="E436" s="0" t="s">
        <v>4732</v>
      </c>
      <c r="F436" s="0" t="s">
        <v>3530</v>
      </c>
      <c r="G436" s="0" t="s">
        <v>4733</v>
      </c>
    </row>
    <row customHeight="1" ht="11.25">
      <c r="A437" s="0" t="s">
        <v>14</v>
      </c>
      <c r="B437" s="0" t="s">
        <v>4718</v>
      </c>
      <c r="C437" s="0" t="s">
        <v>4719</v>
      </c>
      <c r="D437" s="0" t="s">
        <v>4734</v>
      </c>
      <c r="E437" s="0" t="s">
        <v>4735</v>
      </c>
      <c r="F437" s="0" t="s">
        <v>3530</v>
      </c>
      <c r="G437" s="0" t="s">
        <v>4736</v>
      </c>
    </row>
    <row customHeight="1" ht="11.25">
      <c r="A438" s="0" t="s">
        <v>14</v>
      </c>
      <c r="B438" s="0" t="s">
        <v>4718</v>
      </c>
      <c r="C438" s="0" t="s">
        <v>4719</v>
      </c>
      <c r="D438" s="0" t="s">
        <v>4718</v>
      </c>
      <c r="E438" s="0" t="s">
        <v>4719</v>
      </c>
      <c r="F438" s="0" t="s">
        <v>3527</v>
      </c>
      <c r="G438" s="0" t="s">
        <v>4737</v>
      </c>
    </row>
    <row customHeight="1" ht="11.25">
      <c r="A439" s="0" t="s">
        <v>14</v>
      </c>
      <c r="B439" s="0" t="s">
        <v>4718</v>
      </c>
      <c r="C439" s="0" t="s">
        <v>4719</v>
      </c>
      <c r="D439" s="0" t="s">
        <v>4738</v>
      </c>
      <c r="E439" s="0" t="s">
        <v>4739</v>
      </c>
      <c r="F439" s="0" t="s">
        <v>3569</v>
      </c>
      <c r="G439" s="0" t="s">
        <v>4740</v>
      </c>
    </row>
    <row customHeight="1" ht="11.25">
      <c r="A440" s="0" t="s">
        <v>14</v>
      </c>
      <c r="B440" s="0" t="s">
        <v>4741</v>
      </c>
      <c r="C440" s="0" t="s">
        <v>4742</v>
      </c>
      <c r="D440" s="0" t="s">
        <v>4743</v>
      </c>
      <c r="E440" s="0" t="s">
        <v>4744</v>
      </c>
      <c r="F440" s="0" t="s">
        <v>3530</v>
      </c>
      <c r="G440" s="0" t="s">
        <v>4745</v>
      </c>
    </row>
    <row customHeight="1" ht="11.25">
      <c r="A441" s="0" t="s">
        <v>14</v>
      </c>
      <c r="B441" s="0" t="s">
        <v>4741</v>
      </c>
      <c r="C441" s="0" t="s">
        <v>4742</v>
      </c>
      <c r="D441" s="0" t="s">
        <v>3854</v>
      </c>
      <c r="E441" s="0" t="s">
        <v>4746</v>
      </c>
      <c r="F441" s="0" t="s">
        <v>3530</v>
      </c>
      <c r="G441" s="0" t="s">
        <v>4747</v>
      </c>
    </row>
    <row customHeight="1" ht="11.25">
      <c r="A442" s="0" t="s">
        <v>14</v>
      </c>
      <c r="B442" s="0" t="s">
        <v>4741</v>
      </c>
      <c r="C442" s="0" t="s">
        <v>4742</v>
      </c>
      <c r="D442" s="0" t="s">
        <v>4748</v>
      </c>
      <c r="E442" s="0" t="s">
        <v>4749</v>
      </c>
      <c r="F442" s="0" t="s">
        <v>3530</v>
      </c>
      <c r="G442" s="0" t="s">
        <v>4750</v>
      </c>
    </row>
    <row customHeight="1" ht="11.25">
      <c r="A443" s="0" t="s">
        <v>14</v>
      </c>
      <c r="B443" s="0" t="s">
        <v>4741</v>
      </c>
      <c r="C443" s="0" t="s">
        <v>4742</v>
      </c>
      <c r="D443" s="0" t="s">
        <v>3896</v>
      </c>
      <c r="E443" s="0" t="s">
        <v>4751</v>
      </c>
      <c r="F443" s="0" t="s">
        <v>3530</v>
      </c>
      <c r="G443" s="0" t="s">
        <v>4752</v>
      </c>
    </row>
    <row customHeight="1" ht="11.25">
      <c r="A444" s="0" t="s">
        <v>14</v>
      </c>
      <c r="B444" s="0" t="s">
        <v>4741</v>
      </c>
      <c r="C444" s="0" t="s">
        <v>4742</v>
      </c>
      <c r="D444" s="0" t="s">
        <v>4753</v>
      </c>
      <c r="E444" s="0" t="s">
        <v>4754</v>
      </c>
      <c r="F444" s="0" t="s">
        <v>3530</v>
      </c>
      <c r="G444" s="0" t="s">
        <v>4755</v>
      </c>
    </row>
    <row customHeight="1" ht="11.25">
      <c r="A445" s="0" t="s">
        <v>14</v>
      </c>
      <c r="B445" s="0" t="s">
        <v>4741</v>
      </c>
      <c r="C445" s="0" t="s">
        <v>4742</v>
      </c>
      <c r="D445" s="0" t="s">
        <v>4756</v>
      </c>
      <c r="E445" s="0" t="s">
        <v>4757</v>
      </c>
      <c r="F445" s="0" t="s">
        <v>3530</v>
      </c>
      <c r="G445" s="0" t="s">
        <v>4758</v>
      </c>
    </row>
    <row customHeight="1" ht="11.25">
      <c r="A446" s="0" t="s">
        <v>14</v>
      </c>
      <c r="B446" s="0" t="s">
        <v>4741</v>
      </c>
      <c r="C446" s="0" t="s">
        <v>4742</v>
      </c>
      <c r="D446" s="0" t="s">
        <v>4759</v>
      </c>
      <c r="E446" s="0" t="s">
        <v>4760</v>
      </c>
      <c r="F446" s="0" t="s">
        <v>3530</v>
      </c>
      <c r="G446" s="0" t="s">
        <v>4761</v>
      </c>
    </row>
    <row customHeight="1" ht="11.25">
      <c r="A447" s="0" t="s">
        <v>14</v>
      </c>
      <c r="B447" s="0" t="s">
        <v>4741</v>
      </c>
      <c r="C447" s="0" t="s">
        <v>4742</v>
      </c>
      <c r="D447" s="0" t="s">
        <v>4762</v>
      </c>
      <c r="E447" s="0" t="s">
        <v>4763</v>
      </c>
      <c r="F447" s="0" t="s">
        <v>3530</v>
      </c>
      <c r="G447" s="0" t="s">
        <v>4764</v>
      </c>
    </row>
    <row customHeight="1" ht="11.25">
      <c r="A448" s="0" t="s">
        <v>14</v>
      </c>
      <c r="B448" s="0" t="s">
        <v>4741</v>
      </c>
      <c r="C448" s="0" t="s">
        <v>4742</v>
      </c>
      <c r="D448" s="0" t="s">
        <v>4765</v>
      </c>
      <c r="E448" s="0" t="s">
        <v>4766</v>
      </c>
      <c r="F448" s="0" t="s">
        <v>3530</v>
      </c>
      <c r="G448" s="0" t="s">
        <v>4767</v>
      </c>
    </row>
    <row customHeight="1" ht="11.25">
      <c r="A449" s="0" t="s">
        <v>14</v>
      </c>
      <c r="B449" s="0" t="s">
        <v>4741</v>
      </c>
      <c r="C449" s="0" t="s">
        <v>4742</v>
      </c>
      <c r="D449" s="0" t="s">
        <v>4768</v>
      </c>
      <c r="E449" s="0" t="s">
        <v>4769</v>
      </c>
      <c r="F449" s="0" t="s">
        <v>3530</v>
      </c>
      <c r="G449" s="0" t="s">
        <v>4770</v>
      </c>
    </row>
    <row customHeight="1" ht="11.25">
      <c r="A450" s="0" t="s">
        <v>14</v>
      </c>
      <c r="B450" s="0" t="s">
        <v>4741</v>
      </c>
      <c r="C450" s="0" t="s">
        <v>4742</v>
      </c>
      <c r="D450" s="0" t="s">
        <v>4771</v>
      </c>
      <c r="E450" s="0" t="s">
        <v>4772</v>
      </c>
      <c r="F450" s="0" t="s">
        <v>3530</v>
      </c>
      <c r="G450" s="0" t="s">
        <v>4773</v>
      </c>
    </row>
    <row customHeight="1" ht="11.25">
      <c r="A451" s="0" t="s">
        <v>14</v>
      </c>
      <c r="B451" s="0" t="s">
        <v>4741</v>
      </c>
      <c r="C451" s="0" t="s">
        <v>4742</v>
      </c>
      <c r="D451" s="0" t="s">
        <v>4741</v>
      </c>
      <c r="E451" s="0" t="s">
        <v>4742</v>
      </c>
      <c r="F451" s="0" t="s">
        <v>3527</v>
      </c>
      <c r="G451" s="0" t="s">
        <v>4774</v>
      </c>
    </row>
    <row customHeight="1" ht="11.25">
      <c r="A452" s="0" t="s">
        <v>14</v>
      </c>
      <c r="B452" s="0" t="s">
        <v>4741</v>
      </c>
      <c r="C452" s="0" t="s">
        <v>4742</v>
      </c>
      <c r="D452" s="0" t="s">
        <v>4775</v>
      </c>
      <c r="E452" s="0" t="s">
        <v>4776</v>
      </c>
      <c r="F452" s="0" t="s">
        <v>3530</v>
      </c>
      <c r="G452" s="0" t="s">
        <v>4777</v>
      </c>
    </row>
    <row customHeight="1" ht="11.25">
      <c r="A453" s="0" t="s">
        <v>14</v>
      </c>
      <c r="B453" s="0" t="s">
        <v>4741</v>
      </c>
      <c r="C453" s="0" t="s">
        <v>4742</v>
      </c>
      <c r="D453" s="0" t="s">
        <v>4778</v>
      </c>
      <c r="E453" s="0" t="s">
        <v>4779</v>
      </c>
      <c r="F453" s="0" t="s">
        <v>3530</v>
      </c>
      <c r="G453" s="0" t="s">
        <v>4780</v>
      </c>
    </row>
    <row customHeight="1" ht="11.25">
      <c r="A454" s="0" t="s">
        <v>14</v>
      </c>
      <c r="B454" s="0" t="s">
        <v>4741</v>
      </c>
      <c r="C454" s="0" t="s">
        <v>4742</v>
      </c>
      <c r="D454" s="0" t="s">
        <v>4781</v>
      </c>
      <c r="E454" s="0" t="s">
        <v>4782</v>
      </c>
      <c r="F454" s="0" t="s">
        <v>3530</v>
      </c>
      <c r="G454" s="0" t="s">
        <v>4783</v>
      </c>
    </row>
    <row customHeight="1" ht="11.25">
      <c r="A455" s="0" t="s">
        <v>14</v>
      </c>
      <c r="B455" s="0" t="s">
        <v>4784</v>
      </c>
      <c r="C455" s="0" t="s">
        <v>4785</v>
      </c>
      <c r="D455" s="0" t="s">
        <v>4786</v>
      </c>
      <c r="E455" s="0" t="s">
        <v>4787</v>
      </c>
      <c r="F455" s="0" t="s">
        <v>3530</v>
      </c>
      <c r="G455" s="0" t="s">
        <v>4788</v>
      </c>
    </row>
    <row customHeight="1" ht="11.25">
      <c r="A456" s="0" t="s">
        <v>14</v>
      </c>
      <c r="B456" s="0" t="s">
        <v>4784</v>
      </c>
      <c r="C456" s="0" t="s">
        <v>4785</v>
      </c>
      <c r="D456" s="0" t="s">
        <v>4789</v>
      </c>
      <c r="E456" s="0" t="s">
        <v>4790</v>
      </c>
      <c r="F456" s="0" t="s">
        <v>3530</v>
      </c>
      <c r="G456" s="0" t="s">
        <v>4791</v>
      </c>
    </row>
    <row customHeight="1" ht="11.25">
      <c r="A457" s="0" t="s">
        <v>14</v>
      </c>
      <c r="B457" s="0" t="s">
        <v>4784</v>
      </c>
      <c r="C457" s="0" t="s">
        <v>4785</v>
      </c>
      <c r="D457" s="0" t="s">
        <v>4792</v>
      </c>
      <c r="E457" s="0" t="s">
        <v>4793</v>
      </c>
      <c r="F457" s="0" t="s">
        <v>3530</v>
      </c>
      <c r="G457" s="0" t="s">
        <v>4794</v>
      </c>
    </row>
    <row customHeight="1" ht="11.25">
      <c r="A458" s="0" t="s">
        <v>14</v>
      </c>
      <c r="B458" s="0" t="s">
        <v>4784</v>
      </c>
      <c r="C458" s="0" t="s">
        <v>4785</v>
      </c>
      <c r="D458" s="0" t="s">
        <v>4795</v>
      </c>
      <c r="E458" s="0" t="s">
        <v>4796</v>
      </c>
      <c r="F458" s="0" t="s">
        <v>3530</v>
      </c>
      <c r="G458" s="0" t="s">
        <v>4797</v>
      </c>
    </row>
    <row customHeight="1" ht="11.25">
      <c r="A459" s="0" t="s">
        <v>14</v>
      </c>
      <c r="B459" s="0" t="s">
        <v>4784</v>
      </c>
      <c r="C459" s="0" t="s">
        <v>4785</v>
      </c>
      <c r="D459" s="0" t="s">
        <v>3918</v>
      </c>
      <c r="E459" s="0" t="s">
        <v>4798</v>
      </c>
      <c r="F459" s="0" t="s">
        <v>3530</v>
      </c>
      <c r="G459" s="0" t="s">
        <v>4799</v>
      </c>
    </row>
    <row customHeight="1" ht="11.25">
      <c r="A460" s="0" t="s">
        <v>14</v>
      </c>
      <c r="B460" s="0" t="s">
        <v>4784</v>
      </c>
      <c r="C460" s="0" t="s">
        <v>4785</v>
      </c>
      <c r="D460" s="0" t="s">
        <v>4800</v>
      </c>
      <c r="E460" s="0" t="s">
        <v>4801</v>
      </c>
      <c r="F460" s="0" t="s">
        <v>3530</v>
      </c>
      <c r="G460" s="0" t="s">
        <v>4802</v>
      </c>
    </row>
    <row customHeight="1" ht="11.25">
      <c r="A461" s="0" t="s">
        <v>14</v>
      </c>
      <c r="B461" s="0" t="s">
        <v>4784</v>
      </c>
      <c r="C461" s="0" t="s">
        <v>4785</v>
      </c>
      <c r="D461" s="0" t="s">
        <v>4803</v>
      </c>
      <c r="E461" s="0" t="s">
        <v>4804</v>
      </c>
      <c r="F461" s="0" t="s">
        <v>3530</v>
      </c>
      <c r="G461" s="0" t="s">
        <v>4805</v>
      </c>
    </row>
    <row customHeight="1" ht="11.25">
      <c r="A462" s="0" t="s">
        <v>14</v>
      </c>
      <c r="B462" s="0" t="s">
        <v>4784</v>
      </c>
      <c r="C462" s="0" t="s">
        <v>4785</v>
      </c>
      <c r="D462" s="0" t="s">
        <v>4806</v>
      </c>
      <c r="E462" s="0" t="s">
        <v>4807</v>
      </c>
      <c r="F462" s="0" t="s">
        <v>3530</v>
      </c>
      <c r="G462" s="0" t="s">
        <v>4808</v>
      </c>
    </row>
    <row customHeight="1" ht="11.25">
      <c r="A463" s="0" t="s">
        <v>14</v>
      </c>
      <c r="B463" s="0" t="s">
        <v>4784</v>
      </c>
      <c r="C463" s="0" t="s">
        <v>4785</v>
      </c>
      <c r="D463" s="0" t="s">
        <v>4809</v>
      </c>
      <c r="E463" s="0" t="s">
        <v>4810</v>
      </c>
      <c r="F463" s="0" t="s">
        <v>3530</v>
      </c>
      <c r="G463" s="0" t="s">
        <v>4811</v>
      </c>
    </row>
    <row customHeight="1" ht="11.25">
      <c r="A464" s="0" t="s">
        <v>14</v>
      </c>
      <c r="B464" s="0" t="s">
        <v>4784</v>
      </c>
      <c r="C464" s="0" t="s">
        <v>4785</v>
      </c>
      <c r="D464" s="0" t="s">
        <v>4784</v>
      </c>
      <c r="E464" s="0" t="s">
        <v>4785</v>
      </c>
      <c r="F464" s="0" t="s">
        <v>3527</v>
      </c>
      <c r="G464" s="0" t="s">
        <v>4812</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D0D9CD8-9503-F56F-8F24-3E0EA01102FD}" mc:Ignorable="x14ac xr xr2 xr3">
  <sheetPr>
    <tabColor rgb="FFFFCC99"/>
  </sheetPr>
  <dimension ref="A1:C3"/>
  <sheetViews>
    <sheetView topLeftCell="A1" showGridLines="0" workbookViewId="0">
      <selection activeCell="A1" sqref="A1"/>
    </sheetView>
  </sheetViews>
  <sheetFormatPr defaultColWidth="9.140625" customHeight="1" defaultRowHeight="11.25"/>
  <cols>
    <col min="1" max="1" style="10542" width="9.140625"/>
    <col min="2" max="2" style="10542" width="84.28125" customWidth="1"/>
    <col min="3" max="3" style="10542" width="9.140625"/>
  </cols>
  <sheetData>
    <row customHeight="1" ht="11.25">
      <c r="A1" s="989" t="s">
        <v>4830</v>
      </c>
      <c r="B1" s="989" t="s">
        <v>4831</v>
      </c>
      <c r="C1" s="989" t="s">
        <v>1082</v>
      </c>
    </row>
    <row customHeight="1" ht="11.25">
      <c r="A2" s="989">
        <v>4189678</v>
      </c>
      <c r="B2" s="989" t="s">
        <v>4832</v>
      </c>
      <c r="C2" s="989" t="s">
        <v>4833</v>
      </c>
    </row>
    <row customHeight="1" ht="11.25">
      <c r="A3" s="989">
        <v>4190415</v>
      </c>
      <c r="B3" s="989" t="s">
        <v>4834</v>
      </c>
      <c r="C3" s="989" t="s">
        <v>4833</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7F69A3E-EBC1-3F77-7678-52D0B61F5FAE}" mc:Ignorable="x14ac xr xr2 xr3">
  <sheetPr>
    <tabColor rgb="FFFFCC99"/>
  </sheetPr>
  <dimension ref="A1:E8"/>
  <sheetViews>
    <sheetView topLeftCell="A1" showGridLines="0" workbookViewId="0">
      <selection activeCell="A1" sqref="A1"/>
    </sheetView>
  </sheetViews>
  <sheetFormatPr defaultColWidth="9.140625" customHeight="1" defaultRowHeight="15"/>
  <cols>
    <col min="1" max="1" style="10545" width="38.421875" customWidth="1"/>
    <col min="2" max="5" style="10545" width="9.140625"/>
  </cols>
  <sheetData>
    <row customHeight="1" ht="15">
      <c r="A1" s="318" t="s">
        <v>4835</v>
      </c>
      <c r="B1" s="318" t="s">
        <v>4836</v>
      </c>
      <c r="C1" s="318"/>
      <c r="D1" s="318"/>
      <c r="E1" s="318"/>
    </row>
    <row customHeight="1" ht="15">
      <c r="A2" s="318"/>
      <c r="B2" s="318"/>
      <c r="C2" s="318"/>
      <c r="D2" s="318"/>
      <c r="E2" s="318"/>
    </row>
    <row customHeight="1" ht="15">
      <c r="A3" s="318"/>
      <c r="B3" s="318"/>
      <c r="C3" s="318"/>
      <c r="D3" s="318"/>
      <c r="E3" s="318"/>
    </row>
    <row customHeight="1" ht="15">
      <c r="A4" s="318"/>
      <c r="B4" s="318"/>
      <c r="C4" s="318"/>
      <c r="D4" s="318"/>
      <c r="E4" s="318"/>
    </row>
    <row customHeight="1" ht="15">
      <c r="A5" s="318"/>
      <c r="B5" s="318"/>
      <c r="C5" s="318"/>
      <c r="D5" s="318"/>
      <c r="E5" s="318"/>
    </row>
    <row customHeight="1" ht="15">
      <c r="A6" s="318"/>
      <c r="B6" s="318"/>
      <c r="C6" s="318"/>
      <c r="D6" s="318"/>
      <c r="E6" s="318"/>
    </row>
    <row customHeight="1" ht="15">
      <c r="A7" s="318"/>
      <c r="B7" s="318"/>
      <c r="C7" s="318"/>
      <c r="D7" s="318"/>
      <c r="E7" s="318"/>
    </row>
    <row customHeight="1" ht="15">
      <c r="A8" s="318"/>
      <c r="B8" s="318"/>
      <c r="C8" s="318"/>
      <c r="D8" s="318"/>
      <c r="E8" s="318"/>
    </row>
  </sheetData>
  <sheetProtection formatColumns="0" formatRows="0"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BC61CB2-C778-CB11-F22D-9BAD2E57F30E}" mc:Ignorable="x14ac xr xr2 xr3">
  <sheetPr>
    <tabColor rgb="FFFFCC99"/>
  </sheetPr>
  <dimension ref="A1:E25"/>
  <sheetViews>
    <sheetView topLeftCell="A1" workbookViewId="0">
      <selection activeCell="A1" sqref="A1"/>
    </sheetView>
  </sheetViews>
  <sheetFormatPr customHeight="1" defaultRowHeight="11.25"/>
  <sheetData>
    <row customHeight="1" ht="11.25">
      <c r="A1" s="0" t="s">
        <v>4837</v>
      </c>
      <c r="B1" s="0" t="b">
        <v>1</v>
      </c>
    </row>
    <row customHeight="1" ht="11.25">
      <c r="A2" s="0" t="s">
        <v>4838</v>
      </c>
      <c r="B2" s="0" t="b">
        <v>0</v>
      </c>
    </row>
    <row customHeight="1" ht="11.25">
      <c r="A3" s="0" t="s">
        <v>4839</v>
      </c>
      <c r="B3" s="0" t="b">
        <v>0</v>
      </c>
    </row>
    <row customHeight="1" ht="11.25">
      <c r="A4" s="0" t="s">
        <v>4840</v>
      </c>
      <c r="B4" s="0" t="b">
        <v>0</v>
      </c>
    </row>
    <row customHeight="1" ht="11.25">
      <c r="A5" s="0" t="s">
        <v>4841</v>
      </c>
      <c r="B5" s="0" t="b">
        <v>0</v>
      </c>
    </row>
    <row customHeight="1" ht="11.25">
      <c r="A6" s="0" t="s">
        <v>4842</v>
      </c>
      <c r="B6" s="0" t="b">
        <v>1</v>
      </c>
    </row>
    <row customHeight="1" ht="11.25">
      <c r="A7" s="0" t="s">
        <v>4843</v>
      </c>
      <c r="B7" s="0" t="b">
        <v>0</v>
      </c>
    </row>
    <row customHeight="1" ht="11.25">
      <c r="A8" s="0" t="s">
        <v>4844</v>
      </c>
      <c r="B8" s="0" t="b">
        <v>0</v>
      </c>
    </row>
    <row customHeight="1" ht="11.25">
      <c r="A9" s="0" t="s">
        <v>4845</v>
      </c>
      <c r="B9" s="0" t="b">
        <v>1</v>
      </c>
    </row>
    <row customHeight="1" ht="11.25">
      <c r="A10" s="0" t="s">
        <v>4846</v>
      </c>
      <c r="B10" s="0" t="b">
        <v>0</v>
      </c>
    </row>
    <row customHeight="1" ht="11.25">
      <c r="A11" s="0" t="s">
        <v>4847</v>
      </c>
      <c r="B11" s="0" t="b">
        <v>0</v>
      </c>
    </row>
    <row customHeight="1" ht="11.25">
      <c r="A12" s="0" t="s">
        <v>4848</v>
      </c>
      <c r="B12" s="0" t="b">
        <v>0</v>
      </c>
    </row>
    <row customHeight="1" ht="11.25">
      <c r="A13" s="0" t="s">
        <v>4849</v>
      </c>
      <c r="B13" s="0" t="b">
        <v>0</v>
      </c>
    </row>
    <row customHeight="1" ht="11.25">
      <c r="A14" s="0" t="s">
        <v>4850</v>
      </c>
      <c r="B14" s="0" t="b">
        <v>0</v>
      </c>
    </row>
    <row customHeight="1" ht="11.25">
      <c r="A15" s="0" t="s">
        <v>4851</v>
      </c>
      <c r="B15" s="0" t="b">
        <v>1</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705B32B-71DD-26B9-55C6-5508BBBC3A41}" mc:Ignorable="x14ac xr xr2 xr3">
  <sheetPr>
    <tabColor rgb="FFFFCC99"/>
  </sheetPr>
  <dimension ref="A1:A1"/>
  <sheetViews>
    <sheetView topLeftCell="A1" showGridLines="0" workbookViewId="0">
      <selection activeCell="A1" sqref="A1"/>
    </sheetView>
  </sheetViews>
  <sheetFormatPr defaultColWidth="9.140625" customHeight="1" defaultRowHeight="12.75"/>
  <cols>
    <col min="1" max="1" style="10547" width="9.140625"/>
  </cols>
  <sheetData>
    <row customHeight="1" ht="12.75">
      <c r="A1" s="249"/>
    </row>
  </sheetData>
  <sheetProtection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CE62323-705B-EEED-DBB4-745A9AF71B1D}" mc:Ignorable="x14ac xr xr2 xr3">
  <sheetPr>
    <tabColor rgb="FFFFCC99"/>
  </sheetPr>
  <dimension ref="A1:B253"/>
  <sheetViews>
    <sheetView topLeftCell="A1" showGridLines="0" workbookViewId="0">
      <selection activeCell="A1" sqref="A1"/>
    </sheetView>
  </sheetViews>
  <sheetFormatPr defaultColWidth="9.140625" customHeight="1" defaultRowHeight="11.25"/>
  <cols>
    <col min="1" max="1" style="10549" width="36.28125" customWidth="1"/>
    <col min="2" max="2" style="10549" width="21.140625" customWidth="1"/>
  </cols>
  <sheetData>
    <row customHeight="1" ht="11.25">
      <c r="A1" s="221" t="s">
        <v>4852</v>
      </c>
      <c r="B1" s="221" t="s">
        <v>4853</v>
      </c>
    </row>
    <row customHeight="1" ht="11.25">
      <c r="A2" s="215" t="s">
        <v>4854</v>
      </c>
      <c r="B2" s="215" t="s">
        <v>4855</v>
      </c>
    </row>
    <row customHeight="1" ht="11.25">
      <c r="A3" s="215" t="s">
        <v>4856</v>
      </c>
      <c r="B3" s="215" t="s">
        <v>4857</v>
      </c>
    </row>
    <row customHeight="1" ht="11.25">
      <c r="A4" s="215" t="s">
        <v>4858</v>
      </c>
      <c r="B4" s="215" t="s">
        <v>4859</v>
      </c>
    </row>
    <row customHeight="1" ht="11.25">
      <c r="A5" s="215" t="s">
        <v>4860</v>
      </c>
      <c r="B5" s="215" t="s">
        <v>4861</v>
      </c>
    </row>
    <row customHeight="1" ht="11.25">
      <c r="A6" s="215" t="s">
        <v>4862</v>
      </c>
      <c r="B6" s="215" t="s">
        <v>4863</v>
      </c>
    </row>
    <row customHeight="1" ht="11.25">
      <c r="A7" s="215" t="s">
        <v>4864</v>
      </c>
      <c r="B7" s="215" t="s">
        <v>4865</v>
      </c>
    </row>
    <row customHeight="1" ht="11.25">
      <c r="A8" s="215" t="s">
        <v>4866</v>
      </c>
      <c r="B8" s="215" t="s">
        <v>4867</v>
      </c>
    </row>
    <row customHeight="1" ht="11.25">
      <c r="A9" s="215" t="s">
        <v>4868</v>
      </c>
      <c r="B9" s="215" t="s">
        <v>4869</v>
      </c>
    </row>
    <row customHeight="1" ht="11.25">
      <c r="A10" s="215" t="s">
        <v>4870</v>
      </c>
      <c r="B10" s="215" t="s">
        <v>4871</v>
      </c>
    </row>
    <row customHeight="1" ht="11.25">
      <c r="A11" s="215" t="s">
        <v>4872</v>
      </c>
      <c r="B11" s="215" t="s">
        <v>4873</v>
      </c>
    </row>
    <row customHeight="1" ht="11.25">
      <c r="A12" s="215" t="s">
        <v>4874</v>
      </c>
      <c r="B12" s="215" t="s">
        <v>4875</v>
      </c>
    </row>
    <row customHeight="1" ht="11.25">
      <c r="A13" s="215" t="s">
        <v>4876</v>
      </c>
      <c r="B13" s="215" t="s">
        <v>4877</v>
      </c>
    </row>
    <row customHeight="1" ht="11.25">
      <c r="A14" s="215" t="s">
        <v>4878</v>
      </c>
      <c r="B14" s="215" t="s">
        <v>4879</v>
      </c>
    </row>
    <row customHeight="1" ht="11.25">
      <c r="A15" s="215" t="s">
        <v>4880</v>
      </c>
      <c r="B15" s="215" t="s">
        <v>4881</v>
      </c>
    </row>
    <row customHeight="1" ht="11.25">
      <c r="A16" s="215" t="s">
        <v>4882</v>
      </c>
      <c r="B16" s="215" t="s">
        <v>4883</v>
      </c>
    </row>
    <row customHeight="1" ht="11.25">
      <c r="A17" s="215" t="s">
        <v>4884</v>
      </c>
      <c r="B17" s="215" t="s">
        <v>4885</v>
      </c>
    </row>
    <row customHeight="1" ht="11.25">
      <c r="A18" s="215" t="s">
        <v>4886</v>
      </c>
      <c r="B18" s="215" t="s">
        <v>4887</v>
      </c>
    </row>
    <row customHeight="1" ht="11.25">
      <c r="A19" s="215" t="s">
        <v>4888</v>
      </c>
      <c r="B19" s="215" t="s">
        <v>4889</v>
      </c>
    </row>
    <row customHeight="1" ht="11.25">
      <c r="A20" s="215" t="s">
        <v>4890</v>
      </c>
      <c r="B20" s="215" t="s">
        <v>4891</v>
      </c>
    </row>
    <row customHeight="1" ht="11.25">
      <c r="A21" s="215" t="s">
        <v>4892</v>
      </c>
      <c r="B21" s="215" t="s">
        <v>4893</v>
      </c>
    </row>
    <row customHeight="1" ht="11.25">
      <c r="A22" s="215" t="s">
        <v>4894</v>
      </c>
      <c r="B22" s="215" t="s">
        <v>4895</v>
      </c>
    </row>
    <row customHeight="1" ht="11.25">
      <c r="A23" s="215" t="s">
        <v>4896</v>
      </c>
      <c r="B23" s="215" t="s">
        <v>4897</v>
      </c>
    </row>
    <row customHeight="1" ht="11.25">
      <c r="A24" s="215" t="s">
        <v>4898</v>
      </c>
      <c r="B24" s="215" t="s">
        <v>4899</v>
      </c>
    </row>
    <row customHeight="1" ht="11.25">
      <c r="A25" s="215" t="s">
        <v>4900</v>
      </c>
      <c r="B25" s="215" t="s">
        <v>4901</v>
      </c>
    </row>
    <row customHeight="1" ht="11.25">
      <c r="A26" s="215" t="s">
        <v>4902</v>
      </c>
      <c r="B26" s="215" t="s">
        <v>4903</v>
      </c>
    </row>
    <row customHeight="1" ht="11.25">
      <c r="A27" s="215" t="s">
        <v>4904</v>
      </c>
      <c r="B27" s="215" t="s">
        <v>4905</v>
      </c>
    </row>
    <row customHeight="1" ht="11.25">
      <c r="A28" s="215" t="s">
        <v>4906</v>
      </c>
      <c r="B28" s="215" t="s">
        <v>4907</v>
      </c>
    </row>
    <row customHeight="1" ht="11.25">
      <c r="A29" s="215" t="s">
        <v>4908</v>
      </c>
      <c r="B29" s="215" t="s">
        <v>4909</v>
      </c>
    </row>
    <row customHeight="1" ht="11.25">
      <c r="A30" s="215" t="s">
        <v>4910</v>
      </c>
      <c r="B30" s="215" t="s">
        <v>4911</v>
      </c>
    </row>
    <row customHeight="1" ht="11.25">
      <c r="A31" s="215" t="s">
        <v>4912</v>
      </c>
      <c r="B31" s="215" t="s">
        <v>4913</v>
      </c>
    </row>
    <row customHeight="1" ht="11.25">
      <c r="A32" s="215" t="s">
        <v>4914</v>
      </c>
      <c r="B32" s="215" t="s">
        <v>4915</v>
      </c>
    </row>
    <row customHeight="1" ht="11.25">
      <c r="A33" s="215" t="s">
        <v>4916</v>
      </c>
      <c r="B33" s="215" t="s">
        <v>4917</v>
      </c>
    </row>
    <row customHeight="1" ht="11.25">
      <c r="A34" s="215" t="s">
        <v>4918</v>
      </c>
      <c r="B34" s="215" t="s">
        <v>4919</v>
      </c>
    </row>
    <row customHeight="1" ht="11.25">
      <c r="A35" s="215" t="s">
        <v>4920</v>
      </c>
      <c r="B35" s="215" t="s">
        <v>4921</v>
      </c>
    </row>
    <row customHeight="1" ht="11.25">
      <c r="A36" s="215" t="s">
        <v>4922</v>
      </c>
      <c r="B36" s="215" t="s">
        <v>4923</v>
      </c>
    </row>
    <row customHeight="1" ht="11.25">
      <c r="A37" s="215" t="s">
        <v>4924</v>
      </c>
      <c r="B37" s="215" t="s">
        <v>4925</v>
      </c>
    </row>
    <row customHeight="1" ht="11.25">
      <c r="A38" s="215" t="s">
        <v>4926</v>
      </c>
      <c r="B38" s="215" t="s">
        <v>4927</v>
      </c>
    </row>
    <row customHeight="1" ht="11.25">
      <c r="A39" s="215" t="s">
        <v>4928</v>
      </c>
      <c r="B39" s="215" t="s">
        <v>4929</v>
      </c>
    </row>
    <row customHeight="1" ht="11.25">
      <c r="A40" s="215" t="s">
        <v>4930</v>
      </c>
      <c r="B40" s="215" t="s">
        <v>4931</v>
      </c>
    </row>
    <row customHeight="1" ht="11.25">
      <c r="A41" s="215" t="s">
        <v>4932</v>
      </c>
      <c r="B41" s="215" t="s">
        <v>4933</v>
      </c>
    </row>
    <row customHeight="1" ht="11.25">
      <c r="A42" s="215" t="s">
        <v>4934</v>
      </c>
      <c r="B42" s="215" t="s">
        <v>4935</v>
      </c>
    </row>
    <row customHeight="1" ht="11.25">
      <c r="A43" s="215" t="s">
        <v>4936</v>
      </c>
      <c r="B43" s="215" t="s">
        <v>4937</v>
      </c>
    </row>
    <row customHeight="1" ht="11.25">
      <c r="A44" s="215" t="s">
        <v>4938</v>
      </c>
      <c r="B44" s="215" t="s">
        <v>4939</v>
      </c>
    </row>
    <row customHeight="1" ht="11.25">
      <c r="A45" s="215" t="s">
        <v>4940</v>
      </c>
      <c r="B45" s="215" t="s">
        <v>4941</v>
      </c>
    </row>
    <row customHeight="1" ht="11.25">
      <c r="A46" s="215" t="s">
        <v>4942</v>
      </c>
      <c r="B46" s="215" t="s">
        <v>4943</v>
      </c>
    </row>
    <row customHeight="1" ht="11.25">
      <c r="A47" s="215" t="s">
        <v>4944</v>
      </c>
      <c r="B47" s="215" t="s">
        <v>4945</v>
      </c>
    </row>
    <row customHeight="1" ht="11.25">
      <c r="A48" s="215" t="s">
        <v>4946</v>
      </c>
      <c r="B48" s="215" t="s">
        <v>4947</v>
      </c>
    </row>
    <row customHeight="1" ht="11.25">
      <c r="A49" s="215" t="s">
        <v>4948</v>
      </c>
      <c r="B49" s="215" t="s">
        <v>4949</v>
      </c>
    </row>
    <row customHeight="1" ht="11.25">
      <c r="A50" s="215" t="s">
        <v>4950</v>
      </c>
      <c r="B50" s="215" t="s">
        <v>4951</v>
      </c>
    </row>
    <row customHeight="1" ht="11.25">
      <c r="A51" s="215" t="s">
        <v>4952</v>
      </c>
      <c r="B51" s="215" t="s">
        <v>4953</v>
      </c>
    </row>
    <row customHeight="1" ht="11.25">
      <c r="A52" s="215" t="s">
        <v>4954</v>
      </c>
      <c r="B52" s="215" t="s">
        <v>4955</v>
      </c>
    </row>
    <row customHeight="1" ht="11.25">
      <c r="A53" s="215" t="s">
        <v>4956</v>
      </c>
      <c r="B53" s="215" t="s">
        <v>4957</v>
      </c>
    </row>
    <row customHeight="1" ht="11.25">
      <c r="A54" s="215" t="s">
        <v>4958</v>
      </c>
      <c r="B54" s="215" t="s">
        <v>4959</v>
      </c>
    </row>
    <row customHeight="1" ht="11.25">
      <c r="A55" s="215" t="s">
        <v>4960</v>
      </c>
      <c r="B55" s="215" t="s">
        <v>4961</v>
      </c>
    </row>
    <row customHeight="1" ht="11.25">
      <c r="A56" s="215" t="s">
        <v>4962</v>
      </c>
      <c r="B56" s="215" t="s">
        <v>4963</v>
      </c>
    </row>
    <row customHeight="1" ht="11.25">
      <c r="A57" s="215" t="s">
        <v>4964</v>
      </c>
      <c r="B57" s="215" t="s">
        <v>4965</v>
      </c>
    </row>
    <row customHeight="1" ht="11.25">
      <c r="A58" s="215" t="s">
        <v>4966</v>
      </c>
      <c r="B58" s="215" t="s">
        <v>4967</v>
      </c>
    </row>
    <row customHeight="1" ht="11.25">
      <c r="A59" s="215" t="s">
        <v>4968</v>
      </c>
      <c r="B59" s="215" t="s">
        <v>4969</v>
      </c>
    </row>
    <row customHeight="1" ht="11.25">
      <c r="A60" s="215" t="s">
        <v>4970</v>
      </c>
      <c r="B60" s="215" t="s">
        <v>4971</v>
      </c>
    </row>
    <row customHeight="1" ht="11.25">
      <c r="A61" s="215"/>
      <c r="B61" s="215" t="s">
        <v>4972</v>
      </c>
    </row>
    <row customHeight="1" ht="11.25">
      <c r="A62" s="215"/>
      <c r="B62" s="215" t="s">
        <v>4973</v>
      </c>
    </row>
    <row customHeight="1" ht="11.25">
      <c r="A63" s="215"/>
      <c r="B63" s="215" t="s">
        <v>4974</v>
      </c>
    </row>
    <row customHeight="1" ht="11.25">
      <c r="A64" s="215"/>
      <c r="B64" s="215" t="s">
        <v>4975</v>
      </c>
    </row>
    <row customHeight="1" ht="11.25">
      <c r="A65" s="215"/>
      <c r="B65" s="215" t="s">
        <v>4976</v>
      </c>
    </row>
    <row customHeight="1" ht="11.25">
      <c r="A66" s="215"/>
      <c r="B66" s="215" t="s">
        <v>4977</v>
      </c>
    </row>
    <row customHeight="1" ht="11.25">
      <c r="A67" s="215"/>
      <c r="B67" s="215" t="s">
        <v>4978</v>
      </c>
    </row>
    <row customHeight="1" ht="11.25">
      <c r="A68" s="215"/>
      <c r="B68" s="215" t="s">
        <v>4979</v>
      </c>
    </row>
    <row customHeight="1" ht="11.25">
      <c r="A69" s="215"/>
      <c r="B69" s="215" t="s">
        <v>4980</v>
      </c>
    </row>
    <row customHeight="1" ht="11.25">
      <c r="A70" s="215"/>
      <c r="B70" s="215" t="s">
        <v>4981</v>
      </c>
    </row>
    <row customHeight="1" ht="11.25">
      <c r="A71" s="215"/>
      <c r="B71" s="215"/>
    </row>
    <row customHeight="1" ht="11.25">
      <c r="A72" s="215"/>
      <c r="B72" s="215"/>
    </row>
    <row customHeight="1" ht="11.25">
      <c r="A73" s="215"/>
      <c r="B73" s="215"/>
    </row>
    <row customHeight="1" ht="11.25">
      <c r="A74" s="215"/>
      <c r="B74" s="215"/>
    </row>
    <row customHeight="1" ht="11.25">
      <c r="A75" s="215"/>
      <c r="B75" s="215"/>
    </row>
    <row customHeight="1" ht="11.25">
      <c r="A76" s="215"/>
      <c r="B76" s="215"/>
    </row>
    <row customHeight="1" ht="11.25">
      <c r="A77" s="215"/>
      <c r="B77" s="215"/>
    </row>
    <row customHeight="1" ht="11.25">
      <c r="A78" s="215"/>
      <c r="B78" s="215"/>
    </row>
    <row customHeight="1" ht="11.25">
      <c r="A79" s="215"/>
      <c r="B79" s="215"/>
    </row>
    <row customHeight="1" ht="11.25">
      <c r="A80" s="215"/>
      <c r="B80" s="215"/>
    </row>
    <row customHeight="1" ht="11.25">
      <c r="A81" s="215"/>
      <c r="B81" s="215"/>
    </row>
    <row customHeight="1" ht="11.25">
      <c r="A82" s="215"/>
      <c r="B82" s="215"/>
    </row>
    <row customHeight="1" ht="11.25">
      <c r="A83" s="215"/>
      <c r="B83" s="215"/>
    </row>
    <row customHeight="1" ht="11.25">
      <c r="A84" s="215"/>
      <c r="B84" s="215"/>
    </row>
    <row customHeight="1" ht="11.25">
      <c r="A85" s="215"/>
      <c r="B85" s="215"/>
    </row>
    <row customHeight="1" ht="11.25">
      <c r="A86" s="215"/>
      <c r="B86" s="215"/>
    </row>
    <row customHeight="1" ht="11.25">
      <c r="A87" s="215"/>
      <c r="B87" s="215"/>
    </row>
    <row customHeight="1" ht="11.25">
      <c r="A88" s="215"/>
      <c r="B88" s="215"/>
    </row>
    <row customHeight="1" ht="11.25">
      <c r="A89" s="215"/>
      <c r="B89" s="215"/>
    </row>
    <row customHeight="1" ht="11.25">
      <c r="A90" s="215"/>
      <c r="B90" s="215"/>
    </row>
    <row customHeight="1" ht="11.25">
      <c r="A91" s="215"/>
      <c r="B91" s="215"/>
    </row>
    <row customHeight="1" ht="11.25">
      <c r="A92" s="215"/>
      <c r="B92" s="215"/>
    </row>
    <row customHeight="1" ht="11.25">
      <c r="A93" s="215"/>
      <c r="B93" s="215"/>
    </row>
    <row customHeight="1" ht="11.25">
      <c r="A94" s="215"/>
      <c r="B94" s="215"/>
    </row>
    <row customHeight="1" ht="11.25">
      <c r="A95" s="215"/>
      <c r="B95" s="215"/>
    </row>
    <row customHeight="1" ht="11.25">
      <c r="A96" s="215"/>
      <c r="B96" s="215"/>
    </row>
    <row customHeight="1" ht="11.25">
      <c r="A97" s="215"/>
      <c r="B97" s="215"/>
    </row>
    <row customHeight="1" ht="11.25">
      <c r="A98" s="215"/>
      <c r="B98" s="215"/>
    </row>
    <row customHeight="1" ht="11.25">
      <c r="A99" s="215"/>
      <c r="B99" s="215"/>
    </row>
    <row customHeight="1" ht="11.25">
      <c r="A100" s="215"/>
      <c r="B100" s="215"/>
    </row>
    <row customHeight="1" ht="11.25">
      <c r="A101" s="215"/>
      <c r="B101" s="215"/>
    </row>
    <row customHeight="1" ht="11.25">
      <c r="A102" s="215"/>
      <c r="B102" s="215"/>
    </row>
    <row customHeight="1" ht="11.25">
      <c r="A103" s="215"/>
      <c r="B103" s="215"/>
    </row>
    <row customHeight="1" ht="11.25">
      <c r="A104" s="215"/>
      <c r="B104" s="215"/>
    </row>
    <row customHeight="1" ht="11.25">
      <c r="A105" s="215"/>
      <c r="B105" s="215"/>
    </row>
    <row customHeight="1" ht="11.25">
      <c r="A106" s="215"/>
      <c r="B106" s="215"/>
    </row>
    <row customHeight="1" ht="11.25">
      <c r="A107" s="215"/>
      <c r="B107" s="215"/>
    </row>
    <row customHeight="1" ht="11.25">
      <c r="A108" s="215"/>
      <c r="B108" s="215"/>
    </row>
    <row customHeight="1" ht="11.25">
      <c r="A109" s="215"/>
      <c r="B109" s="215"/>
    </row>
    <row customHeight="1" ht="11.25">
      <c r="A110" s="215"/>
      <c r="B110" s="215"/>
    </row>
    <row customHeight="1" ht="11.25">
      <c r="A111" s="215"/>
      <c r="B111" s="215"/>
    </row>
    <row customHeight="1" ht="11.25">
      <c r="A112" s="215"/>
      <c r="B112" s="215"/>
    </row>
    <row customHeight="1" ht="11.25">
      <c r="A113" s="215"/>
      <c r="B113" s="215"/>
    </row>
    <row customHeight="1" ht="11.25">
      <c r="A114" s="215"/>
      <c r="B114" s="215"/>
    </row>
    <row customHeight="1" ht="11.25">
      <c r="A115" s="215"/>
      <c r="B115" s="215"/>
    </row>
    <row customHeight="1" ht="11.25">
      <c r="A116" s="215"/>
      <c r="B116" s="215"/>
    </row>
    <row customHeight="1" ht="11.25">
      <c r="A117" s="215"/>
      <c r="B117" s="215"/>
    </row>
    <row customHeight="1" ht="11.25">
      <c r="A118" s="215"/>
      <c r="B118" s="215"/>
    </row>
    <row customHeight="1" ht="11.25">
      <c r="A119" s="215"/>
      <c r="B119" s="215"/>
    </row>
    <row customHeight="1" ht="11.25">
      <c r="A120" s="215"/>
      <c r="B120" s="215"/>
    </row>
    <row customHeight="1" ht="11.25">
      <c r="A121" s="215"/>
      <c r="B121" s="215"/>
    </row>
    <row customHeight="1" ht="11.25">
      <c r="A122" s="215"/>
      <c r="B122" s="215"/>
    </row>
    <row customHeight="1" ht="11.25">
      <c r="A123" s="215"/>
      <c r="B123" s="215"/>
    </row>
    <row customHeight="1" ht="11.25">
      <c r="A124" s="215"/>
      <c r="B124" s="215"/>
    </row>
    <row customHeight="1" ht="11.25">
      <c r="A125" s="215"/>
      <c r="B125" s="215"/>
    </row>
    <row customHeight="1" ht="11.25">
      <c r="A126" s="215"/>
      <c r="B126" s="215"/>
    </row>
    <row customHeight="1" ht="11.25">
      <c r="A127" s="215"/>
      <c r="B127" s="215"/>
    </row>
    <row customHeight="1" ht="11.25">
      <c r="A128" s="215"/>
      <c r="B128" s="215"/>
    </row>
    <row customHeight="1" ht="11.25">
      <c r="A129" s="215"/>
      <c r="B129" s="215"/>
    </row>
    <row customHeight="1" ht="11.25">
      <c r="A130" s="215"/>
      <c r="B130" s="215"/>
    </row>
    <row customHeight="1" ht="11.25">
      <c r="A131" s="215"/>
      <c r="B131" s="215"/>
    </row>
    <row customHeight="1" ht="11.25">
      <c r="A132" s="215"/>
      <c r="B132" s="215"/>
    </row>
    <row customHeight="1" ht="11.25">
      <c r="A133" s="215"/>
      <c r="B133" s="215"/>
    </row>
    <row customHeight="1" ht="11.25">
      <c r="A134" s="215"/>
      <c r="B134" s="215"/>
    </row>
    <row customHeight="1" ht="11.25">
      <c r="A135" s="215"/>
      <c r="B135" s="215"/>
    </row>
    <row customHeight="1" ht="11.25">
      <c r="A136" s="215"/>
      <c r="B136" s="215"/>
    </row>
    <row customHeight="1" ht="11.25">
      <c r="A137" s="215"/>
      <c r="B137" s="215"/>
    </row>
    <row customHeight="1" ht="11.25">
      <c r="A138" s="215"/>
      <c r="B138" s="215"/>
    </row>
    <row customHeight="1" ht="11.25">
      <c r="A139" s="215"/>
      <c r="B139" s="215"/>
    </row>
    <row customHeight="1" ht="11.25">
      <c r="A140" s="215"/>
      <c r="B140" s="215"/>
    </row>
    <row customHeight="1" ht="11.25">
      <c r="A141" s="215"/>
      <c r="B141" s="215"/>
    </row>
    <row customHeight="1" ht="11.25">
      <c r="A142" s="215"/>
      <c r="B142" s="215"/>
    </row>
    <row customHeight="1" ht="11.25">
      <c r="A143" s="215"/>
      <c r="B143" s="215"/>
    </row>
    <row customHeight="1" ht="11.25">
      <c r="A144" s="215"/>
      <c r="B144" s="215"/>
    </row>
    <row customHeight="1" ht="11.25">
      <c r="A145" s="215"/>
      <c r="B145" s="215"/>
    </row>
    <row customHeight="1" ht="11.25">
      <c r="A146" s="215"/>
      <c r="B146" s="215"/>
    </row>
    <row customHeight="1" ht="11.25">
      <c r="A147" s="215"/>
      <c r="B147" s="215"/>
    </row>
    <row customHeight="1" ht="11.25">
      <c r="A148" s="215"/>
      <c r="B148" s="215"/>
    </row>
    <row customHeight="1" ht="11.25">
      <c r="A149" s="215"/>
      <c r="B149" s="215"/>
    </row>
    <row customHeight="1" ht="11.25">
      <c r="A150" s="215"/>
      <c r="B150" s="215"/>
    </row>
    <row customHeight="1" ht="11.25">
      <c r="A151" s="215"/>
      <c r="B151" s="215"/>
    </row>
    <row customHeight="1" ht="11.25">
      <c r="A152" s="215"/>
      <c r="B152" s="215"/>
    </row>
    <row customHeight="1" ht="11.25">
      <c r="A153" s="215"/>
      <c r="B153" s="215"/>
    </row>
    <row customHeight="1" ht="11.25">
      <c r="A154" s="215"/>
      <c r="B154" s="215"/>
    </row>
    <row customHeight="1" ht="11.25">
      <c r="A155" s="215"/>
      <c r="B155" s="215"/>
    </row>
    <row customHeight="1" ht="11.25">
      <c r="A156" s="215"/>
      <c r="B156" s="215"/>
    </row>
    <row customHeight="1" ht="11.25">
      <c r="A157" s="215"/>
      <c r="B157" s="215"/>
    </row>
    <row customHeight="1" ht="11.25">
      <c r="A158" s="215"/>
      <c r="B158" s="215"/>
    </row>
    <row customHeight="1" ht="11.25">
      <c r="A159" s="215"/>
      <c r="B159" s="215"/>
    </row>
    <row customHeight="1" ht="11.25">
      <c r="A160" s="215"/>
      <c r="B160" s="215"/>
    </row>
    <row customHeight="1" ht="11.25">
      <c r="A161" s="215"/>
      <c r="B161" s="215"/>
    </row>
    <row customHeight="1" ht="11.25">
      <c r="A162" s="215"/>
      <c r="B162" s="215"/>
    </row>
    <row customHeight="1" ht="11.25">
      <c r="A163" s="215"/>
      <c r="B163" s="215"/>
    </row>
    <row customHeight="1" ht="11.25">
      <c r="A164" s="215"/>
      <c r="B164" s="215"/>
    </row>
    <row customHeight="1" ht="11.25">
      <c r="A165" s="215"/>
      <c r="B165" s="215"/>
    </row>
    <row customHeight="1" ht="11.25">
      <c r="A166" s="215"/>
      <c r="B166" s="215"/>
    </row>
    <row customHeight="1" ht="11.25">
      <c r="A167" s="215"/>
      <c r="B167" s="215"/>
    </row>
    <row customHeight="1" ht="11.25">
      <c r="A168" s="215"/>
      <c r="B168" s="215"/>
    </row>
    <row customHeight="1" ht="11.25">
      <c r="A169" s="215"/>
      <c r="B169" s="215"/>
    </row>
    <row customHeight="1" ht="11.25">
      <c r="A170" s="215"/>
      <c r="B170" s="215"/>
    </row>
    <row customHeight="1" ht="11.25">
      <c r="A171" s="215"/>
      <c r="B171" s="215"/>
    </row>
    <row customHeight="1" ht="11.25">
      <c r="A172" s="215"/>
      <c r="B172" s="215"/>
    </row>
    <row customHeight="1" ht="11.25">
      <c r="A173" s="215"/>
      <c r="B173" s="215"/>
    </row>
    <row customHeight="1" ht="11.25">
      <c r="A174" s="215"/>
      <c r="B174" s="215"/>
    </row>
    <row customHeight="1" ht="11.25">
      <c r="A175" s="215"/>
      <c r="B175" s="215"/>
    </row>
    <row customHeight="1" ht="11.25">
      <c r="A176" s="215"/>
      <c r="B176" s="215"/>
    </row>
    <row customHeight="1" ht="11.25">
      <c r="A177" s="215"/>
      <c r="B177" s="215"/>
    </row>
    <row customHeight="1" ht="11.25">
      <c r="A178" s="215"/>
      <c r="B178" s="215"/>
    </row>
    <row customHeight="1" ht="11.25">
      <c r="A179" s="215"/>
      <c r="B179" s="215"/>
    </row>
    <row customHeight="1" ht="11.25">
      <c r="A180" s="215"/>
      <c r="B180" s="215"/>
    </row>
    <row customHeight="1" ht="11.25">
      <c r="A181" s="215"/>
      <c r="B181" s="215"/>
    </row>
    <row customHeight="1" ht="11.25">
      <c r="A182" s="215"/>
      <c r="B182" s="215"/>
    </row>
    <row customHeight="1" ht="11.25">
      <c r="A183" s="215"/>
      <c r="B183" s="215"/>
    </row>
    <row customHeight="1" ht="11.25">
      <c r="A184" s="215"/>
      <c r="B184" s="215"/>
    </row>
    <row customHeight="1" ht="11.25">
      <c r="A185" s="215"/>
      <c r="B185" s="215"/>
    </row>
    <row customHeight="1" ht="11.25">
      <c r="A186" s="215"/>
      <c r="B186" s="215"/>
    </row>
    <row customHeight="1" ht="11.25">
      <c r="A187" s="215"/>
      <c r="B187" s="215"/>
    </row>
    <row customHeight="1" ht="11.25">
      <c r="A188" s="215"/>
      <c r="B188" s="215"/>
    </row>
    <row customHeight="1" ht="11.25">
      <c r="A189" s="215"/>
      <c r="B189" s="215"/>
    </row>
    <row customHeight="1" ht="11.25">
      <c r="A190" s="215"/>
      <c r="B190" s="215"/>
    </row>
    <row customHeight="1" ht="11.25">
      <c r="A191" s="215"/>
      <c r="B191" s="215"/>
    </row>
    <row customHeight="1" ht="11.25">
      <c r="A192" s="215"/>
      <c r="B192" s="215"/>
    </row>
    <row customHeight="1" ht="11.25">
      <c r="A193" s="215"/>
      <c r="B193" s="215"/>
    </row>
    <row customHeight="1" ht="11.25">
      <c r="A194" s="215"/>
      <c r="B194" s="215"/>
    </row>
    <row customHeight="1" ht="11.25">
      <c r="A195" s="215"/>
      <c r="B195" s="215"/>
    </row>
    <row customHeight="1" ht="11.25">
      <c r="A196" s="215"/>
      <c r="B196" s="215"/>
    </row>
    <row customHeight="1" ht="11.25">
      <c r="A197" s="215"/>
      <c r="B197" s="215"/>
    </row>
    <row customHeight="1" ht="11.25">
      <c r="A198" s="215"/>
      <c r="B198" s="215"/>
    </row>
    <row customHeight="1" ht="11.25">
      <c r="A199" s="215"/>
      <c r="B199" s="215"/>
    </row>
    <row customHeight="1" ht="11.25">
      <c r="A200" s="215"/>
      <c r="B200" s="215"/>
    </row>
    <row customHeight="1" ht="11.25">
      <c r="A201" s="215"/>
      <c r="B201" s="215"/>
    </row>
    <row customHeight="1" ht="11.25">
      <c r="A202" s="215"/>
      <c r="B202" s="215"/>
    </row>
    <row customHeight="1" ht="11.25">
      <c r="A203" s="215"/>
      <c r="B203" s="215"/>
    </row>
    <row customHeight="1" ht="11.25">
      <c r="A204" s="215"/>
      <c r="B204" s="215"/>
    </row>
    <row customHeight="1" ht="11.25">
      <c r="A205" s="215"/>
      <c r="B205" s="215"/>
    </row>
    <row customHeight="1" ht="11.25">
      <c r="A206" s="215"/>
      <c r="B206" s="215"/>
    </row>
    <row customHeight="1" ht="11.25">
      <c r="A207" s="215"/>
      <c r="B207" s="215"/>
    </row>
    <row customHeight="1" ht="11.25">
      <c r="A208" s="215"/>
      <c r="B208" s="215"/>
    </row>
    <row customHeight="1" ht="11.25">
      <c r="A209" s="215"/>
      <c r="B209" s="215"/>
    </row>
    <row customHeight="1" ht="11.25">
      <c r="A210" s="215"/>
      <c r="B210" s="215"/>
    </row>
    <row customHeight="1" ht="11.25">
      <c r="A211" s="215"/>
      <c r="B211" s="215"/>
    </row>
    <row customHeight="1" ht="11.25">
      <c r="A212" s="215"/>
      <c r="B212" s="215"/>
    </row>
    <row customHeight="1" ht="11.25">
      <c r="A213" s="215"/>
      <c r="B213" s="215"/>
    </row>
    <row customHeight="1" ht="11.25">
      <c r="A214" s="215"/>
      <c r="B214" s="215"/>
    </row>
    <row customHeight="1" ht="11.25">
      <c r="A215" s="215"/>
      <c r="B215" s="215"/>
    </row>
    <row customHeight="1" ht="11.25">
      <c r="A216" s="215"/>
      <c r="B216" s="215"/>
    </row>
    <row customHeight="1" ht="11.25">
      <c r="A217" s="215"/>
      <c r="B217" s="215"/>
    </row>
    <row customHeight="1" ht="11.25">
      <c r="A218" s="215"/>
      <c r="B218" s="215"/>
    </row>
    <row customHeight="1" ht="11.25">
      <c r="A219" s="215"/>
      <c r="B219" s="215"/>
    </row>
    <row customHeight="1" ht="11.25">
      <c r="A220" s="215"/>
      <c r="B220" s="215"/>
    </row>
    <row customHeight="1" ht="11.25">
      <c r="A221" s="215"/>
      <c r="B221" s="215"/>
    </row>
    <row customHeight="1" ht="11.25">
      <c r="A222" s="215"/>
      <c r="B222" s="215"/>
    </row>
    <row customHeight="1" ht="11.25">
      <c r="A223" s="215"/>
      <c r="B223" s="215"/>
    </row>
    <row customHeight="1" ht="11.25">
      <c r="A224" s="215"/>
      <c r="B224" s="215"/>
    </row>
    <row customHeight="1" ht="11.25">
      <c r="A225" s="215"/>
      <c r="B225" s="215"/>
    </row>
    <row customHeight="1" ht="11.25">
      <c r="A226" s="215"/>
      <c r="B226" s="215"/>
    </row>
    <row customHeight="1" ht="11.25">
      <c r="A227" s="215"/>
      <c r="B227" s="215"/>
    </row>
    <row customHeight="1" ht="11.25">
      <c r="A228" s="215"/>
      <c r="B228" s="215"/>
    </row>
    <row customHeight="1" ht="11.25">
      <c r="A229" s="215"/>
      <c r="B229" s="215"/>
    </row>
    <row customHeight="1" ht="11.25">
      <c r="A230" s="215"/>
      <c r="B230" s="215"/>
    </row>
    <row customHeight="1" ht="11.25">
      <c r="A231" s="215"/>
      <c r="B231" s="215"/>
    </row>
    <row customHeight="1" ht="11.25">
      <c r="A232" s="215"/>
      <c r="B232" s="215"/>
    </row>
    <row customHeight="1" ht="11.25">
      <c r="A233" s="215"/>
      <c r="B233" s="215"/>
    </row>
    <row customHeight="1" ht="11.25">
      <c r="A234" s="215"/>
      <c r="B234" s="215"/>
    </row>
    <row customHeight="1" ht="11.25">
      <c r="A235" s="215"/>
      <c r="B235" s="215"/>
    </row>
    <row customHeight="1" ht="11.25">
      <c r="A236" s="215"/>
      <c r="B236" s="215"/>
    </row>
    <row customHeight="1" ht="11.25">
      <c r="A237" s="215"/>
      <c r="B237" s="215"/>
    </row>
    <row customHeight="1" ht="11.25">
      <c r="A238" s="215"/>
      <c r="B238" s="215"/>
    </row>
    <row customHeight="1" ht="11.25">
      <c r="A239" s="215"/>
      <c r="B239" s="215"/>
    </row>
    <row customHeight="1" ht="11.25">
      <c r="A240" s="215"/>
      <c r="B240" s="215"/>
    </row>
    <row customHeight="1" ht="11.25">
      <c r="A241" s="215"/>
      <c r="B241" s="215"/>
    </row>
    <row customHeight="1" ht="11.25">
      <c r="A242" s="215"/>
      <c r="B242" s="215"/>
    </row>
    <row customHeight="1" ht="11.25">
      <c r="A243" s="215"/>
      <c r="B243" s="215"/>
    </row>
    <row customHeight="1" ht="11.25">
      <c r="A244" s="215"/>
      <c r="B244" s="215"/>
    </row>
    <row customHeight="1" ht="11.25">
      <c r="A245" s="215"/>
      <c r="B245" s="215"/>
    </row>
    <row customHeight="1" ht="11.25">
      <c r="A246" s="215"/>
      <c r="B246" s="215"/>
    </row>
    <row customHeight="1" ht="11.25">
      <c r="A247" s="215"/>
      <c r="B247" s="215"/>
    </row>
    <row customHeight="1" ht="11.25">
      <c r="A248" s="215"/>
      <c r="B248" s="215"/>
    </row>
    <row customHeight="1" ht="11.25">
      <c r="A249" s="215"/>
      <c r="B249" s="215"/>
    </row>
    <row customHeight="1" ht="11.25">
      <c r="A250" s="215"/>
      <c r="B250" s="215"/>
    </row>
    <row customHeight="1" ht="11.25">
      <c r="A251" s="215"/>
      <c r="B251" s="215"/>
    </row>
    <row customHeight="1" ht="11.25">
      <c r="A252" s="215"/>
      <c r="B252" s="215"/>
    </row>
    <row customHeight="1" ht="11.25">
      <c r="A253" s="215"/>
      <c r="B253" s="215"/>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50D0116-20B7-76BC-E9C8-9763DD4B2208}" mc:Ignorable="x14ac xr xr2 xr3">
  <sheetPr>
    <tabColor rgb="FFFFCC99"/>
  </sheetPr>
  <dimension ref="A1:D36"/>
  <sheetViews>
    <sheetView topLeftCell="A1" showGridLines="0" workbookViewId="0">
      <selection activeCell="A1" sqref="A1"/>
    </sheetView>
  </sheetViews>
  <sheetFormatPr defaultColWidth="9.140625" customHeight="1" defaultRowHeight="11.25"/>
  <cols>
    <col min="1" max="1" style="10561" width="3.7109375" customWidth="1"/>
    <col min="2" max="2" style="10561" width="90.7109375" customWidth="1"/>
    <col min="3" max="4" style="10561" width="9.140625"/>
  </cols>
  <sheetData>
    <row customHeight="1" ht="11.25">
      <c r="B1" s="247" t="s">
        <v>4982</v>
      </c>
    </row>
    <row customHeight="1" ht="90">
      <c r="B2" s="248" t="s">
        <v>4983</v>
      </c>
    </row>
    <row customHeight="1" ht="67.5">
      <c r="B3" s="248" t="s">
        <v>4984</v>
      </c>
    </row>
    <row customHeight="1" ht="33.75">
      <c r="B4" s="248" t="s">
        <v>4985</v>
      </c>
    </row>
    <row customHeight="1" ht="11.25">
      <c r="B5" s="248" t="s">
        <v>4986</v>
      </c>
    </row>
    <row customHeight="1" ht="22.5">
      <c r="B6" s="248" t="s">
        <v>4987</v>
      </c>
    </row>
    <row customHeight="1" ht="22.5">
      <c r="B7" s="248" t="s">
        <v>4988</v>
      </c>
    </row>
    <row customHeight="1" ht="22.5">
      <c r="B8" s="248" t="s">
        <v>4989</v>
      </c>
    </row>
    <row customHeight="1" ht="22.5">
      <c r="B9" s="248" t="s">
        <v>4990</v>
      </c>
    </row>
    <row customHeight="1" ht="56.25">
      <c r="B10" s="248" t="s">
        <v>4991</v>
      </c>
    </row>
    <row customHeight="1" ht="12.75">
      <c r="B11" s="314" t="s">
        <v>4992</v>
      </c>
    </row>
    <row customHeight="1" ht="11.25">
      <c r="B12" s="247" t="s">
        <v>4993</v>
      </c>
    </row>
    <row customHeight="1" ht="22.5">
      <c r="B13" s="248" t="s">
        <v>4994</v>
      </c>
    </row>
    <row customHeight="1" ht="67.5">
      <c r="B14" s="248" t="s">
        <v>4995</v>
      </c>
    </row>
    <row customHeight="1" ht="22.5">
      <c r="B15" s="248" t="s">
        <v>4996</v>
      </c>
    </row>
    <row customHeight="1" ht="11.25">
      <c r="B16" s="247" t="s">
        <v>4997</v>
      </c>
      <c r="D16" s="255"/>
    </row>
    <row customHeight="1" ht="33.75">
      <c r="B17" s="248" t="s">
        <v>4998</v>
      </c>
    </row>
    <row customHeight="1" ht="33.75">
      <c r="B18" s="248" t="s">
        <v>4999</v>
      </c>
    </row>
    <row customHeight="1" ht="11.25">
      <c r="B19" s="248" t="s">
        <v>5000</v>
      </c>
    </row>
    <row customHeight="1" ht="33.75">
      <c r="B20" s="248" t="s">
        <v>5001</v>
      </c>
    </row>
    <row customHeight="1" ht="11.25">
      <c r="B21" s="247" t="s">
        <v>5002</v>
      </c>
    </row>
    <row customHeight="1" ht="11.25">
      <c r="B22" s="248" t="s">
        <v>5003</v>
      </c>
    </row>
    <row r="24" customHeight="1" ht="22.5">
      <c r="B24" s="316" t="s">
        <v>5004</v>
      </c>
    </row>
    <row r="26" customHeight="1" ht="11.25">
      <c r="B26" s="247" t="s">
        <v>5005</v>
      </c>
    </row>
    <row customHeight="1" ht="22.5">
      <c r="B27" s="315" t="s">
        <v>396</v>
      </c>
    </row>
    <row customHeight="1" ht="56.25">
      <c r="B28" s="315" t="s">
        <v>5006</v>
      </c>
    </row>
    <row customHeight="1" ht="11.25">
      <c r="B29" s="364" t="s">
        <v>5007</v>
      </c>
    </row>
    <row customHeight="1" ht="22.5">
      <c r="B30" s="315" t="s">
        <v>5008</v>
      </c>
    </row>
    <row r="32" customHeight="1" ht="11.25">
      <c r="A32" s="342"/>
      <c r="B32" s="343" t="s">
        <v>5009</v>
      </c>
    </row>
    <row customHeight="1" ht="14.25">
      <c r="A33" s="344">
        <v>1</v>
      </c>
      <c r="B33" s="345" t="s">
        <v>5010</v>
      </c>
    </row>
    <row customHeight="1" ht="14.25">
      <c r="A34" s="344">
        <v>2</v>
      </c>
      <c r="B34" s="345" t="s">
        <v>5011</v>
      </c>
    </row>
    <row customHeight="1" ht="11.25">
      <c r="B35" s="343" t="s">
        <v>5012</v>
      </c>
    </row>
    <row customHeight="1" ht="11.25">
      <c r="B36" s="345" t="s">
        <v>5013</v>
      </c>
    </row>
  </sheetData>
  <sheetProtection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2056</vt:i4>
      </vt:variant>
    </vt:vector>
  </HeadingPairs>
  <TitlesOfParts>
    <vt:vector size="2057" baseType="lpstr">
      <vt:lpstr>Инструкция</vt:lpstr>
      <vt:lpstr>B_FHD_CHECK_INDEX_1</vt:lpstr>
      <vt:lpstr>B_FHD_CHECK_INDEX_2</vt:lpstr>
      <vt:lpstr>B_FHD_COSTS_INDEX_1</vt:lpstr>
      <vt:lpstr>B_FHD_COSTS_INDEX_2</vt:lpstr>
      <vt:lpstr>B_FHD_DATA_TOP80_ACTIVITY</vt:lpstr>
      <vt:lpstr>B_FHD_diff_1</vt:lpstr>
      <vt:lpstr>B_FHD_FLAG_DIFFERENTIATION</vt:lpstr>
      <vt:lpstr>B_FHD_FLAG_INDEX_1</vt:lpstr>
      <vt:lpstr>B_FHD_FLAG_INDEX_2</vt:lpstr>
      <vt:lpstr>B_FHD_TKO_DATA_TOP80_ACTIVITY</vt:lpstr>
      <vt:lpstr>B_FHD_TKO_diff_1</vt:lpstr>
      <vt:lpstr>B_FHD_TKO_FLAG_DIFFERENTIATION</vt:lpstr>
      <vt:lpstr>B_FHD_TKO_TRANS_DATA_TOP80_ACTIVITY</vt:lpstr>
      <vt:lpstr>B_FHD_TKO_TRANS_diff_1</vt:lpstr>
      <vt:lpstr>B_FHD_TKO_TRANS_FLAG_DIFFERENTIATION</vt:lpstr>
      <vt:lpstr>B_FHD20_ADD_HL_2_COLUMN_MARKER</vt:lpstr>
      <vt:lpstr>B_FHD20_ADD_HL_3_COLUMN_MARKER</vt:lpstr>
      <vt:lpstr>B_FHD20_ADD_HL_4_COLUMN_MARKER</vt:lpstr>
      <vt:lpstr>B_FHD20_ALL_DATA</vt:lpstr>
      <vt:lpstr>B_FHD20_COSTS_OPS_diff_1</vt:lpstr>
      <vt:lpstr>B_FHD20_COSTS_PH_diff_1</vt:lpstr>
      <vt:lpstr>B_FHD20_DEL_HL_2_COLUMN_MARKER</vt:lpstr>
      <vt:lpstr>B_FHD20_DEL_HL_3_COLUMN_MARKER</vt:lpstr>
      <vt:lpstr>B_FHD20_DEL_HL_4_COLUMN_MARKER</vt:lpstr>
      <vt:lpstr>B_FHD20_diff_1</vt:lpstr>
      <vt:lpstr>B_FHD20_FLAG_FHD</vt:lpstr>
      <vt:lpstr>B_FHD20_NUMBER_COLUMN_MARKER</vt:lpstr>
      <vt:lpstr>B_FHD20_PART_COLUMN_MARKER</vt:lpstr>
      <vt:lpstr>B_KNE_diff_1</vt:lpstr>
      <vt:lpstr>BLOCK_BALANCE_INDICATORS</vt:lpstr>
      <vt:lpstr>BLOCK_BALANCE_TKO_FLAG_TRANS</vt:lpstr>
      <vt:lpstr>BLOCK_CONNECTION_STATE</vt:lpstr>
      <vt:lpstr>BLOCK_DIFF_CS</vt:lpstr>
      <vt:lpstr>BLOCK_DIFFERENTIATION_NOT_TKO</vt:lpstr>
      <vt:lpstr>BLOCK_FIRST_TARIFF</vt:lpstr>
      <vt:lpstr>BLOCK_FIRST_TARIFF_OREG_PUBL</vt:lpstr>
      <vt:lpstr>BLOCK_IP_DETAILED_FACT_IST_FIN</vt:lpstr>
      <vt:lpstr>BLOCK_IP_DETAILED_FACT_PERIOD_EVENT</vt:lpstr>
      <vt:lpstr>BLOCK_MAIN_INFO_HEAT</vt:lpstr>
      <vt:lpstr>BLOCK_MAIN_INFO_NOT_TKO</vt:lpstr>
      <vt:lpstr>BLOCK_MAIN_INFO_OBJECT_COLDVSNA</vt:lpstr>
      <vt:lpstr>BLOCK_MAIN_INFO_OBJECT_COMM_COLDVSNA</vt:lpstr>
      <vt:lpstr>BLOCK_MAIN_INFO_OBJECT_COMM_HEAT</vt:lpstr>
      <vt:lpstr>BLOCK_MAIN_INFO_OBJECT_COMM_HOTVSNA</vt:lpstr>
      <vt:lpstr>BLOCK_MAIN_INFO_OBJECT_COMM_VOTV</vt:lpstr>
      <vt:lpstr>BLOCK_MAIN_INFO_OBJECT_HEAT</vt:lpstr>
      <vt:lpstr>BLOCK_MAIN_INFO_OBJECT_HOTVSNA</vt:lpstr>
      <vt:lpstr>BLOCK_MAIN_INFO_OBJECT_VOTV</vt:lpstr>
      <vt:lpstr>BLOCK_NOT_ROIV_INDICATORS_1</vt:lpstr>
      <vt:lpstr>BLOCK_NOT_ROIV_INDICATORS_2</vt:lpstr>
      <vt:lpstr>BLOCK_NOT_ROIV_INDICATORS_3</vt:lpstr>
      <vt:lpstr>BLOCK_NOTE_P_TARIFF_A</vt:lpstr>
      <vt:lpstr>BLOCK_NOTE_P_TARIFF_A_COLDVSNA</vt:lpstr>
      <vt:lpstr>BLOCK_NOTE_P_TARIFF_A_HOTVSNA</vt:lpstr>
      <vt:lpstr>BLOCK_NOTE_P_TARIFF_A_VOTV</vt:lpstr>
      <vt:lpstr>BLOCK_NOTE_P_TARIFF_B</vt:lpstr>
      <vt:lpstr>BLOCK_NOTE_P_TARIFF_B_COLDVSNA</vt:lpstr>
      <vt:lpstr>BLOCK_NOTE_P_TARIFF_B_HOTVSNA</vt:lpstr>
      <vt:lpstr>BLOCK_NOTE_P_TARIFF_B_VOTV</vt:lpstr>
      <vt:lpstr>BLOCK_NOTE_P_TARIFF_C</vt:lpstr>
      <vt:lpstr>BLOCK_NOTE_P_TARIFF_C_COLDVSNA</vt:lpstr>
      <vt:lpstr>BLOCK_NOTE_P_TARIFF_C_HOTVSNA</vt:lpstr>
      <vt:lpstr>BLOCK_NOTE_P_TARIFF_C_VOTV</vt:lpstr>
      <vt:lpstr>BLOCK_NOTE_P_TARIFF_D</vt:lpstr>
      <vt:lpstr>BLOCK_NOTE_P_TARIFF_D_COLDVSNA</vt:lpstr>
      <vt:lpstr>BLOCK_NOTE_P_TARIFF_E_COLDVSNA</vt:lpstr>
      <vt:lpstr>BLOCK_NOTE_P_TARIFF_E1</vt:lpstr>
      <vt:lpstr>BLOCK_NOTE_P_TARIFF_E2</vt:lpstr>
      <vt:lpstr>BLOCK_NOTE_P_TARIFF_F</vt:lpstr>
      <vt:lpstr>BLOCK_NOTE_P_TARIFF_G</vt:lpstr>
      <vt:lpstr>BLOCK_NOTE_P_TARIFF_H</vt:lpstr>
      <vt:lpstr>BLOCK_NOTE_P_TARIFF_I</vt:lpstr>
      <vt:lpstr>BLOCK_NOTE_P_TARIFF_I_1</vt:lpstr>
      <vt:lpstr>BLOCK_NOTE_R_TARIFF_A</vt:lpstr>
      <vt:lpstr>BLOCK_NOTE_R_TARIFF_A_COLDVSNA</vt:lpstr>
      <vt:lpstr>BLOCK_NOTE_R_TARIFF_A_HOTVSNA</vt:lpstr>
      <vt:lpstr>BLOCK_NOTE_R_TARIFF_A_VOTV</vt:lpstr>
      <vt:lpstr>BLOCK_NOTE_R_TARIFF_B</vt:lpstr>
      <vt:lpstr>BLOCK_NOTE_R_TARIFF_B_COLDVSNA</vt:lpstr>
      <vt:lpstr>BLOCK_NOTE_R_TARIFF_B_HOTVSNA</vt:lpstr>
      <vt:lpstr>BLOCK_NOTE_R_TARIFF_B_VOTV</vt:lpstr>
      <vt:lpstr>BLOCK_NOTE_R_TARIFF_C</vt:lpstr>
      <vt:lpstr>BLOCK_NOTE_R_TARIFF_C_COLDVSNA</vt:lpstr>
      <vt:lpstr>BLOCK_NOTE_R_TARIFF_C_HOTVSNA</vt:lpstr>
      <vt:lpstr>BLOCK_NOTE_R_TARIFF_C_VOTV</vt:lpstr>
      <vt:lpstr>BLOCK_NOTE_R_TARIFF_D</vt:lpstr>
      <vt:lpstr>BLOCK_NOTE_R_TARIFF_D_COLDVSNA</vt:lpstr>
      <vt:lpstr>BLOCK_NOTE_R_TARIFF_E_COLDVSNA</vt:lpstr>
      <vt:lpstr>BLOCK_NOTE_R_TARIFF_E1</vt:lpstr>
      <vt:lpstr>BLOCK_NOTE_R_TARIFF_E2</vt:lpstr>
      <vt:lpstr>BLOCK_NOTE_R_TARIFF_F</vt:lpstr>
      <vt:lpstr>BLOCK_NOTE_R_TARIFF_G</vt:lpstr>
      <vt:lpstr>BLOCK_NOTE_R_TARIFF_H</vt:lpstr>
      <vt:lpstr>BLOCK_NOTE_R_TARIFF_I</vt:lpstr>
      <vt:lpstr>BLOCK_NOTE_R_TARIFF_I_1</vt:lpstr>
      <vt:lpstr>BLOCK_PERIOD_DATA</vt:lpstr>
      <vt:lpstr>BLOCK_PERIOD_QUARTER</vt:lpstr>
      <vt:lpstr>BLOCK_PERIOD_TWO_DATA</vt:lpstr>
      <vt:lpstr>BLOCK_PERIOD_YEAR</vt:lpstr>
      <vt:lpstr>BLOCK_POK_FHD_COLDVSNA_P1</vt:lpstr>
      <vt:lpstr>BLOCK_POK_FHD_COLDVSNA_P2</vt:lpstr>
      <vt:lpstr>BLOCK_POK_FHD_HEAT_P1</vt:lpstr>
      <vt:lpstr>BLOCK_POK_FHD_HEAT_P2</vt:lpstr>
      <vt:lpstr>BLOCK_POK_FHD_HEAT_P3</vt:lpstr>
      <vt:lpstr>BLOCK_POK_FHD_HEAT_P4</vt:lpstr>
      <vt:lpstr>BLOCK_POK_FHD_HEAT_P5</vt:lpstr>
      <vt:lpstr>BLOCK_POK_FHD_HEAT_P6</vt:lpstr>
      <vt:lpstr>BLOCK_POK_FHD_HOTVSNA_P1</vt:lpstr>
      <vt:lpstr>BLOCK_POK_FHD_HOTVSNA_P2</vt:lpstr>
      <vt:lpstr>BLOCK_POK_FHD_NOT_HEAT_P1</vt:lpstr>
      <vt:lpstr>BLOCK_POK_FHD_NOT_HEAT_P2</vt:lpstr>
      <vt:lpstr>BLOCK_POK_FHD_NOT_HOTVSNA</vt:lpstr>
      <vt:lpstr>BLOCK_POK_FHD_VOTV_P1</vt:lpstr>
      <vt:lpstr>BLOCK_POK_FHD_VSNA</vt:lpstr>
      <vt:lpstr>BLOCK_POK_FHD20_NOT_HEAT</vt:lpstr>
      <vt:lpstr>BLOCK_POK_KNE_COLDVSNA</vt:lpstr>
      <vt:lpstr>BLOCK_POK_KNE_HEAT</vt:lpstr>
      <vt:lpstr>BLOCK_POK_KNE_HOTVSNA</vt:lpstr>
      <vt:lpstr>BLOCK_POK_KNE_VOTV</vt:lpstr>
      <vt:lpstr>BLOCK_PRICE_INDICATORS_HEAT</vt:lpstr>
      <vt:lpstr>BLOCK_PRICE_IST_TE</vt:lpstr>
      <vt:lpstr>BLOCK_PRICE_REQUEST</vt:lpstr>
      <vt:lpstr>BLOCK_PT_COLDVSNA</vt:lpstr>
      <vt:lpstr>BLOCK_PT_HEAT</vt:lpstr>
      <vt:lpstr>BLOCK_PT_HOTVSNA</vt:lpstr>
      <vt:lpstr>BLOCK_PT_VOTV</vt:lpstr>
      <vt:lpstr>BLOCK_TABLE_P_TARIFF_A</vt:lpstr>
      <vt:lpstr>BLOCK_TABLE_P_TARIFF_A_COLDVSNA</vt:lpstr>
      <vt:lpstr>BLOCK_TABLE_P_TARIFF_A_HOTVSNA</vt:lpstr>
      <vt:lpstr>BLOCK_TABLE_P_TARIFF_A_VOTV</vt:lpstr>
      <vt:lpstr>BLOCK_TABLE_P_TARIFF_B</vt:lpstr>
      <vt:lpstr>BLOCK_TABLE_P_TARIFF_B_COLDVSNA</vt:lpstr>
      <vt:lpstr>BLOCK_TABLE_P_TARIFF_B_HOTVSNA</vt:lpstr>
      <vt:lpstr>BLOCK_TABLE_P_TARIFF_B_VOTV</vt:lpstr>
      <vt:lpstr>BLOCK_TABLE_P_TARIFF_C</vt:lpstr>
      <vt:lpstr>BLOCK_TABLE_P_TARIFF_C_COLDVSNA</vt:lpstr>
      <vt:lpstr>BLOCK_TABLE_P_TARIFF_C_HOTVSNA</vt:lpstr>
      <vt:lpstr>BLOCK_TABLE_P_TARIFF_C_VOTV</vt:lpstr>
      <vt:lpstr>BLOCK_TABLE_P_TARIFF_D</vt:lpstr>
      <vt:lpstr>BLOCK_TABLE_P_TARIFF_D_COLDVSNA</vt:lpstr>
      <vt:lpstr>BLOCK_TABLE_P_TARIFF_E_COLDVSNA</vt:lpstr>
      <vt:lpstr>BLOCK_TABLE_P_TARIFF_E1</vt:lpstr>
      <vt:lpstr>BLOCK_TABLE_P_TARIFF_E2</vt:lpstr>
      <vt:lpstr>BLOCK_TABLE_P_TARIFF_F</vt:lpstr>
      <vt:lpstr>BLOCK_TABLE_P_TARIFF_G</vt:lpstr>
      <vt:lpstr>BLOCK_TABLE_P_TARIFF_H</vt:lpstr>
      <vt:lpstr>BLOCK_TABLE_P_TARIFF_I</vt:lpstr>
      <vt:lpstr>BLOCK_TABLE_P_TARIFF_I_1</vt:lpstr>
      <vt:lpstr>BLOCK_TABLE_R_TARIFF_A</vt:lpstr>
      <vt:lpstr>BLOCK_TABLE_R_TARIFF_A_COLDVSNA</vt:lpstr>
      <vt:lpstr>BLOCK_TABLE_R_TARIFF_A_HOTVSNA</vt:lpstr>
      <vt:lpstr>BLOCK_TABLE_R_TARIFF_A_VOTV</vt:lpstr>
      <vt:lpstr>BLOCK_TABLE_R_TARIFF_B</vt:lpstr>
      <vt:lpstr>BLOCK_TABLE_R_TARIFF_B_COLDVSNA</vt:lpstr>
      <vt:lpstr>BLOCK_TABLE_R_TARIFF_B_HOTVSNA</vt:lpstr>
      <vt:lpstr>BLOCK_TABLE_R_TARIFF_B_VOTV</vt:lpstr>
      <vt:lpstr>BLOCK_TABLE_R_TARIFF_C</vt:lpstr>
      <vt:lpstr>BLOCK_TABLE_R_TARIFF_C_COLDVSNA</vt:lpstr>
      <vt:lpstr>BLOCK_TABLE_R_TARIFF_C_HOTVSNA</vt:lpstr>
      <vt:lpstr>BLOCK_TABLE_R_TARIFF_C_VOTV</vt:lpstr>
      <vt:lpstr>BLOCK_TABLE_R_TARIFF_D</vt:lpstr>
      <vt:lpstr>BLOCK_TABLE_R_TARIFF_D_COLDVSNA</vt:lpstr>
      <vt:lpstr>BLOCK_TABLE_R_TARIFF_E_COLDVSNA</vt:lpstr>
      <vt:lpstr>BLOCK_TABLE_R_TARIFF_E1</vt:lpstr>
      <vt:lpstr>BLOCK_TABLE_R_TARIFF_E2</vt:lpstr>
      <vt:lpstr>BLOCK_TABLE_R_TARIFF_F</vt:lpstr>
      <vt:lpstr>BLOCK_TABLE_R_TARIFF_G</vt:lpstr>
      <vt:lpstr>BLOCK_TABLE_R_TARIFF_H</vt:lpstr>
      <vt:lpstr>BLOCK_TABLE_R_TARIFF_I</vt:lpstr>
      <vt:lpstr>BLOCK_TABLE_R_TARIFF_I_1</vt:lpstr>
      <vt:lpstr>BLOCK_TEMPLATES_INVEST_TIT</vt:lpstr>
      <vt:lpstr>BLOCK_TERMS_HEAT_P1</vt:lpstr>
      <vt:lpstr>BLOCK_TERMS_NOT_TKO_P1</vt:lpstr>
      <vt:lpstr>BLOCK_TERMS_NOT_TKO_P2</vt:lpstr>
      <vt:lpstr>BLOCK_TERMS_TKO_TRANS</vt:lpstr>
      <vt:lpstr>BLOCK_TERRITORY_INFO</vt:lpstr>
      <vt:lpstr>BLOCK_TITLE_ROIV_INFO</vt:lpstr>
      <vt:lpstr>BLOCK_WARM_ORG_TYPE</vt:lpstr>
      <vt:lpstr>checkCell_List01</vt:lpstr>
      <vt:lpstr>checkCell_List07</vt:lpstr>
      <vt:lpstr>CLASS_TKO_LIST</vt:lpstr>
      <vt:lpstr>code</vt:lpstr>
      <vt:lpstr>CodeTemplateList</vt:lpstr>
      <vt:lpstr>COLDVSNA_FIN_SRC_LIST</vt:lpstr>
      <vt:lpstr>COLDVSNA_FIN_SRC_VLD_LIST</vt:lpstr>
      <vt:lpstr>COLDVSNA_IP_EVENT_CI_STAGE_LIST</vt:lpstr>
      <vt:lpstr>COLDVSNA_IP_EVENT_GROUP_LIST</vt:lpstr>
      <vt:lpstr>COLDVSNA_IP_EVENT_SUBGROUP_1_LIST</vt:lpstr>
      <vt:lpstr>COLDVSNA_IP_EVENT_SUBGROUP_3_LIST</vt:lpstr>
      <vt:lpstr>COLDVSNA_IP_EVENT_SUBGROUP_5_LIST</vt:lpstr>
      <vt:lpstr>COLDVSNA_IP_EVENT_TYPE_LIST</vt:lpstr>
      <vt:lpstr>COLDVSNA_PT_VED_ID</vt:lpstr>
      <vt:lpstr>COLDVSNA_PT_VED_NAME</vt:lpstr>
      <vt:lpstr>COLDVSNA_PT_VED_NAME_LIST</vt:lpstr>
      <vt:lpstr>COLDVSNA_TARIFF_A_COLDVSNA_ADD_HL_COLUMN_MARKER</vt:lpstr>
      <vt:lpstr>COLDVSNA_TARIFF_A_COLDVSNA_DEL_HL_DATA_DIFF_COLUMN_MARKER</vt:lpstr>
      <vt:lpstr>COLDVSNA_TARIFF_A_COLDVSNA_DEL_HL_FLAG_DIFF_COLUMN_MARKER</vt:lpstr>
      <vt:lpstr>COLDVSNA_TARIFF_A_COLDVSNA_DEL_HL_GC_COLUMN_MARKER</vt:lpstr>
      <vt:lpstr>COLDVSNA_TARIFF_A_COLDVSNA_DELETE_PERIOD_ROW_MARKER</vt:lpstr>
      <vt:lpstr>COLDVSNA_TARIFF_A_COLDVSNA_FLAG_BLOCK_COLUMN_MARKER</vt:lpstr>
      <vt:lpstr>COLDVSNA_TARIFF_A_COLDVSNA_FLAG_BLOCK_ROW_MARKER</vt:lpstr>
      <vt:lpstr>COLDVSNA_TARIFF_A_COLDVSNA_NUM_CS_COLUMN_MARKER</vt:lpstr>
      <vt:lpstr>COLDVSNA_TARIFF_A_COLDVSNA_NUM_DATA_DIFF_COLUMN_MARKER</vt:lpstr>
      <vt:lpstr>COLDVSNA_TARIFF_A_COLDVSNA_NUM_FLAG_DIFF_COLUMN_MARKER</vt:lpstr>
      <vt:lpstr>COLDVSNA_TARIFF_A_COLDVSNA_NUM_GC_COLUMN_MARKER</vt:lpstr>
      <vt:lpstr>COLDVSNA_TARIFF_A_COLDVSNA_NUM_NTAR_COLUMN_MARKER</vt:lpstr>
      <vt:lpstr>COLDVSNA_TARIFF_A_COLDVSNA_NUM_TER_COLUMN_MARKER</vt:lpstr>
      <vt:lpstr>COLDVSNA_TARIFF_B_COLDVSNA_ADD_HL_COLUMN_MARKER</vt:lpstr>
      <vt:lpstr>COLDVSNA_TARIFF_B_COLDVSNA_DEL_HL_DATA_DIFF_COLUMN_MARKER</vt:lpstr>
      <vt:lpstr>COLDVSNA_TARIFF_B_COLDVSNA_DEL_HL_FLAG_DIFF_COLUMN_MARKER</vt:lpstr>
      <vt:lpstr>COLDVSNA_TARIFF_B_COLDVSNA_DEL_HL_GC_COLUMN_MARKER</vt:lpstr>
      <vt:lpstr>COLDVSNA_TARIFF_B_COLDVSNA_DELETE_PERIOD_ROW_MARKER</vt:lpstr>
      <vt:lpstr>COLDVSNA_TARIFF_B_COLDVSNA_FLAG_BLOCK_COLUMN_MARKER</vt:lpstr>
      <vt:lpstr>COLDVSNA_TARIFF_B_COLDVSNA_FLAG_BLOCK_ROW_MARKER</vt:lpstr>
      <vt:lpstr>COLDVSNA_TARIFF_B_COLDVSNA_NUM_CS_COLUMN_MARKER</vt:lpstr>
      <vt:lpstr>COLDVSNA_TARIFF_B_COLDVSNA_NUM_DATA_DIFF_COLUMN_MARKER</vt:lpstr>
      <vt:lpstr>COLDVSNA_TARIFF_B_COLDVSNA_NUM_FLAG_DIFF_COLUMN_MARKER</vt:lpstr>
      <vt:lpstr>COLDVSNA_TARIFF_B_COLDVSNA_NUM_GC_COLUMN_MARKER</vt:lpstr>
      <vt:lpstr>COLDVSNA_TARIFF_B_COLDVSNA_NUM_NTAR_COLUMN_MARKER</vt:lpstr>
      <vt:lpstr>COLDVSNA_TARIFF_B_COLDVSNA_NUM_TER_COLUMN_MARKER</vt:lpstr>
      <vt:lpstr>COLDVSNA_TARIFF_C_COLDVSNA_ADD_HL_COLUMN_MARKER</vt:lpstr>
      <vt:lpstr>COLDVSNA_TARIFF_C_COLDVSNA_DEL_HL_DATA_DIFF_COLUMN_MARKER</vt:lpstr>
      <vt:lpstr>COLDVSNA_TARIFF_C_COLDVSNA_DEL_HL_FLAG_DIFF_COLUMN_MARKER</vt:lpstr>
      <vt:lpstr>COLDVSNA_TARIFF_C_COLDVSNA_DEL_HL_GC_COLUMN_MARKER</vt:lpstr>
      <vt:lpstr>COLDVSNA_TARIFF_C_COLDVSNA_DELETE_PERIOD_ROW_MARKER</vt:lpstr>
      <vt:lpstr>COLDVSNA_TARIFF_C_COLDVSNA_FLAG_BLOCK_COLUMN_MARKER</vt:lpstr>
      <vt:lpstr>COLDVSNA_TARIFF_C_COLDVSNA_FLAG_BLOCK_ROW_MARKER</vt:lpstr>
      <vt:lpstr>COLDVSNA_TARIFF_C_COLDVSNA_NUM_CS_COLUMN_MARKER</vt:lpstr>
      <vt:lpstr>COLDVSNA_TARIFF_C_COLDVSNA_NUM_DATA_DIFF_COLUMN_MARKER</vt:lpstr>
      <vt:lpstr>COLDVSNA_TARIFF_C_COLDVSNA_NUM_FLAG_DIFF_COLUMN_MARKER</vt:lpstr>
      <vt:lpstr>COLDVSNA_TARIFF_C_COLDVSNA_NUM_GC_COLUMN_MARKER</vt:lpstr>
      <vt:lpstr>COLDVSNA_TARIFF_C_COLDVSNA_NUM_NTAR_COLUMN_MARKER</vt:lpstr>
      <vt:lpstr>COLDVSNA_TARIFF_C_COLDVSNA_NUM_TER_COLUMN_MARKER</vt:lpstr>
      <vt:lpstr>COLDVSNA_TARIFF_D_COLDVSNA_ADD_HL_COLUMN_MARKER</vt:lpstr>
      <vt:lpstr>COLDVSNA_TARIFF_D_COLDVSNA_DEL_HL_DATA_DIFF_COLUMN_MARKER</vt:lpstr>
      <vt:lpstr>COLDVSNA_TARIFF_D_COLDVSNA_DEL_HL_FLAG_DIFF_COLUMN_MARKER</vt:lpstr>
      <vt:lpstr>COLDVSNA_TARIFF_D_COLDVSNA_DEL_HL_GC_COLUMN_MARKER</vt:lpstr>
      <vt:lpstr>COLDVSNA_TARIFF_D_COLDVSNA_DELETE_PERIOD_ROW_MARKER</vt:lpstr>
      <vt:lpstr>COLDVSNA_TARIFF_D_COLDVSNA_FLAG_BLOCK_COLUMN_MARKER</vt:lpstr>
      <vt:lpstr>COLDVSNA_TARIFF_D_COLDVSNA_FLAG_BLOCK_ROW_MARKER</vt:lpstr>
      <vt:lpstr>COLDVSNA_TARIFF_D_COLDVSNA_NUM_CS_COLUMN_MARKER</vt:lpstr>
      <vt:lpstr>COLDVSNA_TARIFF_D_COLDVSNA_NUM_DATA_DIFF_COLUMN_MARKER</vt:lpstr>
      <vt:lpstr>COLDVSNA_TARIFF_D_COLDVSNA_NUM_FLAG_DIFF_COLUMN_MARKER</vt:lpstr>
      <vt:lpstr>COLDVSNA_TARIFF_D_COLDVSNA_NUM_GC_COLUMN_MARKER</vt:lpstr>
      <vt:lpstr>COLDVSNA_TARIFF_D_COLDVSNA_NUM_NTAR_COLUMN_MARKER</vt:lpstr>
      <vt:lpstr>COLDVSNA_TARIFF_D_COLDVSNA_NUM_TER_COLUMN_MARKER</vt:lpstr>
      <vt:lpstr>COLDVSNA_TARIFF_E_COLDVSNA_ADD_HL_COLUMN_MARKER</vt:lpstr>
      <vt:lpstr>COLDVSNA_TARIFF_E_COLDVSNA_ADD_HL_DIAMETERS_COLUMN_MARKER</vt:lpstr>
      <vt:lpstr>COLDVSNA_TARIFF_E_COLDVSNA_ADD_HL_LEN_COLUMN_MARKER</vt:lpstr>
      <vt:lpstr>COLDVSNA_TARIFF_E_COLDVSNA_ADD_HL_LOAD_COLUMN_MARKER</vt:lpstr>
      <vt:lpstr>COLDVSNA_TARIFF_E_COLDVSNA_ADD_HL_NETS_COLUMN_MARKER</vt:lpstr>
      <vt:lpstr>COLDVSNA_TARIFF_E_COLDVSNA_DEL_HL_DATA_DIFF_COLUMN_MARKER</vt:lpstr>
      <vt:lpstr>COLDVSNA_TARIFF_E_COLDVSNA_DEL_HL_DIAMETERS_COLUMN_MARKER</vt:lpstr>
      <vt:lpstr>COLDVSNA_TARIFF_E_COLDVSNA_DEL_HL_FLAG_DIFF_COLUMN_MARKER</vt:lpstr>
      <vt:lpstr>COLDVSNA_TARIFF_E_COLDVSNA_DEL_HL_GC_COLUMN_MARKER</vt:lpstr>
      <vt:lpstr>COLDVSNA_TARIFF_E_COLDVSNA_DEL_HL_LEN_COLUMN_MARKER</vt:lpstr>
      <vt:lpstr>COLDVSNA_TARIFF_E_COLDVSNA_DEL_HL_LOAD_COLUMN_MARKER</vt:lpstr>
      <vt:lpstr>COLDVSNA_TARIFF_E_COLDVSNA_DEL_HL_NETS_COLUMN_MARKER</vt:lpstr>
      <vt:lpstr>COLDVSNA_TARIFF_E_COLDVSNA_DELETE_PERIOD_ROW_MARKER</vt:lpstr>
      <vt:lpstr>COLDVSNA_TARIFF_E_COLDVSNA_FLAG_BLOCK_COLUMN_MARKER</vt:lpstr>
      <vt:lpstr>COLDVSNA_TARIFF_E_COLDVSNA_FLAG_BLOCK_ROW_MARKER</vt:lpstr>
      <vt:lpstr>COLDVSNA_TARIFF_E_COLDVSNA_NUM_CS_COLUMN_MARKER</vt:lpstr>
      <vt:lpstr>COLDVSNA_TARIFF_E_COLDVSNA_NUM_DATA_DIFF_COLUMN_MARKER</vt:lpstr>
      <vt:lpstr>COLDVSNA_TARIFF_E_COLDVSNA_NUM_DIAMETERS_COLUMN_MARKER</vt:lpstr>
      <vt:lpstr>COLDVSNA_TARIFF_E_COLDVSNA_NUM_FLAG_DIFF_COLUMN_MARKER</vt:lpstr>
      <vt:lpstr>COLDVSNA_TARIFF_E_COLDVSNA_NUM_GC_COLUMN_MARKER</vt:lpstr>
      <vt:lpstr>COLDVSNA_TARIFF_E_COLDVSNA_NUM_LEN_COLUMN_MARKER</vt:lpstr>
      <vt:lpstr>COLDVSNA_TARIFF_E_COLDVSNA_NUM_LOAD_COLUMN_MARKER</vt:lpstr>
      <vt:lpstr>COLDVSNA_TARIFF_E_COLDVSNA_NUM_NETS_COLUMN_MARKER</vt:lpstr>
      <vt:lpstr>COLDVSNA_TARIFF_E_COLDVSNA_NUM_NTAR_COLUMN_MARKER</vt:lpstr>
      <vt:lpstr>COLDVSNA_TARIFF_E_COLDVSNA_NUM_TER_COLUMN_MARKER</vt:lpstr>
      <vt:lpstr>cross_without_borders</vt:lpstr>
      <vt:lpstr>CS_ID</vt:lpstr>
      <vt:lpstr>CURRENT_DATE</vt:lpstr>
      <vt:lpstr>DATA_URL</vt:lpstr>
      <vt:lpstr>DESCRIPTION_TERRITORY</vt:lpstr>
      <vt:lpstr>DIFFERENTIATION_AREA</vt:lpstr>
      <vt:lpstr>DIFFERENTIATION_AREA_ID</vt:lpstr>
      <vt:lpstr>DIFFERENTIATION_CheckC</vt:lpstr>
      <vt:lpstr>DIFFERENTIATION_fieldMarker</vt:lpstr>
      <vt:lpstr>DIFFERENTIATION_ID</vt:lpstr>
      <vt:lpstr>DIFFERENTIATION_ID_DIFF</vt:lpstr>
      <vt:lpstr>DIFFERENTIATION_SYSTEM</vt:lpstr>
      <vt:lpstr>DIFFERENTIATION_TARIFF_AREA_ID</vt:lpstr>
      <vt:lpstr>DIFFERENTIATION_TARIFF_VD_ID</vt:lpstr>
      <vt:lpstr>DIFFERENTIATION_TARIFF_VTAR_ID</vt:lpstr>
      <vt:lpstr>DIFFERENTIATION_TKO_ADD_HL_CLASS_TKO_COLUMN_MARKER</vt:lpstr>
      <vt:lpstr>DIFFERENTIATION_TKO_ADD_HL_NTAR_COLUMN_MARKER</vt:lpstr>
      <vt:lpstr>DIFFERENTIATION_TKO_ADD_HL_TER_COLUMN_MARKER</vt:lpstr>
      <vt:lpstr>DIFFERENTIATION_TKO_ADD_HL_TO_COLUMN_MARKER</vt:lpstr>
      <vt:lpstr>DIFFERENTIATION_TKO_ADD_HL_TYPE_TKO_COLUMN_MARKER</vt:lpstr>
      <vt:lpstr>DIFFERENTIATION_TKO_ADD_HL_VTAR_COLUMN_MARKER</vt:lpstr>
      <vt:lpstr>DIFFERENTIATION_TKO_AREA_ID</vt:lpstr>
      <vt:lpstr>DIFFERENTIATION_TKO_DEL_HL_CLASS_TKO_COLUMN_MARKER</vt:lpstr>
      <vt:lpstr>DIFFERENTIATION_TKO_DEL_HL_NTAR_COLUMN_MARKER</vt:lpstr>
      <vt:lpstr>DIFFERENTIATION_TKO_DEL_HL_TER_COLUMN_MARKER</vt:lpstr>
      <vt:lpstr>DIFFERENTIATION_TKO_DEL_HL_TO_COLUMN_MARKER</vt:lpstr>
      <vt:lpstr>DIFFERENTIATION_TKO_DEL_HL_TYPE_TKO_COLUMN_MARKER</vt:lpstr>
      <vt:lpstr>DIFFERENTIATION_TKO_FLAG_DIFF_CLASS_TKO_ETC_COLUMN_MARKER</vt:lpstr>
      <vt:lpstr>DIFFERENTIATION_TKO_FLAG_DIFF_CLASS_TKO_TARIFF_COLUMN_MARKER</vt:lpstr>
      <vt:lpstr>DIFFERENTIATION_TKO_FLAG_DIFF_TER_ETC_COLUMN_MARKER</vt:lpstr>
      <vt:lpstr>DIFFERENTIATION_TKO_FLAG_DIFF_TER_TARIFF_COLUMN_MARKER</vt:lpstr>
      <vt:lpstr>DIFFERENTIATION_TKO_FLAG_DIFF_TO_ETC_COLUMN_MARKER</vt:lpstr>
      <vt:lpstr>DIFFERENTIATION_TKO_FLAG_DIFF_TO_TARIFF_COLUMN_MARKER</vt:lpstr>
      <vt:lpstr>DIFFERENTIATION_TKO_FLAG_DIFF_TYPE_TKO_ETC_COLUMN_MARKER</vt:lpstr>
      <vt:lpstr>DIFFERENTIATION_TKO_FLAG_DIFF_TYPE_TKO_TARIFF_COLUMN_MARKER</vt:lpstr>
      <vt:lpstr>DIFFERENTIATION_TKO_FLAG_VTAR_COLUMN_MARKER</vt:lpstr>
      <vt:lpstr>DIFFERENTIATION_TKO_TER_ID</vt:lpstr>
      <vt:lpstr>DIFFERENTIATION_UNMERGE_AREA</vt:lpstr>
      <vt:lpstr>DIFFERENTIATION_UNMERGE_SYSTEM</vt:lpstr>
      <vt:lpstr>DIFFERENTIATION_UNMERGE_VD</vt:lpstr>
      <vt:lpstr>DIFFERENTIATION_VD</vt:lpstr>
      <vt:lpstr>DIFFERENTIATION_VD_ID</vt:lpstr>
      <vt:lpstr>ED_DATE</vt:lpstr>
      <vt:lpstr>ED_DATE_PARKING</vt:lpstr>
      <vt:lpstr>ED_LINK</vt:lpstr>
      <vt:lpstr>EndDateList</vt:lpstr>
      <vt:lpstr>et_B_FHD20_1</vt:lpstr>
      <vt:lpstr>et_B_FHD20_1_HEAT</vt:lpstr>
      <vt:lpstr>et_B_FHD20_1_NOT_HEAT</vt:lpstr>
      <vt:lpstr>et_B_FHD20_2</vt:lpstr>
      <vt:lpstr>et_B_FHD20_3</vt:lpstr>
      <vt:lpstr>et_B_FHD20_4</vt:lpstr>
      <vt:lpstr>et_CHANGE_INFO</vt:lpstr>
      <vt:lpstr>et_COLDVSNA_TARIFF_A_COLDVSNA_CS</vt:lpstr>
      <vt:lpstr>et_COLDVSNA_TARIFF_A_COLDVSNA_DATA_DIFF</vt:lpstr>
      <vt:lpstr>et_COLDVSNA_TARIFF_A_COLDVSNA_FLAG_DIFF</vt:lpstr>
      <vt:lpstr>et_COLDVSNA_TARIFF_A_COLDVSNA_GC</vt:lpstr>
      <vt:lpstr>et_COLDVSNA_TARIFF_A_COLDVSNA_NTAR</vt:lpstr>
      <vt:lpstr>et_COLDVSNA_TARIFF_A_COLDVSNA_PERIOD_COLOR</vt:lpstr>
      <vt:lpstr>et_COLDVSNA_TARIFF_A_COLDVSNA_PERIOD_NOT_COLOR</vt:lpstr>
      <vt:lpstr>et_COLDVSNA_TARIFF_A_COLDVSNA_TER</vt:lpstr>
      <vt:lpstr>et_COLDVSNA_TARIFF_A_COLDVSNA_TN</vt:lpstr>
      <vt:lpstr>et_COLDVSNA_TARIFF_B_COLDVSNA_CS</vt:lpstr>
      <vt:lpstr>et_COLDVSNA_TARIFF_B_COLDVSNA_DATA_DIFF</vt:lpstr>
      <vt:lpstr>et_COLDVSNA_TARIFF_B_COLDVSNA_FLAG_DIFF</vt:lpstr>
      <vt:lpstr>et_COLDVSNA_TARIFF_B_COLDVSNA_GC</vt:lpstr>
      <vt:lpstr>et_COLDVSNA_TARIFF_B_COLDVSNA_NTAR</vt:lpstr>
      <vt:lpstr>et_COLDVSNA_TARIFF_B_COLDVSNA_PERIOD_COLOR</vt:lpstr>
      <vt:lpstr>et_COLDVSNA_TARIFF_B_COLDVSNA_PERIOD_NOT_COLOR</vt:lpstr>
      <vt:lpstr>et_COLDVSNA_TARIFF_B_COLDVSNA_TER</vt:lpstr>
      <vt:lpstr>et_COLDVSNA_TARIFF_C_COLDVSNA_CS</vt:lpstr>
      <vt:lpstr>et_COLDVSNA_TARIFF_C_COLDVSNA_DATA_DIFF</vt:lpstr>
      <vt:lpstr>et_COLDVSNA_TARIFF_C_COLDVSNA_FLAG_DIFF</vt:lpstr>
      <vt:lpstr>et_COLDVSNA_TARIFF_C_COLDVSNA_GC</vt:lpstr>
      <vt:lpstr>et_COLDVSNA_TARIFF_C_COLDVSNA_NTAR</vt:lpstr>
      <vt:lpstr>et_COLDVSNA_TARIFF_C_COLDVSNA_PERIOD_COLOR</vt:lpstr>
      <vt:lpstr>et_COLDVSNA_TARIFF_C_COLDVSNA_PERIOD_NOT_COLOR</vt:lpstr>
      <vt:lpstr>et_COLDVSNA_TARIFF_C_COLDVSNA_TER</vt:lpstr>
      <vt:lpstr>et_COLDVSNA_TARIFF_D_COLDVSNA_CS</vt:lpstr>
      <vt:lpstr>et_COLDVSNA_TARIFF_D_COLDVSNA_DATA_DIFF</vt:lpstr>
      <vt:lpstr>et_COLDVSNA_TARIFF_D_COLDVSNA_FLAG_DIFF</vt:lpstr>
      <vt:lpstr>et_COLDVSNA_TARIFF_D_COLDVSNA_GC</vt:lpstr>
      <vt:lpstr>et_COLDVSNA_TARIFF_D_COLDVSNA_NTAR</vt:lpstr>
      <vt:lpstr>et_COLDVSNA_TARIFF_D_COLDVSNA_PERIOD_COLOR</vt:lpstr>
      <vt:lpstr>et_COLDVSNA_TARIFF_D_COLDVSNA_PERIOD_NOT_COLOR</vt:lpstr>
      <vt:lpstr>et_COLDVSNA_TARIFF_D_COLDVSNA_TER</vt:lpstr>
      <vt:lpstr>et_COLDVSNA_TARIFF_E_COLDVSNA_CS</vt:lpstr>
      <vt:lpstr>et_COLDVSNA_TARIFF_E_COLDVSNA_DATA_DIFF</vt:lpstr>
      <vt:lpstr>et_COLDVSNA_TARIFF_E_COLDVSNA_DIAMETERS</vt:lpstr>
      <vt:lpstr>et_COLDVSNA_TARIFF_E_COLDVSNA_FLAG_DIFF</vt:lpstr>
      <vt:lpstr>et_COLDVSNA_TARIFF_E_COLDVSNA_GC</vt:lpstr>
      <vt:lpstr>et_COLDVSNA_TARIFF_E_COLDVSNA_LEN</vt:lpstr>
      <vt:lpstr>et_COLDVSNA_TARIFF_E_COLDVSNA_LOAD</vt:lpstr>
      <vt:lpstr>et_COLDVSNA_TARIFF_E_COLDVSNA_NETS</vt:lpstr>
      <vt:lpstr>et_COLDVSNA_TARIFF_E_COLDVSNA_NTAR</vt:lpstr>
      <vt:lpstr>et_COLDVSNA_TARIFF_E_COLDVSNA_PERIOD_COLOR</vt:lpstr>
      <vt:lpstr>et_COLDVSNA_TARIFF_E_COLDVSNA_PERIOD_NOT_COLOR</vt:lpstr>
      <vt:lpstr>et_COLDVSNA_TARIFF_E_COLDVSNA_TER</vt:lpstr>
      <vt:lpstr>et_Comm</vt:lpstr>
      <vt:lpstr>et_DIFFERENTIATION_AREA</vt:lpstr>
      <vt:lpstr>et_DIFFERENTIATION_SYSTEM</vt:lpstr>
      <vt:lpstr>et_DIFFERENTIATION_TARIFF_COLOR</vt:lpstr>
      <vt:lpstr>et_DIFFERENTIATION_TARIFF_CS</vt:lpstr>
      <vt:lpstr>et_DIFFERENTIATION_TARIFF_IST_TE</vt:lpstr>
      <vt:lpstr>et_DIFFERENTIATION_TARIFF_NOT_COLOR</vt:lpstr>
      <vt:lpstr>et_DIFFERENTIATION_TARIFF_NOT_HEAT_COLOR</vt:lpstr>
      <vt:lpstr>et_DIFFERENTIATION_TARIFF_NOT_HEAT_CS</vt:lpstr>
      <vt:lpstr>et_DIFFERENTIATION_TARIFF_NOT_HEAT_NTAR</vt:lpstr>
      <vt:lpstr>et_DIFFERENTIATION_TARIFF_NOT_HEAT_TER</vt:lpstr>
      <vt:lpstr>et_DIFFERENTIATION_TARIFF_NOT_HEAT_VTAR</vt:lpstr>
      <vt:lpstr>et_DIFFERENTIATION_TARIFF_NTAR</vt:lpstr>
      <vt:lpstr>et_DIFFERENTIATION_TARIFF_TER</vt:lpstr>
      <vt:lpstr>et_DIFFERENTIATION_TARIFF_VTAR</vt:lpstr>
      <vt:lpstr>et_DIFFERENTIATION_TKO_CLASS_TKO</vt:lpstr>
      <vt:lpstr>et_DIFFERENTIATION_TKO_COLOR</vt:lpstr>
      <vt:lpstr>et_DIFFERENTIATION_TKO_NOT_COLOR</vt:lpstr>
      <vt:lpstr>et_DIFFERENTIATION_TKO_NTAR</vt:lpstr>
      <vt:lpstr>et_DIFFERENTIATION_TKO_TER</vt:lpstr>
      <vt:lpstr>et_DIFFERENTIATION_TKO_TO</vt:lpstr>
      <vt:lpstr>et_DIFFERENTIATION_TKO_TYPE_TKO</vt:lpstr>
      <vt:lpstr>et_DIFFERENTIATION_TKO_VTAR</vt:lpstr>
      <vt:lpstr>et_DIFFERENTIATION_VD</vt:lpstr>
      <vt:lpstr>et_ED</vt:lpstr>
      <vt:lpstr>et_HEAT_TARIFF_A_CS</vt:lpstr>
      <vt:lpstr>et_HEAT_TARIFF_A_GC</vt:lpstr>
      <vt:lpstr>et_HEAT_TARIFF_A_IST_TE</vt:lpstr>
      <vt:lpstr>et_HEAT_TARIFF_A_NTAR</vt:lpstr>
      <vt:lpstr>et_HEAT_TARIFF_A_PERIOD_COLOR</vt:lpstr>
      <vt:lpstr>et_HEAT_TARIFF_A_PERIOD_NOT_COLOR</vt:lpstr>
      <vt:lpstr>et_HEAT_TARIFF_A_SCHEME</vt:lpstr>
      <vt:lpstr>et_HEAT_TARIFF_A_TER</vt:lpstr>
      <vt:lpstr>et_HEAT_TARIFF_A_TN</vt:lpstr>
      <vt:lpstr>et_HEAT_TARIFF_B_CS</vt:lpstr>
      <vt:lpstr>et_HEAT_TARIFF_B_GC</vt:lpstr>
      <vt:lpstr>et_HEAT_TARIFF_B_IST_TE</vt:lpstr>
      <vt:lpstr>et_HEAT_TARIFF_B_NTAR</vt:lpstr>
      <vt:lpstr>et_HEAT_TARIFF_B_PERIOD_COLOR</vt:lpstr>
      <vt:lpstr>et_HEAT_TARIFF_B_PERIOD_NOT_COLOR</vt:lpstr>
      <vt:lpstr>et_HEAT_TARIFF_B_SCHEME</vt:lpstr>
      <vt:lpstr>et_HEAT_TARIFF_B_TER</vt:lpstr>
      <vt:lpstr>et_HEAT_TARIFF_B_TN</vt:lpstr>
      <vt:lpstr>et_HEAT_TARIFF_C_CS</vt:lpstr>
      <vt:lpstr>et_HEAT_TARIFF_C_GC</vt:lpstr>
      <vt:lpstr>et_HEAT_TARIFF_C_IST_TE</vt:lpstr>
      <vt:lpstr>et_HEAT_TARIFF_C_NTAR</vt:lpstr>
      <vt:lpstr>et_HEAT_TARIFF_C_PERIOD_COLOR</vt:lpstr>
      <vt:lpstr>et_HEAT_TARIFF_C_PERIOD_NOT_COLOR</vt:lpstr>
      <vt:lpstr>et_HEAT_TARIFF_C_SCHEME</vt:lpstr>
      <vt:lpstr>et_HEAT_TARIFF_C_TER</vt:lpstr>
      <vt:lpstr>et_HEAT_TARIFF_C_TN</vt:lpstr>
      <vt:lpstr>et_HEAT_TARIFF_D_CONS</vt:lpstr>
      <vt:lpstr>et_HEAT_TARIFF_D_CS</vt:lpstr>
      <vt:lpstr>et_HEAT_TARIFF_D_GC</vt:lpstr>
      <vt:lpstr>et_HEAT_TARIFF_D_IST_TE</vt:lpstr>
      <vt:lpstr>et_HEAT_TARIFF_D_NTAR</vt:lpstr>
      <vt:lpstr>et_HEAT_TARIFF_D_PERIOD_COLOR</vt:lpstr>
      <vt:lpstr>et_HEAT_TARIFF_D_PERIOD_NOT_COLOR</vt:lpstr>
      <vt:lpstr>et_HEAT_TARIFF_D_SCHEME</vt:lpstr>
      <vt:lpstr>et_HEAT_TARIFF_D_TER</vt:lpstr>
      <vt:lpstr>et_HEAT_TARIFF_D_TN</vt:lpstr>
      <vt:lpstr>et_HEAT_TARIFF_E1_CS</vt:lpstr>
      <vt:lpstr>et_HEAT_TARIFF_E1_GC</vt:lpstr>
      <vt:lpstr>et_HEAT_TARIFF_E1_IST_TE</vt:lpstr>
      <vt:lpstr>et_HEAT_TARIFF_E1_NTAR</vt:lpstr>
      <vt:lpstr>et_HEAT_TARIFF_E1_PERIOD_COLOR</vt:lpstr>
      <vt:lpstr>et_HEAT_TARIFF_E1_PERIOD_NOT_COLOR</vt:lpstr>
      <vt:lpstr>et_HEAT_TARIFF_E1_SCHEME</vt:lpstr>
      <vt:lpstr>et_HEAT_TARIFF_E1_TER</vt:lpstr>
      <vt:lpstr>et_HEAT_TARIFF_E1_TN</vt:lpstr>
      <vt:lpstr>et_HEAT_TARIFF_E2_CS</vt:lpstr>
      <vt:lpstr>et_HEAT_TARIFF_E2_GC</vt:lpstr>
      <vt:lpstr>et_HEAT_TARIFF_E2_IST_TE</vt:lpstr>
      <vt:lpstr>et_HEAT_TARIFF_E2_NTAR</vt:lpstr>
      <vt:lpstr>et_HEAT_TARIFF_E2_PERIOD_COLOR</vt:lpstr>
      <vt:lpstr>et_HEAT_TARIFF_E2_PERIOD_NOT_COLOR</vt:lpstr>
      <vt:lpstr>et_HEAT_TARIFF_E2_SCHEME</vt:lpstr>
      <vt:lpstr>et_HEAT_TARIFF_E2_TER</vt:lpstr>
      <vt:lpstr>et_HEAT_TARIFF_E2_TN</vt:lpstr>
      <vt:lpstr>et_HEAT_TARIFF_F_CS</vt:lpstr>
      <vt:lpstr>et_HEAT_TARIFF_F_GC</vt:lpstr>
      <vt:lpstr>et_HEAT_TARIFF_F_IST_TE</vt:lpstr>
      <vt:lpstr>et_HEAT_TARIFF_F_NTAR</vt:lpstr>
      <vt:lpstr>et_HEAT_TARIFF_F_PERIOD_COLOR</vt:lpstr>
      <vt:lpstr>et_HEAT_TARIFF_F_PERIOD_NOT_COLOR</vt:lpstr>
      <vt:lpstr>et_HEAT_TARIFF_F_SCHEME</vt:lpstr>
      <vt:lpstr>et_HEAT_TARIFF_F_TER</vt:lpstr>
      <vt:lpstr>et_HEAT_TARIFF_F_TN</vt:lpstr>
      <vt:lpstr>et_HEAT_TARIFF_G_CS</vt:lpstr>
      <vt:lpstr>et_HEAT_TARIFF_G_DIAMETERS</vt:lpstr>
      <vt:lpstr>et_HEAT_TARIFF_G_GC</vt:lpstr>
      <vt:lpstr>et_HEAT_TARIFF_G_IST_TE</vt:lpstr>
      <vt:lpstr>et_HEAT_TARIFF_G_LOAD</vt:lpstr>
      <vt:lpstr>et_HEAT_TARIFF_G_NETS</vt:lpstr>
      <vt:lpstr>et_HEAT_TARIFF_G_NTAR</vt:lpstr>
      <vt:lpstr>et_HEAT_TARIFF_G_PERIOD_COLOR</vt:lpstr>
      <vt:lpstr>et_HEAT_TARIFF_G_PERIOD_NOT_COLOR</vt:lpstr>
      <vt:lpstr>et_HEAT_TARIFF_G_SCHEME</vt:lpstr>
      <vt:lpstr>et_HEAT_TARIFF_G_TER</vt:lpstr>
      <vt:lpstr>et_HEAT_TARIFF_G_TN</vt:lpstr>
      <vt:lpstr>et_HEAT_TARIFF_H_CS</vt:lpstr>
      <vt:lpstr>et_HEAT_TARIFF_H_DIAMETERS</vt:lpstr>
      <vt:lpstr>et_HEAT_TARIFF_H_GC</vt:lpstr>
      <vt:lpstr>et_HEAT_TARIFF_H_IST_TE</vt:lpstr>
      <vt:lpstr>et_HEAT_TARIFF_H_LOAD</vt:lpstr>
      <vt:lpstr>et_HEAT_TARIFF_H_NETS</vt:lpstr>
      <vt:lpstr>et_HEAT_TARIFF_H_NTAR</vt:lpstr>
      <vt:lpstr>et_HEAT_TARIFF_H_PERIOD_COLOR</vt:lpstr>
      <vt:lpstr>et_HEAT_TARIFF_H_PERIOD_NOT_COLOR</vt:lpstr>
      <vt:lpstr>et_HEAT_TARIFF_H_SCHEME</vt:lpstr>
      <vt:lpstr>et_HEAT_TARIFF_H_TER</vt:lpstr>
      <vt:lpstr>et_HEAT_TARIFF_H_TN</vt:lpstr>
      <vt:lpstr>et_HEAT_TARIFF_I_1_CS</vt:lpstr>
      <vt:lpstr>et_HEAT_TARIFF_I_1_GC</vt:lpstr>
      <vt:lpstr>et_HEAT_TARIFF_I_1_IST_TE</vt:lpstr>
      <vt:lpstr>et_HEAT_TARIFF_I_1_NTAR</vt:lpstr>
      <vt:lpstr>et_HEAT_TARIFF_I_1_PERIOD_COLOR</vt:lpstr>
      <vt:lpstr>et_HEAT_TARIFF_I_1_PERIOD_NOT_COLOR</vt:lpstr>
      <vt:lpstr>et_HEAT_TARIFF_I_1_SCHEME</vt:lpstr>
      <vt:lpstr>et_HEAT_TARIFF_I_1_TER</vt:lpstr>
      <vt:lpstr>et_HEAT_TARIFF_I_1_TN</vt:lpstr>
      <vt:lpstr>et_HEAT_TARIFF_I_CS</vt:lpstr>
      <vt:lpstr>et_HEAT_TARIFF_I_GC</vt:lpstr>
      <vt:lpstr>et_HEAT_TARIFF_I_IST_TE</vt:lpstr>
      <vt:lpstr>et_HEAT_TARIFF_I_NTAR</vt:lpstr>
      <vt:lpstr>et_HEAT_TARIFF_I_PERIOD_COLOR</vt:lpstr>
      <vt:lpstr>et_HEAT_TARIFF_I_PERIOD_NOT_COLOR</vt:lpstr>
      <vt:lpstr>et_HEAT_TARIFF_I_SCHEME</vt:lpstr>
      <vt:lpstr>et_HEAT_TARIFF_I_TER</vt:lpstr>
      <vt:lpstr>et_HEAT_TARIFF_I_TN</vt:lpstr>
      <vt:lpstr>et_hor_B_FHD_1</vt:lpstr>
      <vt:lpstr>et_hor_B_FHD_2</vt:lpstr>
      <vt:lpstr>et_hor_B_FHD_3</vt:lpstr>
      <vt:lpstr>et_hor_B_FHD_4</vt:lpstr>
      <vt:lpstr>et_hor_B_FHD_5</vt:lpstr>
      <vt:lpstr>et_hor_B_FHD_6</vt:lpstr>
      <vt:lpstr>et_hor_B_FHD_TKO_2</vt:lpstr>
      <vt:lpstr>et_hor_B_FHD_TKO_TRANS_2</vt:lpstr>
      <vt:lpstr>et_hor_Q_LIMIT_1</vt:lpstr>
      <vt:lpstr>et_hor_Q_LIMIT_2</vt:lpstr>
      <vt:lpstr>et_hor_Q_LIMIT_3</vt:lpstr>
      <vt:lpstr>et_hor_Q_LIMIT_4</vt:lpstr>
      <vt:lpstr>et_hor_Q_TP_1</vt:lpstr>
      <vt:lpstr>et_HOTVSNA_TARIFF_A_HOTVSNA_CS</vt:lpstr>
      <vt:lpstr>et_HOTVSNA_TARIFF_A_HOTVSNA_DATA_DIFF</vt:lpstr>
      <vt:lpstr>et_HOTVSNA_TARIFF_A_HOTVSNA_FLAG_DIFF</vt:lpstr>
      <vt:lpstr>et_HOTVSNA_TARIFF_A_HOTVSNA_GC</vt:lpstr>
      <vt:lpstr>et_HOTVSNA_TARIFF_A_HOTVSNA_NTAR</vt:lpstr>
      <vt:lpstr>et_HOTVSNA_TARIFF_A_HOTVSNA_PERIOD_COLOR</vt:lpstr>
      <vt:lpstr>et_HOTVSNA_TARIFF_A_HOTVSNA_PERIOD_NOT_COLOR</vt:lpstr>
      <vt:lpstr>et_HOTVSNA_TARIFF_A_HOTVSNA_TER</vt:lpstr>
      <vt:lpstr>et_HOTVSNA_TARIFF_A_HOTVSNA_TN</vt:lpstr>
      <vt:lpstr>et_HOTVSNA_TARIFF_B_HOTVSNA_CS</vt:lpstr>
      <vt:lpstr>et_HOTVSNA_TARIFF_B_HOTVSNA_DATA_DIFF</vt:lpstr>
      <vt:lpstr>et_HOTVSNA_TARIFF_B_HOTVSNA_FLAG_DIFF</vt:lpstr>
      <vt:lpstr>et_HOTVSNA_TARIFF_B_HOTVSNA_GC</vt:lpstr>
      <vt:lpstr>et_HOTVSNA_TARIFF_B_HOTVSNA_NTAR</vt:lpstr>
      <vt:lpstr>et_HOTVSNA_TARIFF_B_HOTVSNA_PERIOD_COLOR</vt:lpstr>
      <vt:lpstr>et_HOTVSNA_TARIFF_B_HOTVSNA_PERIOD_NOT_COLOR</vt:lpstr>
      <vt:lpstr>et_HOTVSNA_TARIFF_B_HOTVSNA_TER</vt:lpstr>
      <vt:lpstr>et_HOTVSNA_TARIFF_B_HOTVSNA_TN</vt:lpstr>
      <vt:lpstr>et_HOTVSNA_TARIFF_C_HOTVSNA_CS</vt:lpstr>
      <vt:lpstr>et_HOTVSNA_TARIFF_C_HOTVSNA_DATA_DIFF</vt:lpstr>
      <vt:lpstr>et_HOTVSNA_TARIFF_C_HOTVSNA_DIAMETERS</vt:lpstr>
      <vt:lpstr>et_HOTVSNA_TARIFF_C_HOTVSNA_FLAG_DIFF</vt:lpstr>
      <vt:lpstr>et_HOTVSNA_TARIFF_C_HOTVSNA_GC</vt:lpstr>
      <vt:lpstr>et_HOTVSNA_TARIFF_C_HOTVSNA_LEN</vt:lpstr>
      <vt:lpstr>et_HOTVSNA_TARIFF_C_HOTVSNA_LOAD</vt:lpstr>
      <vt:lpstr>et_HOTVSNA_TARIFF_C_HOTVSNA_NETS</vt:lpstr>
      <vt:lpstr>et_HOTVSNA_TARIFF_C_HOTVSNA_NTAR</vt:lpstr>
      <vt:lpstr>et_HOTVSNA_TARIFF_C_HOTVSNA_PERIOD_COLOR</vt:lpstr>
      <vt:lpstr>et_HOTVSNA_TARIFF_C_HOTVSNA_PERIOD_NOT_COLOR</vt:lpstr>
      <vt:lpstr>et_HOTVSNA_TARIFF_C_HOTVSNA_TER</vt:lpstr>
      <vt:lpstr>et_IP_DETAILED</vt:lpstr>
      <vt:lpstr>et_IP_DETAILED_EVENT</vt:lpstr>
      <vt:lpstr>et_IP_DETAILED_IST_FIN</vt:lpstr>
      <vt:lpstr>et_IP_DETAILED_OBJECT</vt:lpstr>
      <vt:lpstr>et_IP_DETAILED_YEAR</vt:lpstr>
      <vt:lpstr>et_IP_MAIN</vt:lpstr>
      <vt:lpstr>et_IP_MAIN_PROPERTY</vt:lpstr>
      <vt:lpstr>et_IP_QRE</vt:lpstr>
      <vt:lpstr>et_IP_QRE_CLAIM</vt:lpstr>
      <vt:lpstr>et_List02</vt:lpstr>
      <vt:lpstr>et_List02_1_wd</vt:lpstr>
      <vt:lpstr>et_List02_2_wd</vt:lpstr>
      <vt:lpstr>et_List02_3_wd</vt:lpstr>
      <vt:lpstr>et_List02_4_wd</vt:lpstr>
      <vt:lpstr>et_List02_changeColor_1</vt:lpstr>
      <vt:lpstr>et_List02_changeColor_1_wd</vt:lpstr>
      <vt:lpstr>et_List02_changeColor_2</vt:lpstr>
      <vt:lpstr>et_List02_changeColor_2_wd</vt:lpstr>
      <vt:lpstr>et_List02_changeColor_3</vt:lpstr>
      <vt:lpstr>et_List02_changeColor_3_wd</vt:lpstr>
      <vt:lpstr>et_List02_changeColor_4</vt:lpstr>
      <vt:lpstr>et_List02_changeColor_4_wd</vt:lpstr>
      <vt:lpstr>et_List02_wd</vt:lpstr>
      <vt:lpstr>et_OFFER_p1</vt:lpstr>
      <vt:lpstr>et_OFFER_p1_0</vt:lpstr>
      <vt:lpstr>et_OFFER_p2</vt:lpstr>
      <vt:lpstr>et_OFFER_p2_0</vt:lpstr>
      <vt:lpstr>et_ORG_INFO_1</vt:lpstr>
      <vt:lpstr>et_ORG_INFO_2</vt:lpstr>
      <vt:lpstr>et_ORG_INFO_3</vt:lpstr>
      <vt:lpstr>et_ORG_TERRITORY_MO</vt:lpstr>
      <vt:lpstr>et_ORG_TERRITORY_MO_FLAG_INTERNET</vt:lpstr>
      <vt:lpstr>et_ORG_TERRITORY_MO_LINK</vt:lpstr>
      <vt:lpstr>et_ORG_VD</vt:lpstr>
      <vt:lpstr>et_ORG_VD_COLDVSNA</vt:lpstr>
      <vt:lpstr>et_ORG_VD_FIRST_SYSTEM</vt:lpstr>
      <vt:lpstr>et_ORG_VD_HEAT</vt:lpstr>
      <vt:lpstr>et_ORG_VD_HOTVSNA</vt:lpstr>
      <vt:lpstr>et_ORG_VD_TKO_ACTIVITY</vt:lpstr>
      <vt:lpstr>et_ORG_VD_TKO_TYPE_OBJECT</vt:lpstr>
      <vt:lpstr>et_ORG_VD_VOTV</vt:lpstr>
      <vt:lpstr>et_P_PROCEDURE_TC_1</vt:lpstr>
      <vt:lpstr>et_P_PROCEDURE_TC_2</vt:lpstr>
      <vt:lpstr>et_P_PROCEDURE_TC_3</vt:lpstr>
      <vt:lpstr>et_P_PROCEDURE_TC_4</vt:lpstr>
      <vt:lpstr>et_P_PROCEDURE_TC_5</vt:lpstr>
      <vt:lpstr>et_P_T_TERMS</vt:lpstr>
      <vt:lpstr>et_Q_TP_DIFFERENTIATION</vt:lpstr>
      <vt:lpstr>et_QRE</vt:lpstr>
      <vt:lpstr>et_QRE_CLAIM</vt:lpstr>
      <vt:lpstr>et_R_B_Purch</vt:lpstr>
      <vt:lpstr>et_ROIV_CASE_case</vt:lpstr>
      <vt:lpstr>et_ROIV_CASE_PUC_case</vt:lpstr>
      <vt:lpstr>et_ROIV_INFO_phone</vt:lpstr>
      <vt:lpstr>et_ROIV_ORG_org</vt:lpstr>
      <vt:lpstr>et_ROIV_OTV_DL</vt:lpstr>
      <vt:lpstr>et_ROIV_OTV_org</vt:lpstr>
      <vt:lpstr>et_TERMS</vt:lpstr>
      <vt:lpstr>et_TERRITORY_AREA</vt:lpstr>
      <vt:lpstr>et_TERRITORY_MO</vt:lpstr>
      <vt:lpstr>et_ver_B_FHD_DIFFERENTIATION</vt:lpstr>
      <vt:lpstr>et_ver_B_FHD_TKO_DIFFERENTIATION</vt:lpstr>
      <vt:lpstr>et_ver_B_FHD_TKO_TRANS_DIFFERENTIATION</vt:lpstr>
      <vt:lpstr>et_ver_B_KNE_DIFFERENTIATION</vt:lpstr>
      <vt:lpstr>et_ver_COLDVSNA_TARIFF_A_COLDVSNA</vt:lpstr>
      <vt:lpstr>et_ver_COLDVSNA_TARIFF_B_COLDVSNA</vt:lpstr>
      <vt:lpstr>et_ver_COLDVSNA_TARIFF_C_COLDVSNA</vt:lpstr>
      <vt:lpstr>et_ver_COLDVSNA_TARIFF_D_COLDVSNA</vt:lpstr>
      <vt:lpstr>et_ver_COLDVSNA_TARIFF_E_COLDVSNA</vt:lpstr>
      <vt:lpstr>et_ver_HEAT_TARIFF_A</vt:lpstr>
      <vt:lpstr>et_ver_HEAT_TARIFF_B</vt:lpstr>
      <vt:lpstr>et_ver_HEAT_TARIFF_C</vt:lpstr>
      <vt:lpstr>et_ver_HEAT_TARIFF_D</vt:lpstr>
      <vt:lpstr>et_ver_HEAT_TARIFF_E1</vt:lpstr>
      <vt:lpstr>et_ver_HEAT_TARIFF_E2</vt:lpstr>
      <vt:lpstr>et_ver_HEAT_TARIFF_F</vt:lpstr>
      <vt:lpstr>et_ver_HEAT_TARIFF_G</vt:lpstr>
      <vt:lpstr>et_ver_HEAT_TARIFF_H</vt:lpstr>
      <vt:lpstr>et_ver_HEAT_TARIFF_I</vt:lpstr>
      <vt:lpstr>et_ver_HEAT_TARIFF_I_1</vt:lpstr>
      <vt:lpstr>et_ver_HOTVSNA_TARIFF_A_HOTVSNA</vt:lpstr>
      <vt:lpstr>et_ver_HOTVSNA_TARIFF_B_HOTVSNA</vt:lpstr>
      <vt:lpstr>et_ver_HOTVSNA_TARIFF_C_HOTVSNA</vt:lpstr>
      <vt:lpstr>et_ver_IP_FIN_PLAN</vt:lpstr>
      <vt:lpstr>et_ver_IP_FIN_PLAN_YEAR</vt:lpstr>
      <vt:lpstr>et_ver_Q_LIMIT_DIFFERENTIATION</vt:lpstr>
      <vt:lpstr>et_ver_Q_PH_DIFFERENTIATION</vt:lpstr>
      <vt:lpstr>et_ver_Q_TP_DIFFERENTIATION</vt:lpstr>
      <vt:lpstr>et_ver_VOTV_TARIFF_A_VOTV</vt:lpstr>
      <vt:lpstr>et_ver_VOTV_TARIFF_B_VOTV</vt:lpstr>
      <vt:lpstr>et_ver_VOTV_TARIFF_C_VOTV</vt:lpstr>
      <vt:lpstr>et_VOTV_TARIFF_A_VOTV_CS</vt:lpstr>
      <vt:lpstr>et_VOTV_TARIFF_A_VOTV_DATA_DIFF</vt:lpstr>
      <vt:lpstr>et_VOTV_TARIFF_A_VOTV_FLAG_DIFF</vt:lpstr>
      <vt:lpstr>et_VOTV_TARIFF_A_VOTV_GC</vt:lpstr>
      <vt:lpstr>et_VOTV_TARIFF_A_VOTV_NTAR</vt:lpstr>
      <vt:lpstr>et_VOTV_TARIFF_A_VOTV_PERIOD_COLOR</vt:lpstr>
      <vt:lpstr>et_VOTV_TARIFF_A_VOTV_PERIOD_NOT_COLOR</vt:lpstr>
      <vt:lpstr>et_VOTV_TARIFF_A_VOTV_TER</vt:lpstr>
      <vt:lpstr>et_VOTV_TARIFF_A_VOTV_TN</vt:lpstr>
      <vt:lpstr>et_VOTV_TARIFF_B_VOTV_CS</vt:lpstr>
      <vt:lpstr>et_VOTV_TARIFF_B_VOTV_DATA_DIFF</vt:lpstr>
      <vt:lpstr>et_VOTV_TARIFF_B_VOTV_FLAG_DIFF</vt:lpstr>
      <vt:lpstr>et_VOTV_TARIFF_B_VOTV_GC</vt:lpstr>
      <vt:lpstr>et_VOTV_TARIFF_B_VOTV_NTAR</vt:lpstr>
      <vt:lpstr>et_VOTV_TARIFF_B_VOTV_PERIOD_COLOR</vt:lpstr>
      <vt:lpstr>et_VOTV_TARIFF_B_VOTV_PERIOD_NOT_COLOR</vt:lpstr>
      <vt:lpstr>et_VOTV_TARIFF_B_VOTV_TER</vt:lpstr>
      <vt:lpstr>et_VOTV_TARIFF_B_VOTV_TN</vt:lpstr>
      <vt:lpstr>et_VOTV_TARIFF_C_VOTV_CS</vt:lpstr>
      <vt:lpstr>et_VOTV_TARIFF_C_VOTV_DATA_DIFF</vt:lpstr>
      <vt:lpstr>et_VOTV_TARIFF_C_VOTV_DIAMETERS</vt:lpstr>
      <vt:lpstr>et_VOTV_TARIFF_C_VOTV_FLAG_DIFF</vt:lpstr>
      <vt:lpstr>et_VOTV_TARIFF_C_VOTV_GC</vt:lpstr>
      <vt:lpstr>et_VOTV_TARIFF_C_VOTV_LEN</vt:lpstr>
      <vt:lpstr>et_VOTV_TARIFF_C_VOTV_LOAD</vt:lpstr>
      <vt:lpstr>et_VOTV_TARIFF_C_VOTV_NETS</vt:lpstr>
      <vt:lpstr>et_VOTV_TARIFF_C_VOTV_NTAR</vt:lpstr>
      <vt:lpstr>et_VOTV_TARIFF_C_VOTV_PERIOD_COLOR</vt:lpstr>
      <vt:lpstr>et_VOTV_TARIFF_C_VOTV_PERIOD_NOT_COLOR</vt:lpstr>
      <vt:lpstr>et_VOTV_TARIFF_C_VOTV_TER</vt:lpstr>
      <vt:lpstr>f_quart</vt:lpstr>
      <vt:lpstr>f_year</vt:lpstr>
      <vt:lpstr>FHD_NAME_FORM</vt:lpstr>
      <vt:lpstr>FHD_NOTE_P_1</vt:lpstr>
      <vt:lpstr>FHD_NOTE_P_10</vt:lpstr>
      <vt:lpstr>FHD_NOTE_P_11</vt:lpstr>
      <vt:lpstr>FHD_NOTE_P_12</vt:lpstr>
      <vt:lpstr>FHD_NOTE_P_13</vt:lpstr>
      <vt:lpstr>FHD_NOTE_P_14</vt:lpstr>
      <vt:lpstr>FHD_NOTE_P_15</vt:lpstr>
      <vt:lpstr>FHD_NOTE_P_16</vt:lpstr>
      <vt:lpstr>FHD_NOTE_P_17</vt:lpstr>
      <vt:lpstr>FHD_NOTE_P_18</vt:lpstr>
      <vt:lpstr>FHD_NOTE_P_19</vt:lpstr>
      <vt:lpstr>FHD_NOTE_P_2</vt:lpstr>
      <vt:lpstr>FHD_NOTE_P_20</vt:lpstr>
      <vt:lpstr>FHD_NOTE_P_21</vt:lpstr>
      <vt:lpstr>FHD_NOTE_P_22</vt:lpstr>
      <vt:lpstr>FHD_NOTE_P_23</vt:lpstr>
      <vt:lpstr>FHD_NOTE_P_24</vt:lpstr>
      <vt:lpstr>FHD_NOTE_P_25</vt:lpstr>
      <vt:lpstr>FHD_NOTE_P_26</vt:lpstr>
      <vt:lpstr>FHD_NOTE_P_27</vt:lpstr>
      <vt:lpstr>FHD_NOTE_P_28</vt:lpstr>
      <vt:lpstr>FHD_NOTE_P_29</vt:lpstr>
      <vt:lpstr>FHD_NOTE_P_3</vt:lpstr>
      <vt:lpstr>FHD_NOTE_P_30</vt:lpstr>
      <vt:lpstr>FHD_NOTE_P_31</vt:lpstr>
      <vt:lpstr>FHD_NOTE_P_32</vt:lpstr>
      <vt:lpstr>FHD_NOTE_P_33</vt:lpstr>
      <vt:lpstr>FHD_NOTE_P_34</vt:lpstr>
      <vt:lpstr>FHD_NOTE_P_35</vt:lpstr>
      <vt:lpstr>FHD_NOTE_P_36</vt:lpstr>
      <vt:lpstr>FHD_NOTE_P_37</vt:lpstr>
      <vt:lpstr>FHD_NOTE_P_38</vt:lpstr>
      <vt:lpstr>FHD_NOTE_P_39</vt:lpstr>
      <vt:lpstr>FHD_NOTE_P_4</vt:lpstr>
      <vt:lpstr>FHD_NOTE_P_40</vt:lpstr>
      <vt:lpstr>FHD_NOTE_P_41</vt:lpstr>
      <vt:lpstr>FHD_NOTE_P_42</vt:lpstr>
      <vt:lpstr>FHD_NOTE_P_43</vt:lpstr>
      <vt:lpstr>FHD_NOTE_P_44</vt:lpstr>
      <vt:lpstr>FHD_NOTE_P_45</vt:lpstr>
      <vt:lpstr>FHD_NOTE_P_46</vt:lpstr>
      <vt:lpstr>FHD_NOTE_P_47</vt:lpstr>
      <vt:lpstr>FHD_NOTE_P_48</vt:lpstr>
      <vt:lpstr>FHD_NOTE_P_49</vt:lpstr>
      <vt:lpstr>FHD_NOTE_P_5</vt:lpstr>
      <vt:lpstr>FHD_NOTE_P_50</vt:lpstr>
      <vt:lpstr>FHD_NOTE_P_51</vt:lpstr>
      <vt:lpstr>FHD_NOTE_P_52</vt:lpstr>
      <vt:lpstr>FHD_NOTE_P_53</vt:lpstr>
      <vt:lpstr>FHD_NOTE_P_54</vt:lpstr>
      <vt:lpstr>FHD_NOTE_P_55</vt:lpstr>
      <vt:lpstr>FHD_NOTE_P_56</vt:lpstr>
      <vt:lpstr>FHD_NOTE_P_57</vt:lpstr>
      <vt:lpstr>FHD_NOTE_P_58</vt:lpstr>
      <vt:lpstr>FHD_NOTE_P_59</vt:lpstr>
      <vt:lpstr>FHD_NOTE_P_6</vt:lpstr>
      <vt:lpstr>FHD_NOTE_P_60</vt:lpstr>
      <vt:lpstr>FHD_NOTE_P_61</vt:lpstr>
      <vt:lpstr>FHD_NOTE_P_62</vt:lpstr>
      <vt:lpstr>FHD_NOTE_P_63</vt:lpstr>
      <vt:lpstr>FHD_NOTE_P_64</vt:lpstr>
      <vt:lpstr>FHD_NOTE_P_65</vt:lpstr>
      <vt:lpstr>FHD_NOTE_P_66</vt:lpstr>
      <vt:lpstr>FHD_NOTE_P_67</vt:lpstr>
      <vt:lpstr>FHD_NOTE_P_68</vt:lpstr>
      <vt:lpstr>FHD_NOTE_P_69</vt:lpstr>
      <vt:lpstr>FHD_NOTE_P_7</vt:lpstr>
      <vt:lpstr>FHD_NOTE_P_70</vt:lpstr>
      <vt:lpstr>FHD_NOTE_P_71</vt:lpstr>
      <vt:lpstr>FHD_NOTE_P_72</vt:lpstr>
      <vt:lpstr>FHD_NOTE_P_73</vt:lpstr>
      <vt:lpstr>FHD_NOTE_P_74</vt:lpstr>
      <vt:lpstr>FHD_NOTE_P_75</vt:lpstr>
      <vt:lpstr>FHD_NOTE_P_76</vt:lpstr>
      <vt:lpstr>FHD_NOTE_P_77</vt:lpstr>
      <vt:lpstr>FHD_NOTE_P_78</vt:lpstr>
      <vt:lpstr>FHD_NOTE_P_79</vt:lpstr>
      <vt:lpstr>FHD_NOTE_P_8</vt:lpstr>
      <vt:lpstr>FHD_NOTE_P_80</vt:lpstr>
      <vt:lpstr>FHD_NOTE_P_81</vt:lpstr>
      <vt:lpstr>FHD_NOTE_P_82</vt:lpstr>
      <vt:lpstr>FHD_NOTE_P_83</vt:lpstr>
      <vt:lpstr>FHD_NOTE_P_84</vt:lpstr>
      <vt:lpstr>FHD_NOTE_P_9</vt:lpstr>
      <vt:lpstr>FHD_NUM_P_1</vt:lpstr>
      <vt:lpstr>FHD_NUM_P_10</vt:lpstr>
      <vt:lpstr>FHD_NUM_P_11</vt:lpstr>
      <vt:lpstr>FHD_NUM_P_12</vt:lpstr>
      <vt:lpstr>FHD_NUM_P_13</vt:lpstr>
      <vt:lpstr>FHD_NUM_P_14</vt:lpstr>
      <vt:lpstr>FHD_NUM_P_15</vt:lpstr>
      <vt:lpstr>FHD_NUM_P_16</vt:lpstr>
      <vt:lpstr>FHD_NUM_P_17</vt:lpstr>
      <vt:lpstr>FHD_NUM_P_18</vt:lpstr>
      <vt:lpstr>FHD_NUM_P_19</vt:lpstr>
      <vt:lpstr>FHD_NUM_P_2</vt:lpstr>
      <vt:lpstr>FHD_NUM_P_20</vt:lpstr>
      <vt:lpstr>FHD_NUM_P_21</vt:lpstr>
      <vt:lpstr>FHD_NUM_P_22</vt:lpstr>
      <vt:lpstr>FHD_NUM_P_23</vt:lpstr>
      <vt:lpstr>FHD_NUM_P_24</vt:lpstr>
      <vt:lpstr>FHD_NUM_P_25</vt:lpstr>
      <vt:lpstr>FHD_NUM_P_26</vt:lpstr>
      <vt:lpstr>FHD_NUM_P_27</vt:lpstr>
      <vt:lpstr>FHD_NUM_P_28</vt:lpstr>
      <vt:lpstr>FHD_NUM_P_29</vt:lpstr>
      <vt:lpstr>FHD_NUM_P_3</vt:lpstr>
      <vt:lpstr>FHD_NUM_P_30</vt:lpstr>
      <vt:lpstr>FHD_NUM_P_31</vt:lpstr>
      <vt:lpstr>FHD_NUM_P_32</vt:lpstr>
      <vt:lpstr>FHD_NUM_P_33</vt:lpstr>
      <vt:lpstr>FHD_NUM_P_34</vt:lpstr>
      <vt:lpstr>FHD_NUM_P_35</vt:lpstr>
      <vt:lpstr>FHD_NUM_P_36</vt:lpstr>
      <vt:lpstr>FHD_NUM_P_37</vt:lpstr>
      <vt:lpstr>FHD_NUM_P_38</vt:lpstr>
      <vt:lpstr>FHD_NUM_P_39</vt:lpstr>
      <vt:lpstr>FHD_NUM_P_4</vt:lpstr>
      <vt:lpstr>FHD_NUM_P_40</vt:lpstr>
      <vt:lpstr>FHD_NUM_P_41</vt:lpstr>
      <vt:lpstr>FHD_NUM_P_42</vt:lpstr>
      <vt:lpstr>FHD_NUM_P_43</vt:lpstr>
      <vt:lpstr>FHD_NUM_P_44</vt:lpstr>
      <vt:lpstr>FHD_NUM_P_45</vt:lpstr>
      <vt:lpstr>FHD_NUM_P_46</vt:lpstr>
      <vt:lpstr>FHD_NUM_P_47</vt:lpstr>
      <vt:lpstr>FHD_NUM_P_48</vt:lpstr>
      <vt:lpstr>FHD_NUM_P_49</vt:lpstr>
      <vt:lpstr>FHD_NUM_P_5</vt:lpstr>
      <vt:lpstr>FHD_NUM_P_50</vt:lpstr>
      <vt:lpstr>FHD_NUM_P_51</vt:lpstr>
      <vt:lpstr>FHD_NUM_P_52</vt:lpstr>
      <vt:lpstr>FHD_NUM_P_53</vt:lpstr>
      <vt:lpstr>FHD_NUM_P_54</vt:lpstr>
      <vt:lpstr>FHD_NUM_P_55</vt:lpstr>
      <vt:lpstr>FHD_NUM_P_56</vt:lpstr>
      <vt:lpstr>FHD_NUM_P_57</vt:lpstr>
      <vt:lpstr>FHD_NUM_P_58</vt:lpstr>
      <vt:lpstr>FHD_NUM_P_59</vt:lpstr>
      <vt:lpstr>FHD_NUM_P_6</vt:lpstr>
      <vt:lpstr>FHD_NUM_P_60</vt:lpstr>
      <vt:lpstr>FHD_NUM_P_61</vt:lpstr>
      <vt:lpstr>FHD_NUM_P_62</vt:lpstr>
      <vt:lpstr>FHD_NUM_P_63</vt:lpstr>
      <vt:lpstr>FHD_NUM_P_64</vt:lpstr>
      <vt:lpstr>FHD_NUM_P_65</vt:lpstr>
      <vt:lpstr>FHD_NUM_P_66</vt:lpstr>
      <vt:lpstr>FHD_NUM_P_67</vt:lpstr>
      <vt:lpstr>FHD_NUM_P_68</vt:lpstr>
      <vt:lpstr>FHD_NUM_P_69</vt:lpstr>
      <vt:lpstr>FHD_NUM_P_7</vt:lpstr>
      <vt:lpstr>FHD_NUM_P_70</vt:lpstr>
      <vt:lpstr>FHD_NUM_P_71</vt:lpstr>
      <vt:lpstr>FHD_NUM_P_72</vt:lpstr>
      <vt:lpstr>FHD_NUM_P_73</vt:lpstr>
      <vt:lpstr>FHD_NUM_P_74</vt:lpstr>
      <vt:lpstr>FHD_NUM_P_75</vt:lpstr>
      <vt:lpstr>FHD_NUM_P_76</vt:lpstr>
      <vt:lpstr>FHD_NUM_P_77</vt:lpstr>
      <vt:lpstr>FHD_NUM_P_78</vt:lpstr>
      <vt:lpstr>FHD_NUM_P_79</vt:lpstr>
      <vt:lpstr>FHD_NUM_P_8</vt:lpstr>
      <vt:lpstr>FHD_NUM_P_80</vt:lpstr>
      <vt:lpstr>FHD_NUM_P_81</vt:lpstr>
      <vt:lpstr>FHD_NUM_P_82</vt:lpstr>
      <vt:lpstr>FHD_NUM_P_83</vt:lpstr>
      <vt:lpstr>FHD_NUM_P_84</vt:lpstr>
      <vt:lpstr>FHD_NUM_P_9</vt:lpstr>
      <vt:lpstr>FHD_NUM_P_A</vt:lpstr>
      <vt:lpstr>FHD_P_1</vt:lpstr>
      <vt:lpstr>FHD_P_10</vt:lpstr>
      <vt:lpstr>FHD_P_11</vt:lpstr>
      <vt:lpstr>FHD_P_12</vt:lpstr>
      <vt:lpstr>FHD_P_13</vt:lpstr>
      <vt:lpstr>FHD_P_14</vt:lpstr>
      <vt:lpstr>FHD_P_15</vt:lpstr>
      <vt:lpstr>FHD_P_16</vt:lpstr>
      <vt:lpstr>FHD_P_17</vt:lpstr>
      <vt:lpstr>FHD_P_18</vt:lpstr>
      <vt:lpstr>FHD_P_19</vt:lpstr>
      <vt:lpstr>FHD_P_2</vt:lpstr>
      <vt:lpstr>FHD_P_20</vt:lpstr>
      <vt:lpstr>FHD_P_21</vt:lpstr>
      <vt:lpstr>FHD_P_22</vt:lpstr>
      <vt:lpstr>FHD_P_23</vt:lpstr>
      <vt:lpstr>FHD_P_24</vt:lpstr>
      <vt:lpstr>FHD_P_25</vt:lpstr>
      <vt:lpstr>FHD_P_26</vt:lpstr>
      <vt:lpstr>FHD_P_27</vt:lpstr>
      <vt:lpstr>FHD_P_28</vt:lpstr>
      <vt:lpstr>FHD_P_29</vt:lpstr>
      <vt:lpstr>FHD_P_3</vt:lpstr>
      <vt:lpstr>FHD_P_30</vt:lpstr>
      <vt:lpstr>FHD_P_31</vt:lpstr>
      <vt:lpstr>FHD_P_32</vt:lpstr>
      <vt:lpstr>FHD_P_33</vt:lpstr>
      <vt:lpstr>FHD_P_34</vt:lpstr>
      <vt:lpstr>FHD_P_35</vt:lpstr>
      <vt:lpstr>FHD_P_36</vt:lpstr>
      <vt:lpstr>FHD_P_37</vt:lpstr>
      <vt:lpstr>FHD_P_38</vt:lpstr>
      <vt:lpstr>FHD_P_39</vt:lpstr>
      <vt:lpstr>FHD_P_4</vt:lpstr>
      <vt:lpstr>FHD_P_40</vt:lpstr>
      <vt:lpstr>FHD_P_41</vt:lpstr>
      <vt:lpstr>FHD_P_42</vt:lpstr>
      <vt:lpstr>FHD_P_43</vt:lpstr>
      <vt:lpstr>FHD_P_44</vt:lpstr>
      <vt:lpstr>FHD_P_45</vt:lpstr>
      <vt:lpstr>FHD_P_46</vt:lpstr>
      <vt:lpstr>FHD_P_47</vt:lpstr>
      <vt:lpstr>FHD_P_48</vt:lpstr>
      <vt:lpstr>FHD_P_49</vt:lpstr>
      <vt:lpstr>FHD_P_5</vt:lpstr>
      <vt:lpstr>FHD_P_50</vt:lpstr>
      <vt:lpstr>FHD_P_51</vt:lpstr>
      <vt:lpstr>FHD_P_52</vt:lpstr>
      <vt:lpstr>FHD_P_53</vt:lpstr>
      <vt:lpstr>FHD_P_54</vt:lpstr>
      <vt:lpstr>FHD_P_55</vt:lpstr>
      <vt:lpstr>FHD_P_56</vt:lpstr>
      <vt:lpstr>FHD_P_57</vt:lpstr>
      <vt:lpstr>FHD_P_58</vt:lpstr>
      <vt:lpstr>FHD_P_59</vt:lpstr>
      <vt:lpstr>FHD_P_6</vt:lpstr>
      <vt:lpstr>FHD_P_60</vt:lpstr>
      <vt:lpstr>FHD_P_61</vt:lpstr>
      <vt:lpstr>FHD_P_62</vt:lpstr>
      <vt:lpstr>FHD_P_63</vt:lpstr>
      <vt:lpstr>FHD_P_64</vt:lpstr>
      <vt:lpstr>FHD_P_65</vt:lpstr>
      <vt:lpstr>FHD_P_66</vt:lpstr>
      <vt:lpstr>FHD_P_67</vt:lpstr>
      <vt:lpstr>FHD_P_68</vt:lpstr>
      <vt:lpstr>FHD_P_69</vt:lpstr>
      <vt:lpstr>FHD_P_7</vt:lpstr>
      <vt:lpstr>FHD_P_70</vt:lpstr>
      <vt:lpstr>FHD_P_71</vt:lpstr>
      <vt:lpstr>FHD_P_72</vt:lpstr>
      <vt:lpstr>FHD_P_73</vt:lpstr>
      <vt:lpstr>FHD_P_74</vt:lpstr>
      <vt:lpstr>FHD_P_75</vt:lpstr>
      <vt:lpstr>FHD_P_76</vt:lpstr>
      <vt:lpstr>FHD_P_77</vt:lpstr>
      <vt:lpstr>FHD_P_78</vt:lpstr>
      <vt:lpstr>FHD_P_79</vt:lpstr>
      <vt:lpstr>FHD_P_8</vt:lpstr>
      <vt:lpstr>FHD_P_80</vt:lpstr>
      <vt:lpstr>FHD_P_81</vt:lpstr>
      <vt:lpstr>FHD_P_82</vt:lpstr>
      <vt:lpstr>FHD_P_83</vt:lpstr>
      <vt:lpstr>FHD_P_84</vt:lpstr>
      <vt:lpstr>FHD_P_9</vt:lpstr>
      <vt:lpstr>FHD_P_A</vt:lpstr>
      <vt:lpstr>FHD20_NAME_FORM</vt:lpstr>
      <vt:lpstr>fil</vt:lpstr>
      <vt:lpstr>flag_Q_LIMIT_p3</vt:lpstr>
      <vt:lpstr>flag_Q_LIMIT_p4</vt:lpstr>
      <vt:lpstr>HEAT_FIN_SRC_LIST</vt:lpstr>
      <vt:lpstr>HEAT_FIN_SRC_VLD_LIST</vt:lpstr>
      <vt:lpstr>HEAT_IP_EVENT_CI_STAGE_LIST</vt:lpstr>
      <vt:lpstr>HEAT_IP_EVENT_GROUP_LIST</vt:lpstr>
      <vt:lpstr>HEAT_IP_EVENT_SUBGROUP_1_LIST</vt:lpstr>
      <vt:lpstr>HEAT_IP_EVENT_SUBGROUP_3_LIST</vt:lpstr>
      <vt:lpstr>HEAT_IP_EVENT_SUBGROUP_5_LIST</vt:lpstr>
      <vt:lpstr>HEAT_IP_EVENT_TYPE_LIST</vt:lpstr>
      <vt:lpstr>HEAT_PT_SCHEME</vt:lpstr>
      <vt:lpstr>HEAT_PT_TARIFF_ID</vt:lpstr>
      <vt:lpstr>HEAT_PT_TARIFF_NAME</vt:lpstr>
      <vt:lpstr>HEAT_PT_TARIFF_NAME_LIST</vt:lpstr>
      <vt:lpstr>HEAT_PT_VED_ID</vt:lpstr>
      <vt:lpstr>HEAT_PT_VED_NAME</vt:lpstr>
      <vt:lpstr>HEAT_PT_VED_NAME_LIST</vt:lpstr>
      <vt:lpstr>HEAT_TARIFF_A_ADD_HL_COLUMN_MARKER</vt:lpstr>
      <vt:lpstr>HEAT_TARIFF_A_DEL_HL_GC_COLUMN_MARKER</vt:lpstr>
      <vt:lpstr>HEAT_TARIFF_A_DEL_HL_SCHEME_COLUMN_MARKER</vt:lpstr>
      <vt:lpstr>HEAT_TARIFF_A_DEL_HL_TN_COLUMN_MARKER</vt:lpstr>
      <vt:lpstr>HEAT_TARIFF_A_DELETE_PERIOD_ROW_MARKER</vt:lpstr>
      <vt:lpstr>HEAT_TARIFF_A_FLAG_BLOCK_COLUMN_MARKER</vt:lpstr>
      <vt:lpstr>HEAT_TARIFF_A_FLAG_BLOCK_ROW_MARKER</vt:lpstr>
      <vt:lpstr>HEAT_TARIFF_A_NUM_CS_COLUMN_MARKER</vt:lpstr>
      <vt:lpstr>HEAT_TARIFF_A_NUM_GC_COLUMN_MARKER</vt:lpstr>
      <vt:lpstr>HEAT_TARIFF_A_NUM_IST_TE_COLUMN_MARKER</vt:lpstr>
      <vt:lpstr>HEAT_TARIFF_A_NUM_NTAR_COLUMN_MARKER</vt:lpstr>
      <vt:lpstr>HEAT_TARIFF_A_NUM_SCHEME_COLUMN_MARKER</vt:lpstr>
      <vt:lpstr>HEAT_TARIFF_A_NUM_TER_COLUMN_MARKER</vt:lpstr>
      <vt:lpstr>HEAT_TARIFF_A_NUM_TN_COLUMN_MARKER</vt:lpstr>
      <vt:lpstr>HEAT_TARIFF_B_ADD_HL_COLUMN_MARKER</vt:lpstr>
      <vt:lpstr>HEAT_TARIFF_B_DEL_HL_GC_COLUMN_MARKER</vt:lpstr>
      <vt:lpstr>HEAT_TARIFF_B_DEL_HL_SCHEME_COLUMN_MARKER</vt:lpstr>
      <vt:lpstr>HEAT_TARIFF_B_DEL_HL_TN_COLUMN_MARKER</vt:lpstr>
      <vt:lpstr>HEAT_TARIFF_B_DELETE_PERIOD_ROW_MARKER</vt:lpstr>
      <vt:lpstr>HEAT_TARIFF_B_FLAG_BLOCK_COLUMN_MARKER</vt:lpstr>
      <vt:lpstr>HEAT_TARIFF_B_FLAG_BLOCK_ROW_MARKER</vt:lpstr>
      <vt:lpstr>HEAT_TARIFF_B_NUM_CS_COLUMN_MARKER</vt:lpstr>
      <vt:lpstr>HEAT_TARIFF_B_NUM_GC_COLUMN_MARKER</vt:lpstr>
      <vt:lpstr>HEAT_TARIFF_B_NUM_IST_TE_COLUMN_MARKER</vt:lpstr>
      <vt:lpstr>HEAT_TARIFF_B_NUM_NTAR_COLUMN_MARKER</vt:lpstr>
      <vt:lpstr>HEAT_TARIFF_B_NUM_SCHEME_COLUMN_MARKER</vt:lpstr>
      <vt:lpstr>HEAT_TARIFF_B_NUM_TER_COLUMN_MARKER</vt:lpstr>
      <vt:lpstr>HEAT_TARIFF_B_NUM_TN_COLUMN_MARKER</vt:lpstr>
      <vt:lpstr>HEAT_TARIFF_C_ADD_HL_COLUMN_MARKER</vt:lpstr>
      <vt:lpstr>HEAT_TARIFF_C_DEL_HL_GC_COLUMN_MARKER</vt:lpstr>
      <vt:lpstr>HEAT_TARIFF_C_DEL_HL_SCHEME_COLUMN_MARKER</vt:lpstr>
      <vt:lpstr>HEAT_TARIFF_C_DEL_HL_TN_COLUMN_MARKER</vt:lpstr>
      <vt:lpstr>HEAT_TARIFF_C_DELETE_PERIOD_ROW_MARKER</vt:lpstr>
      <vt:lpstr>HEAT_TARIFF_C_FLAG_BLOCK_COLUMN_MARKER</vt:lpstr>
      <vt:lpstr>HEAT_TARIFF_C_FLAG_BLOCK_ROW_MARKER</vt:lpstr>
      <vt:lpstr>HEAT_TARIFF_C_NUM_CS_COLUMN_MARKER</vt:lpstr>
      <vt:lpstr>HEAT_TARIFF_C_NUM_GC_COLUMN_MARKER</vt:lpstr>
      <vt:lpstr>HEAT_TARIFF_C_NUM_IST_TE_COLUMN_MARKER</vt:lpstr>
      <vt:lpstr>HEAT_TARIFF_C_NUM_NTAR_COLUMN_MARKER</vt:lpstr>
      <vt:lpstr>HEAT_TARIFF_C_NUM_SCHEME_COLUMN_MARKER</vt:lpstr>
      <vt:lpstr>HEAT_TARIFF_C_NUM_TER_COLUMN_MARKER</vt:lpstr>
      <vt:lpstr>HEAT_TARIFF_C_NUM_TN_COLUMN_MARKER</vt:lpstr>
      <vt:lpstr>HEAT_TARIFF_D_ADD_HL_COLUMN_MARKER</vt:lpstr>
      <vt:lpstr>HEAT_TARIFF_D_DEL_HL_CONS_COLUMN_MARKER</vt:lpstr>
      <vt:lpstr>HEAT_TARIFF_D_DEL_HL_GC_COLUMN_MARKER</vt:lpstr>
      <vt:lpstr>HEAT_TARIFF_D_DEL_HL_SCHEME_COLUMN_MARKER</vt:lpstr>
      <vt:lpstr>HEAT_TARIFF_D_DEL_HL_TN_COLUMN_MARKER</vt:lpstr>
      <vt:lpstr>HEAT_TARIFF_D_DELETE_PERIOD_ROW_MARKER</vt:lpstr>
      <vt:lpstr>HEAT_TARIFF_D_FLAG_BLOCK_COLUMN_MARKER</vt:lpstr>
      <vt:lpstr>HEAT_TARIFF_D_FLAG_BLOCK_ROW_MARKER</vt:lpstr>
      <vt:lpstr>HEAT_TARIFF_D_NUM_CONS_COLUMN_MARKER</vt:lpstr>
      <vt:lpstr>HEAT_TARIFF_D_NUM_CS_COLUMN_MARKER</vt:lpstr>
      <vt:lpstr>HEAT_TARIFF_D_NUM_GC_COLUMN_MARKER</vt:lpstr>
      <vt:lpstr>HEAT_TARIFF_D_NUM_IST_TE_COLUMN_MARKER</vt:lpstr>
      <vt:lpstr>HEAT_TARIFF_D_NUM_NTAR_COLUMN_MARKER</vt:lpstr>
      <vt:lpstr>HEAT_TARIFF_D_NUM_SCHEME_COLUMN_MARKER</vt:lpstr>
      <vt:lpstr>HEAT_TARIFF_D_NUM_TER_COLUMN_MARKER</vt:lpstr>
      <vt:lpstr>HEAT_TARIFF_D_NUM_TN_COLUMN_MARKER</vt:lpstr>
      <vt:lpstr>HEAT_TARIFF_E1_ADD_HL_COLUMN_MARKER</vt:lpstr>
      <vt:lpstr>HEAT_TARIFF_E1_DEL_HL_GC_COLUMN_MARKER</vt:lpstr>
      <vt:lpstr>HEAT_TARIFF_E1_DEL_HL_SCHEME_COLUMN_MARKER</vt:lpstr>
      <vt:lpstr>HEAT_TARIFF_E1_DEL_HL_TN_COLUMN_MARKER</vt:lpstr>
      <vt:lpstr>HEAT_TARIFF_E1_DELETE_PERIOD_ROW_MARKER</vt:lpstr>
      <vt:lpstr>HEAT_TARIFF_E1_FLAG_BLOCK_COLUMN_MARKER</vt:lpstr>
      <vt:lpstr>HEAT_TARIFF_E1_FLAG_BLOCK_ROW_MARKER</vt:lpstr>
      <vt:lpstr>HEAT_TARIFF_E1_NUM_CS_COLUMN_MARKER</vt:lpstr>
      <vt:lpstr>HEAT_TARIFF_E1_NUM_GC_COLUMN_MARKER</vt:lpstr>
      <vt:lpstr>HEAT_TARIFF_E1_NUM_IST_TE_COLUMN_MARKER</vt:lpstr>
      <vt:lpstr>HEAT_TARIFF_E1_NUM_NTAR_COLUMN_MARKER</vt:lpstr>
      <vt:lpstr>HEAT_TARIFF_E1_NUM_SCHEME_COLUMN_MARKER</vt:lpstr>
      <vt:lpstr>HEAT_TARIFF_E1_NUM_TER_COLUMN_MARKER</vt:lpstr>
      <vt:lpstr>HEAT_TARIFF_E1_NUM_TN_COLUMN_MARKER</vt:lpstr>
      <vt:lpstr>HEAT_TARIFF_E2_ADD_HL_COLUMN_MARKER</vt:lpstr>
      <vt:lpstr>HEAT_TARIFF_E2_DEL_HL_GC_COLUMN_MARKER</vt:lpstr>
      <vt:lpstr>HEAT_TARIFF_E2_DEL_HL_SCHEME_COLUMN_MARKER</vt:lpstr>
      <vt:lpstr>HEAT_TARIFF_E2_DEL_HL_TN_COLUMN_MARKER</vt:lpstr>
      <vt:lpstr>HEAT_TARIFF_E2_DELETE_PERIOD_ROW_MARKER</vt:lpstr>
      <vt:lpstr>HEAT_TARIFF_E2_FLAG_BLOCK_COLUMN_MARKER</vt:lpstr>
      <vt:lpstr>HEAT_TARIFF_E2_FLAG_BLOCK_ROW_MARKER</vt:lpstr>
      <vt:lpstr>HEAT_TARIFF_E2_NUM_CS_COLUMN_MARKER</vt:lpstr>
      <vt:lpstr>HEAT_TARIFF_E2_NUM_GC_COLUMN_MARKER</vt:lpstr>
      <vt:lpstr>HEAT_TARIFF_E2_NUM_IST_TE_COLUMN_MARKER</vt:lpstr>
      <vt:lpstr>HEAT_TARIFF_E2_NUM_NTAR_COLUMN_MARKER</vt:lpstr>
      <vt:lpstr>HEAT_TARIFF_E2_NUM_SCHEME_COLUMN_MARKER</vt:lpstr>
      <vt:lpstr>HEAT_TARIFF_E2_NUM_TER_COLUMN_MARKER</vt:lpstr>
      <vt:lpstr>HEAT_TARIFF_E2_NUM_TN_COLUMN_MARKER</vt:lpstr>
      <vt:lpstr>HEAT_TARIFF_F_ADD_HL_COLUMN_MARKER</vt:lpstr>
      <vt:lpstr>HEAT_TARIFF_F_DEL_HL_GC_COLUMN_MARKER</vt:lpstr>
      <vt:lpstr>HEAT_TARIFF_F_DEL_HL_SCHEME_COLUMN_MARKER</vt:lpstr>
      <vt:lpstr>HEAT_TARIFF_F_DEL_HL_TN_COLUMN_MARKER</vt:lpstr>
      <vt:lpstr>HEAT_TARIFF_F_DELETE_PERIOD_ROW_MARKER</vt:lpstr>
      <vt:lpstr>HEAT_TARIFF_F_FLAG_BLOCK_COLUMN_MARKER</vt:lpstr>
      <vt:lpstr>HEAT_TARIFF_F_FLAG_BLOCK_ROW_MARKER</vt:lpstr>
      <vt:lpstr>HEAT_TARIFF_F_NUM_CS_COLUMN_MARKER</vt:lpstr>
      <vt:lpstr>HEAT_TARIFF_F_NUM_GC_COLUMN_MARKER</vt:lpstr>
      <vt:lpstr>HEAT_TARIFF_F_NUM_IST_TE_COLUMN_MARKER</vt:lpstr>
      <vt:lpstr>HEAT_TARIFF_F_NUM_NTAR_COLUMN_MARKER</vt:lpstr>
      <vt:lpstr>HEAT_TARIFF_F_NUM_SCHEME_COLUMN_MARKER</vt:lpstr>
      <vt:lpstr>HEAT_TARIFF_F_NUM_TER_COLUMN_MARKER</vt:lpstr>
      <vt:lpstr>HEAT_TARIFF_F_NUM_TN_COLUMN_MARKER</vt:lpstr>
      <vt:lpstr>HEAT_TARIFF_G_ADD_HL_COLUMN_MARKER</vt:lpstr>
      <vt:lpstr>HEAT_TARIFF_G_ADD_HL_DIAMETERS_COLUMN_MARKER</vt:lpstr>
      <vt:lpstr>HEAT_TARIFF_G_ADD_HL_LOAD_COLUMN_MARKER</vt:lpstr>
      <vt:lpstr>HEAT_TARIFF_G_ADD_HL_NETS_COLUMN_MARKER</vt:lpstr>
      <vt:lpstr>HEAT_TARIFF_G_DEL_HL_DIAMETERS_COLUMN_MARKER</vt:lpstr>
      <vt:lpstr>HEAT_TARIFF_G_DEL_HL_GC_COLUMN_MARKER</vt:lpstr>
      <vt:lpstr>HEAT_TARIFF_G_DEL_HL_LOAD_COLUMN_MARKER</vt:lpstr>
      <vt:lpstr>HEAT_TARIFF_G_DEL_HL_NETS_COLUMN_MARKER</vt:lpstr>
      <vt:lpstr>HEAT_TARIFF_G_DEL_HL_SCHEME_COLUMN_MARKER</vt:lpstr>
      <vt:lpstr>HEAT_TARIFF_G_DEL_HL_TN_COLUMN_MARKER</vt:lpstr>
      <vt:lpstr>HEAT_TARIFF_G_DELETE_PERIOD_ROW_MARKER</vt:lpstr>
      <vt:lpstr>HEAT_TARIFF_G_FLAG_BLOCK_COLUMN_MARKER</vt:lpstr>
      <vt:lpstr>HEAT_TARIFF_G_FLAG_BLOCK_ROW_MARKER</vt:lpstr>
      <vt:lpstr>HEAT_TARIFF_G_NUM_CS_COLUMN_MARKER</vt:lpstr>
      <vt:lpstr>HEAT_TARIFF_G_NUM_DIAMETERS_COLUMN_MARKER</vt:lpstr>
      <vt:lpstr>HEAT_TARIFF_G_NUM_GC_COLUMN_MARKER</vt:lpstr>
      <vt:lpstr>HEAT_TARIFF_G_NUM_IST_TE_COLUMN_MARKER</vt:lpstr>
      <vt:lpstr>HEAT_TARIFF_G_NUM_LOAD_COLUMN_MARKER</vt:lpstr>
      <vt:lpstr>HEAT_TARIFF_G_NUM_NETS_COLUMN_MARKER</vt:lpstr>
      <vt:lpstr>HEAT_TARIFF_G_NUM_NTAR_COLUMN_MARKER</vt:lpstr>
      <vt:lpstr>HEAT_TARIFF_G_NUM_SCHEME_COLUMN_MARKER</vt:lpstr>
      <vt:lpstr>HEAT_TARIFF_G_NUM_TER_COLUMN_MARKER</vt:lpstr>
      <vt:lpstr>HEAT_TARIFF_G_NUM_TN_COLUMN_MARKER</vt:lpstr>
      <vt:lpstr>HEAT_TARIFF_H_ADD_HL_COLUMN_MARKER</vt:lpstr>
      <vt:lpstr>HEAT_TARIFF_H_ADD_HL_DIAMETERS_COLUMN_MARKER</vt:lpstr>
      <vt:lpstr>HEAT_TARIFF_H_ADD_HL_LOAD_COLUMN_MARKER</vt:lpstr>
      <vt:lpstr>HEAT_TARIFF_H_ADD_HL_NETS_COLUMN_MARKER</vt:lpstr>
      <vt:lpstr>HEAT_TARIFF_H_DEL_HL_DIAMETERS_COLUMN_MARKER</vt:lpstr>
      <vt:lpstr>HEAT_TARIFF_H_DEL_HL_GC_COLUMN_MARKER</vt:lpstr>
      <vt:lpstr>HEAT_TARIFF_H_DEL_HL_LOAD_COLUMN_MARKER</vt:lpstr>
      <vt:lpstr>HEAT_TARIFF_H_DEL_HL_NETS_COLUMN_MARKER</vt:lpstr>
      <vt:lpstr>HEAT_TARIFF_H_DEL_HL_SCHEME_COLUMN_MARKER</vt:lpstr>
      <vt:lpstr>HEAT_TARIFF_H_DEL_HL_TN_COLUMN_MARKER</vt:lpstr>
      <vt:lpstr>HEAT_TARIFF_H_DELETE_PERIOD_ROW_MARKER</vt:lpstr>
      <vt:lpstr>HEAT_TARIFF_H_FLAG_BLOCK_COLUMN_MARKER</vt:lpstr>
      <vt:lpstr>HEAT_TARIFF_H_FLAG_BLOCK_ROW_MARKER</vt:lpstr>
      <vt:lpstr>HEAT_TARIFF_H_NUM_CS_COLUMN_MARKER</vt:lpstr>
      <vt:lpstr>HEAT_TARIFF_H_NUM_DIAMETERS_COLUMN_MARKER</vt:lpstr>
      <vt:lpstr>HEAT_TARIFF_H_NUM_GC_COLUMN_MARKER</vt:lpstr>
      <vt:lpstr>HEAT_TARIFF_H_NUM_IST_TE_COLUMN_MARKER</vt:lpstr>
      <vt:lpstr>HEAT_TARIFF_H_NUM_LOAD_COLUMN_MARKER</vt:lpstr>
      <vt:lpstr>HEAT_TARIFF_H_NUM_NETS_COLUMN_MARKER</vt:lpstr>
      <vt:lpstr>HEAT_TARIFF_H_NUM_NTAR_COLUMN_MARKER</vt:lpstr>
      <vt:lpstr>HEAT_TARIFF_H_NUM_SCHEME_COLUMN_MARKER</vt:lpstr>
      <vt:lpstr>HEAT_TARIFF_H_NUM_TER_COLUMN_MARKER</vt:lpstr>
      <vt:lpstr>HEAT_TARIFF_H_NUM_TN_COLUMN_MARKER</vt:lpstr>
      <vt:lpstr>HEAT_TARIFF_I_1_ADD_HL_COLUMN_MARKER</vt:lpstr>
      <vt:lpstr>HEAT_TARIFF_I_1_DEL_HL_GC_COLUMN_MARKER</vt:lpstr>
      <vt:lpstr>HEAT_TARIFF_I_1_DEL_HL_SCHEME_COLUMN_MARKER</vt:lpstr>
      <vt:lpstr>HEAT_TARIFF_I_1_DEL_HL_TN_COLUMN_MARKER</vt:lpstr>
      <vt:lpstr>HEAT_TARIFF_I_1_DELETE_PERIOD_ROW_MARKER</vt:lpstr>
      <vt:lpstr>HEAT_TARIFF_I_1_FLAG_BLOCK_COLUMN_MARKER</vt:lpstr>
      <vt:lpstr>HEAT_TARIFF_I_1_FLAG_BLOCK_ROW_MARKER</vt:lpstr>
      <vt:lpstr>HEAT_TARIFF_I_1_NUM_CS_COLUMN_MARKER</vt:lpstr>
      <vt:lpstr>HEAT_TARIFF_I_1_NUM_GC_COLUMN_MARKER</vt:lpstr>
      <vt:lpstr>HEAT_TARIFF_I_1_NUM_IST_TE_COLUMN_MARKER</vt:lpstr>
      <vt:lpstr>HEAT_TARIFF_I_1_NUM_NTAR_COLUMN_MARKER</vt:lpstr>
      <vt:lpstr>HEAT_TARIFF_I_1_NUM_SCHEME_COLUMN_MARKER</vt:lpstr>
      <vt:lpstr>HEAT_TARIFF_I_1_NUM_TER_COLUMN_MARKER</vt:lpstr>
      <vt:lpstr>HEAT_TARIFF_I_1_NUM_TN_COLUMN_MARKER</vt:lpstr>
      <vt:lpstr>HEAT_TARIFF_I_ADD_HL_COLUMN_MARKER</vt:lpstr>
      <vt:lpstr>HEAT_TARIFF_I_DEL_HL_GC_COLUMN_MARKER</vt:lpstr>
      <vt:lpstr>HEAT_TARIFF_I_DEL_HL_SCHEME_COLUMN_MARKER</vt:lpstr>
      <vt:lpstr>HEAT_TARIFF_I_DEL_HL_TN_COLUMN_MARKER</vt:lpstr>
      <vt:lpstr>HEAT_TARIFF_I_DELETE_PERIOD_ROW_MARKER</vt:lpstr>
      <vt:lpstr>HEAT_TARIFF_I_FLAG_BLOCK_COLUMN_MARKER</vt:lpstr>
      <vt:lpstr>HEAT_TARIFF_I_FLAG_BLOCK_ROW_MARKER</vt:lpstr>
      <vt:lpstr>HEAT_TARIFF_I_NUM_CS_COLUMN_MARKER</vt:lpstr>
      <vt:lpstr>HEAT_TARIFF_I_NUM_GC_COLUMN_MARKER</vt:lpstr>
      <vt:lpstr>HEAT_TARIFF_I_NUM_IST_TE_COLUMN_MARKER</vt:lpstr>
      <vt:lpstr>HEAT_TARIFF_I_NUM_NTAR_COLUMN_MARKER</vt:lpstr>
      <vt:lpstr>HEAT_TARIFF_I_NUM_SCHEME_COLUMN_MARKER</vt:lpstr>
      <vt:lpstr>HEAT_TARIFF_I_NUM_TER_COLUMN_MARKER</vt:lpstr>
      <vt:lpstr>HEAT_TARIFF_I_NUM_TN_COLUMN_MARKER</vt:lpstr>
      <vt:lpstr>HOTVSNA_FIN_SRC_LIST</vt:lpstr>
      <vt:lpstr>HOTVSNA_FIN_SRC_VLD_LIST</vt:lpstr>
      <vt:lpstr>HOTVSNA_IP_EVENT_CI_STAGE_LIST</vt:lpstr>
      <vt:lpstr>HOTVSNA_IP_EVENT_GROUP_LIST</vt:lpstr>
      <vt:lpstr>HOTVSNA_IP_EVENT_SUBGROUP_1_LIST</vt:lpstr>
      <vt:lpstr>HOTVSNA_IP_EVENT_SUBGROUP_3_LIST</vt:lpstr>
      <vt:lpstr>HOTVSNA_IP_EVENT_SUBGROUP_5_LIST</vt:lpstr>
      <vt:lpstr>HOTVSNA_IP_EVENT_TYPE_LIST</vt:lpstr>
      <vt:lpstr>HOTVSNA_PT_VED_ID</vt:lpstr>
      <vt:lpstr>HOTVSNA_PT_VED_NAME</vt:lpstr>
      <vt:lpstr>HOTVSNA_PT_VED_NAME_LIST</vt:lpstr>
      <vt:lpstr>HOTVSNA_TARIFF_A_HOTVSNA_ADD_HL_COLUMN_MARKER</vt:lpstr>
      <vt:lpstr>HOTVSNA_TARIFF_A_HOTVSNA_DEL_HL_DATA_DIFF_COLUMN_MARKER</vt:lpstr>
      <vt:lpstr>HOTVSNA_TARIFF_A_HOTVSNA_DEL_HL_FLAG_DIFF_COLUMN_MARKER</vt:lpstr>
      <vt:lpstr>HOTVSNA_TARIFF_A_HOTVSNA_DEL_HL_GC_COLUMN_MARKER</vt:lpstr>
      <vt:lpstr>HOTVSNA_TARIFF_A_HOTVSNA_DELETE_PERIOD_ROW_MARKER</vt:lpstr>
      <vt:lpstr>HOTVSNA_TARIFF_A_HOTVSNA_FLAG_BLOCK_COLUMN_MARKER</vt:lpstr>
      <vt:lpstr>HOTVSNA_TARIFF_A_HOTVSNA_FLAG_BLOCK_ROW_MARKER</vt:lpstr>
      <vt:lpstr>HOTVSNA_TARIFF_A_HOTVSNA_NUM_CS_COLUMN_MARKER</vt:lpstr>
      <vt:lpstr>HOTVSNA_TARIFF_A_HOTVSNA_NUM_DATA_DIFF_COLUMN_MARKER</vt:lpstr>
      <vt:lpstr>HOTVSNA_TARIFF_A_HOTVSNA_NUM_FLAG_DIFF_COLUMN_MARKER</vt:lpstr>
      <vt:lpstr>HOTVSNA_TARIFF_A_HOTVSNA_NUM_GC_COLUMN_MARKER</vt:lpstr>
      <vt:lpstr>HOTVSNA_TARIFF_A_HOTVSNA_NUM_NTAR_COLUMN_MARKER</vt:lpstr>
      <vt:lpstr>HOTVSNA_TARIFF_A_HOTVSNA_NUM_TER_COLUMN_MARKER</vt:lpstr>
      <vt:lpstr>HOTVSNA_TARIFF_B_HOTVSNA_ADD_HL_COLUMN_MARKER</vt:lpstr>
      <vt:lpstr>HOTVSNA_TARIFF_B_HOTVSNA_DEL_HL_DATA_DIFF_COLUMN_MARKER</vt:lpstr>
      <vt:lpstr>HOTVSNA_TARIFF_B_HOTVSNA_DEL_HL_FLAG_DIFF_COLUMN_MARKER</vt:lpstr>
      <vt:lpstr>HOTVSNA_TARIFF_B_HOTVSNA_DEL_HL_GC_COLUMN_MARKER</vt:lpstr>
      <vt:lpstr>HOTVSNA_TARIFF_B_HOTVSNA_DELETE_PERIOD_ROW_MARKER</vt:lpstr>
      <vt:lpstr>HOTVSNA_TARIFF_B_HOTVSNA_FLAG_BLOCK_COLUMN_MARKER</vt:lpstr>
      <vt:lpstr>HOTVSNA_TARIFF_B_HOTVSNA_FLAG_BLOCK_ROW_MARKER</vt:lpstr>
      <vt:lpstr>HOTVSNA_TARIFF_B_HOTVSNA_NUM_CS_COLUMN_MARKER</vt:lpstr>
      <vt:lpstr>HOTVSNA_TARIFF_B_HOTVSNA_NUM_DATA_DIFF_COLUMN_MARKER</vt:lpstr>
      <vt:lpstr>HOTVSNA_TARIFF_B_HOTVSNA_NUM_FLAG_DIFF_COLUMN_MARKER</vt:lpstr>
      <vt:lpstr>HOTVSNA_TARIFF_B_HOTVSNA_NUM_GC_COLUMN_MARKER</vt:lpstr>
      <vt:lpstr>HOTVSNA_TARIFF_B_HOTVSNA_NUM_NTAR_COLUMN_MARKER</vt:lpstr>
      <vt:lpstr>HOTVSNA_TARIFF_B_HOTVSNA_NUM_TER_COLUMN_MARKER</vt:lpstr>
      <vt:lpstr>HOTVSNA_TARIFF_C_HOTVSNA_ADD_HL_COLUMN_MARKER</vt:lpstr>
      <vt:lpstr>HOTVSNA_TARIFF_C_HOTVSNA_ADD_HL_DIAMETERS_COLUMN_MARKER</vt:lpstr>
      <vt:lpstr>HOTVSNA_TARIFF_C_HOTVSNA_ADD_HL_LEN_COLUMN_MARKER</vt:lpstr>
      <vt:lpstr>HOTVSNA_TARIFF_C_HOTVSNA_ADD_HL_LOAD_COLUMN_MARKER</vt:lpstr>
      <vt:lpstr>HOTVSNA_TARIFF_C_HOTVSNA_ADD_HL_NETS_COLUMN_MARKER</vt:lpstr>
      <vt:lpstr>HOTVSNA_TARIFF_C_HOTVSNA_DEL_HL_DATA_DIFF_COLUMN_MARKER</vt:lpstr>
      <vt:lpstr>HOTVSNA_TARIFF_C_HOTVSNA_DEL_HL_DIAMETERS_COLUMN_MARKER</vt:lpstr>
      <vt:lpstr>HOTVSNA_TARIFF_C_HOTVSNA_DEL_HL_FLAG_DIFF_COLUMN_MARKER</vt:lpstr>
      <vt:lpstr>HOTVSNA_TARIFF_C_HOTVSNA_DEL_HL_GC_COLUMN_MARKER</vt:lpstr>
      <vt:lpstr>HOTVSNA_TARIFF_C_HOTVSNA_DEL_HL_LEN_COLUMN_MARKER</vt:lpstr>
      <vt:lpstr>HOTVSNA_TARIFF_C_HOTVSNA_DEL_HL_LOAD_COLUMN_MARKER</vt:lpstr>
      <vt:lpstr>HOTVSNA_TARIFF_C_HOTVSNA_DEL_HL_NETS_COLUMN_MARKER</vt:lpstr>
      <vt:lpstr>HOTVSNA_TARIFF_C_HOTVSNA_DELETE_PERIOD_ROW_MARKER</vt:lpstr>
      <vt:lpstr>HOTVSNA_TARIFF_C_HOTVSNA_FLAG_BLOCK_COLUMN_MARKER</vt:lpstr>
      <vt:lpstr>HOTVSNA_TARIFF_C_HOTVSNA_FLAG_BLOCK_ROW_MARKER</vt:lpstr>
      <vt:lpstr>HOTVSNA_TARIFF_C_HOTVSNA_NUM_CS_COLUMN_MARKER</vt:lpstr>
      <vt:lpstr>HOTVSNA_TARIFF_C_HOTVSNA_NUM_DATA_DIFF_COLUMN_MARKER</vt:lpstr>
      <vt:lpstr>HOTVSNA_TARIFF_C_HOTVSNA_NUM_DIAMETERS_COLUMN_MARKER</vt:lpstr>
      <vt:lpstr>HOTVSNA_TARIFF_C_HOTVSNA_NUM_FLAG_DIFF_COLUMN_MARKER</vt:lpstr>
      <vt:lpstr>HOTVSNA_TARIFF_C_HOTVSNA_NUM_GC_COLUMN_MARKER</vt:lpstr>
      <vt:lpstr>HOTVSNA_TARIFF_C_HOTVSNA_NUM_LEN_COLUMN_MARKER</vt:lpstr>
      <vt:lpstr>HOTVSNA_TARIFF_C_HOTVSNA_NUM_LOAD_COLUMN_MARKER</vt:lpstr>
      <vt:lpstr>HOTVSNA_TARIFF_C_HOTVSNA_NUM_NETS_COLUMN_MARKER</vt:lpstr>
      <vt:lpstr>HOTVSNA_TARIFF_C_HOTVSNA_NUM_NTAR_COLUMN_MARKER</vt:lpstr>
      <vt:lpstr>HOTVSNA_TARIFF_C_HOTVSNA_NUM_TER_COLUMN_MARKER</vt:lpstr>
      <vt:lpstr>Info_Diff</vt:lpstr>
      <vt:lpstr>Info_Diff1</vt:lpstr>
      <vt:lpstr>Info_FilFlag</vt:lpstr>
      <vt:lpstr>Info_ForMOInListMO</vt:lpstr>
      <vt:lpstr>Info_ForMRInListMO</vt:lpstr>
      <vt:lpstr>Info_ForSKIInListMO</vt:lpstr>
      <vt:lpstr>Info_ForSKINumberInListMO</vt:lpstr>
      <vt:lpstr>Info_NoteStandarts</vt:lpstr>
      <vt:lpstr>Info_NoUpdates</vt:lpstr>
      <vt:lpstr>Info_PeriodInTitle</vt:lpstr>
      <vt:lpstr>Info_PrDiff</vt:lpstr>
      <vt:lpstr>Info_PublicationNotDisclosed</vt:lpstr>
      <vt:lpstr>Info_PublicationPdf</vt:lpstr>
      <vt:lpstr>Info_PublicationWeb</vt:lpstr>
      <vt:lpstr>Info_T_Podkl</vt:lpstr>
      <vt:lpstr>Info_TarName</vt:lpstr>
      <vt:lpstr>Info_TerExcludeHelp_1</vt:lpstr>
      <vt:lpstr>Info_TerExcludeHelp_2</vt:lpstr>
      <vt:lpstr>Info_TitleFil</vt:lpstr>
      <vt:lpstr>Info_TitleFlagCrossSubsidization</vt:lpstr>
      <vt:lpstr>Info_TitleFlagIstPubl</vt:lpstr>
      <vt:lpstr>Info_TitleFlagTwoPartTariff</vt:lpstr>
      <vt:lpstr>Info_TitleGroupRates</vt:lpstr>
      <vt:lpstr>Info_TitleKindPublication</vt:lpstr>
      <vt:lpstr>Info_TitleKindsOfGoods</vt:lpstr>
      <vt:lpstr>Info_TitlePublication</vt:lpstr>
      <vt:lpstr>Info_TitleType</vt:lpstr>
      <vt:lpstr>inn</vt:lpstr>
      <vt:lpstr>IP_CLAIM_LIST</vt:lpstr>
      <vt:lpstr>IP_DETAILED_ADD_HL_EVENT_COLUMN_MARKER</vt:lpstr>
      <vt:lpstr>IP_DETAILED_ADD_HL_IST_FIN_COLUMN_MARKER</vt:lpstr>
      <vt:lpstr>IP_DETAILED_ADD_HL_OBJECT_COLUMN_MARKER</vt:lpstr>
      <vt:lpstr>IP_DETAILED_DATA_KS</vt:lpstr>
      <vt:lpstr>IP_DETAILED_EVENT_MARKER</vt:lpstr>
      <vt:lpstr>IP_DETAILED_EVENT_SUBGROUP_COLUMN_MARKER</vt:lpstr>
      <vt:lpstr>IP_DETAILED_EVENT_SUBGROUP_RANGE_COLUMN_MARKER</vt:lpstr>
      <vt:lpstr>IP_DETAILED_FLAG_KS</vt:lpstr>
      <vt:lpstr>IP_DETAILED_FLAG_OBJECT</vt:lpstr>
      <vt:lpstr>IP_DETAILED_GROUP_MARKER</vt:lpstr>
      <vt:lpstr>IP_DETAILED_IST_FIN_FACT_COLUMN_MARKER</vt:lpstr>
      <vt:lpstr>IP_DETAILED_LIST_IP_ID</vt:lpstr>
      <vt:lpstr>IP_DETAILED_MONTH_FACT_COLUMN_MARKER</vt:lpstr>
      <vt:lpstr>IP_DETAILED_MONTH_PLAN_COLUMN_MARKER</vt:lpstr>
      <vt:lpstr>IP_DETAILED_NAME_EVENT_COLUMN_MARKER</vt:lpstr>
      <vt:lpstr>IP_DETAILED_YEAR_FACT_COLUMN_MARKER</vt:lpstr>
      <vt:lpstr>IP_DETAILED_YEAR_PLAN_COLUMN_MARKER</vt:lpstr>
      <vt:lpstr>IP_FIN_PLAN_LIST_ID_MARKER_ROW</vt:lpstr>
      <vt:lpstr>IP_FIN_PLAN_NAME_IP_MARKER_ROW</vt:lpstr>
      <vt:lpstr>IP_FIN_PLAN_YEAR_MARKER_ROW</vt:lpstr>
      <vt:lpstr>IP_ID</vt:lpstr>
      <vt:lpstr>IP_MAIN_ADD_HL_PROPERTY_COLUMN_MARKER</vt:lpstr>
      <vt:lpstr>IP_MAIN_APPROVAL_DATE</vt:lpstr>
      <vt:lpstr>IP_MAIN_CHANGE_DATE</vt:lpstr>
      <vt:lpstr>IP_MAIN_CLAIM</vt:lpstr>
      <vt:lpstr>IP_MAIN_DATE_PARKING</vt:lpstr>
      <vt:lpstr>IP_MAIN_DELETE_HL_COLUMN_MARKER</vt:lpstr>
      <vt:lpstr>IP_MAIN_DIFFERENTIATION_EVENTS_FLAG</vt:lpstr>
      <vt:lpstr>IP_MAIN_END_DATE</vt:lpstr>
      <vt:lpstr>IP_MAIN_FLAG_KS</vt:lpstr>
      <vt:lpstr>IP_MAIN_FLAG_KS_COLUMN_MARKER</vt:lpstr>
      <vt:lpstr>IP_MAIN_IP_FIN_PLAN_VISIBLE_FLAG</vt:lpstr>
      <vt:lpstr>IP_MAIN_LIST_IP_ID</vt:lpstr>
      <vt:lpstr>IP_MAIN_LIST_NAME_IP</vt:lpstr>
      <vt:lpstr>IP_MAIN_PERIOD_REALIZ_DATE</vt:lpstr>
      <vt:lpstr>IP_MAIN_PR_IP_CHANGE_DATE</vt:lpstr>
      <vt:lpstr>IP_MAIN_PR_IP_DATE</vt:lpstr>
      <vt:lpstr>IP_MAIN_PR_IP_NAME</vt:lpstr>
      <vt:lpstr>IP_MAIN_PR_IP_NUMBER</vt:lpstr>
      <vt:lpstr>IP_MAIN_PR_IP_TYPE</vt:lpstr>
      <vt:lpstr>IP_MAIN_START_DATE</vt:lpstr>
      <vt:lpstr>IP_NAME_FORM</vt:lpstr>
      <vt:lpstr>IP_QRE_ADD_HL_CLAIM_COLUMN_MARKER</vt:lpstr>
      <vt:lpstr>IP_QRE_ADD_HL_COLUMN_MARKER</vt:lpstr>
      <vt:lpstr>IP_QRE_DELETE_HL_COLUMN_MARKER</vt:lpstr>
      <vt:lpstr>IP_QRE_LIST_IP_ID</vt:lpstr>
      <vt:lpstr>IP_QRE_NUM_COLUMN_MARKER</vt:lpstr>
      <vt:lpstr>IP_QRE_OTKO_FEATURES_BLOCK</vt:lpstr>
      <vt:lpstr>IP_QRE_VOTV_FEATURES_BLOCK</vt:lpstr>
      <vt:lpstr>IP_QRE_VSNA_FEATURES_BLOCK</vt:lpstr>
      <vt:lpstr>IP_QRE_WARM_FEATURES_BLOCK</vt:lpstr>
      <vt:lpstr>IST_TE_ID</vt:lpstr>
      <vt:lpstr>kind_group_rates</vt:lpstr>
      <vt:lpstr>kind_group_rates_load</vt:lpstr>
      <vt:lpstr>kind_group_rates_load_ETS</vt:lpstr>
      <vt:lpstr>kind_group_rates_load_filter</vt:lpstr>
      <vt:lpstr>kind_group_rates_load_filter_ETS</vt:lpstr>
      <vt:lpstr>kind_of_activity_WARM</vt:lpstr>
      <vt:lpstr>kind_of_cons</vt:lpstr>
      <vt:lpstr>kind_of_control_method</vt:lpstr>
      <vt:lpstr>kind_of_control_method_filter</vt:lpstr>
      <vt:lpstr>kind_of_data_type</vt:lpstr>
      <vt:lpstr>kind_of_diameters</vt:lpstr>
      <vt:lpstr>kind_of_diameters2</vt:lpstr>
      <vt:lpstr>kind_of_diff</vt:lpstr>
      <vt:lpstr>kind_of_fuel</vt:lpstr>
      <vt:lpstr>kind_of_fuels</vt:lpstr>
      <vt:lpstr>kind_of_heat_transfer</vt:lpstr>
      <vt:lpstr>kind_of_heat_transfer2</vt:lpstr>
      <vt:lpstr>kind_of_heat_transfer3</vt:lpstr>
      <vt:lpstr>kind_of_load</vt:lpstr>
      <vt:lpstr>kind_of_load2</vt:lpstr>
      <vt:lpstr>kind_of_load3</vt:lpstr>
      <vt:lpstr>kind_of_load4</vt:lpstr>
      <vt:lpstr>kind_of_NDS</vt:lpstr>
      <vt:lpstr>kind_of_NDS_tariff</vt:lpstr>
      <vt:lpstr>kind_of_NDS_tariff_people</vt:lpstr>
      <vt:lpstr>kind_of_nets</vt:lpstr>
      <vt:lpstr>kind_of_org_type</vt:lpstr>
      <vt:lpstr>kind_of_power_te_unit</vt:lpstr>
      <vt:lpstr>kind_of_publication</vt:lpstr>
      <vt:lpstr>kind_of_purchase_method</vt:lpstr>
      <vt:lpstr>kind_of_scheme_in</vt:lpstr>
      <vt:lpstr>kind_of_scheme_in2</vt:lpstr>
      <vt:lpstr>kind_of_tariff_unit</vt:lpstr>
      <vt:lpstr>kind_of_unit</vt:lpstr>
      <vt:lpstr>kind_of_volume_te_unit</vt:lpstr>
      <vt:lpstr>kind_of_zak</vt:lpstr>
      <vt:lpstr>KNE_NAME_FORM</vt:lpstr>
      <vt:lpstr>kpp</vt:lpstr>
      <vt:lpstr>LINK_RANGE</vt:lpstr>
      <vt:lpstr>List_H</vt:lpstr>
      <vt:lpstr>List_M</vt:lpstr>
      <vt:lpstr>LIST_MR_MO_OKTMO</vt:lpstr>
      <vt:lpstr>LIST_MR_MO_OKTMO_FILTER</vt:lpstr>
      <vt:lpstr>ListForms</vt:lpstr>
      <vt:lpstr>logical</vt:lpstr>
      <vt:lpstr>MONTH</vt:lpstr>
      <vt:lpstr>MONTH_IP_LIST</vt:lpstr>
      <vt:lpstr>nalog</vt:lpstr>
      <vt:lpstr>name_rates_4</vt:lpstr>
      <vt:lpstr>name_rates_4_filter</vt:lpstr>
      <vt:lpstr>name_rates_8</vt:lpstr>
      <vt:lpstr>name_rates_8_filter</vt:lpstr>
      <vt:lpstr>NameTemplatesInListMO</vt:lpstr>
      <vt:lpstr>NameTemplatesInTitle</vt:lpstr>
      <vt:lpstr>NameTemplatesInTitleList</vt:lpstr>
      <vt:lpstr>NTAR_ID</vt:lpstr>
      <vt:lpstr>OFFER_DPR</vt:lpstr>
      <vt:lpstr>OFFER_METHOD</vt:lpstr>
      <vt:lpstr>OFFER_METHOD_FLAG</vt:lpstr>
      <vt:lpstr>OFFER_TARIFF_A_1</vt:lpstr>
      <vt:lpstr>OFFER_TARIFF_A_2</vt:lpstr>
      <vt:lpstr>OFFER_TARIFF_A_3</vt:lpstr>
      <vt:lpstr>OFFER_TARIFF_A_4</vt:lpstr>
      <vt:lpstr>OFFER_TARIFF_A_5</vt:lpstr>
      <vt:lpstr>OFFER_TARIFF_A_COLDVSNA_1</vt:lpstr>
      <vt:lpstr>OFFER_TARIFF_A_COLDVSNA_2</vt:lpstr>
      <vt:lpstr>OFFER_TARIFF_A_COLDVSNA_3</vt:lpstr>
      <vt:lpstr>OFFER_TARIFF_A_COLDVSNA_4</vt:lpstr>
      <vt:lpstr>OFFER_TARIFF_A_COLDVSNA_5</vt:lpstr>
      <vt:lpstr>OFFER_TARIFF_A_HOTVSNA_1</vt:lpstr>
      <vt:lpstr>OFFER_TARIFF_A_HOTVSNA_2</vt:lpstr>
      <vt:lpstr>OFFER_TARIFF_A_HOTVSNA_3</vt:lpstr>
      <vt:lpstr>OFFER_TARIFF_A_HOTVSNA_4</vt:lpstr>
      <vt:lpstr>OFFER_TARIFF_A_HOTVSNA_5</vt:lpstr>
      <vt:lpstr>OFFER_TARIFF_A_VOTV_1</vt:lpstr>
      <vt:lpstr>OFFER_TARIFF_A_VOTV_2</vt:lpstr>
      <vt:lpstr>OFFER_TARIFF_A_VOTV_3</vt:lpstr>
      <vt:lpstr>OFFER_TARIFF_A_VOTV_4</vt:lpstr>
      <vt:lpstr>OFFER_TARIFF_A_VOTV_5</vt:lpstr>
      <vt:lpstr>OFFER_TARIFF_B_1</vt:lpstr>
      <vt:lpstr>OFFER_TARIFF_B_2</vt:lpstr>
      <vt:lpstr>OFFER_TARIFF_B_3</vt:lpstr>
      <vt:lpstr>OFFER_TARIFF_B_4</vt:lpstr>
      <vt:lpstr>OFFER_TARIFF_B_5</vt:lpstr>
      <vt:lpstr>OFFER_TARIFF_B_COLDVSNA_1</vt:lpstr>
      <vt:lpstr>OFFER_TARIFF_B_COLDVSNA_2</vt:lpstr>
      <vt:lpstr>OFFER_TARIFF_B_COLDVSNA_3</vt:lpstr>
      <vt:lpstr>OFFER_TARIFF_B_COLDVSNA_4</vt:lpstr>
      <vt:lpstr>OFFER_TARIFF_B_COLDVSNA_5</vt:lpstr>
      <vt:lpstr>OFFER_TARIFF_B_HOTVSNA_1</vt:lpstr>
      <vt:lpstr>OFFER_TARIFF_B_HOTVSNA_2</vt:lpstr>
      <vt:lpstr>OFFER_TARIFF_B_HOTVSNA_3</vt:lpstr>
      <vt:lpstr>OFFER_TARIFF_B_HOTVSNA_4</vt:lpstr>
      <vt:lpstr>OFFER_TARIFF_B_HOTVSNA_5</vt:lpstr>
      <vt:lpstr>OFFER_TARIFF_B_VOTV_1</vt:lpstr>
      <vt:lpstr>OFFER_TARIFF_B_VOTV_2</vt:lpstr>
      <vt:lpstr>OFFER_TARIFF_B_VOTV_3</vt:lpstr>
      <vt:lpstr>OFFER_TARIFF_B_VOTV_4</vt:lpstr>
      <vt:lpstr>OFFER_TARIFF_B_VOTV_5</vt:lpstr>
      <vt:lpstr>OFFER_TARIFF_C_1</vt:lpstr>
      <vt:lpstr>OFFER_TARIFF_C_2</vt:lpstr>
      <vt:lpstr>OFFER_TARIFF_C_3</vt:lpstr>
      <vt:lpstr>OFFER_TARIFF_C_4</vt:lpstr>
      <vt:lpstr>OFFER_TARIFF_C_5</vt:lpstr>
      <vt:lpstr>OFFER_TARIFF_C_COLDVSNA_1</vt:lpstr>
      <vt:lpstr>OFFER_TARIFF_C_COLDVSNA_2</vt:lpstr>
      <vt:lpstr>OFFER_TARIFF_C_COLDVSNA_3</vt:lpstr>
      <vt:lpstr>OFFER_TARIFF_C_COLDVSNA_4</vt:lpstr>
      <vt:lpstr>OFFER_TARIFF_C_COLDVSNA_5</vt:lpstr>
      <vt:lpstr>OFFER_TARIFF_C_HOTVSNA_1</vt:lpstr>
      <vt:lpstr>OFFER_TARIFF_C_HOTVSNA_2</vt:lpstr>
      <vt:lpstr>OFFER_TARIFF_C_HOTVSNA_3</vt:lpstr>
      <vt:lpstr>OFFER_TARIFF_C_HOTVSNA_4</vt:lpstr>
      <vt:lpstr>OFFER_TARIFF_C_HOTVSNA_5</vt:lpstr>
      <vt:lpstr>OFFER_TARIFF_C_VOTV_1</vt:lpstr>
      <vt:lpstr>OFFER_TARIFF_C_VOTV_2</vt:lpstr>
      <vt:lpstr>OFFER_TARIFF_C_VOTV_3</vt:lpstr>
      <vt:lpstr>OFFER_TARIFF_C_VOTV_4</vt:lpstr>
      <vt:lpstr>OFFER_TARIFF_C_VOTV_5</vt:lpstr>
      <vt:lpstr>OFFER_TARIFF_D_1</vt:lpstr>
      <vt:lpstr>OFFER_TARIFF_D_2</vt:lpstr>
      <vt:lpstr>OFFER_TARIFF_D_3</vt:lpstr>
      <vt:lpstr>OFFER_TARIFF_D_4</vt:lpstr>
      <vt:lpstr>OFFER_TARIFF_D_5</vt:lpstr>
      <vt:lpstr>OFFER_TARIFF_D_COLDVSNA_1</vt:lpstr>
      <vt:lpstr>OFFER_TARIFF_D_COLDVSNA_2</vt:lpstr>
      <vt:lpstr>OFFER_TARIFF_D_COLDVSNA_3</vt:lpstr>
      <vt:lpstr>OFFER_TARIFF_D_COLDVSNA_4</vt:lpstr>
      <vt:lpstr>OFFER_TARIFF_D_COLDVSNA_5</vt:lpstr>
      <vt:lpstr>OFFER_TARIFF_E_COLDVSNA_1</vt:lpstr>
      <vt:lpstr>OFFER_TARIFF_E_COLDVSNA_2</vt:lpstr>
      <vt:lpstr>OFFER_TARIFF_E_COLDVSNA_3</vt:lpstr>
      <vt:lpstr>OFFER_TARIFF_E_COLDVSNA_4</vt:lpstr>
      <vt:lpstr>OFFER_TARIFF_E_COLDVSNA_5</vt:lpstr>
      <vt:lpstr>OFFER_TARIFF_E1_1</vt:lpstr>
      <vt:lpstr>OFFER_TARIFF_E1_2</vt:lpstr>
      <vt:lpstr>OFFER_TARIFF_E1_3</vt:lpstr>
      <vt:lpstr>OFFER_TARIFF_E1_4</vt:lpstr>
      <vt:lpstr>OFFER_TARIFF_E1_5</vt:lpstr>
      <vt:lpstr>OFFER_TARIFF_E2_1</vt:lpstr>
      <vt:lpstr>OFFER_TARIFF_E2_2</vt:lpstr>
      <vt:lpstr>OFFER_TARIFF_E2_3</vt:lpstr>
      <vt:lpstr>OFFER_TARIFF_E2_4</vt:lpstr>
      <vt:lpstr>OFFER_TARIFF_E2_5</vt:lpstr>
      <vt:lpstr>OFFER_TARIFF_F_1</vt:lpstr>
      <vt:lpstr>OFFER_TARIFF_F_2</vt:lpstr>
      <vt:lpstr>OFFER_TARIFF_F_3</vt:lpstr>
      <vt:lpstr>OFFER_TARIFF_F_4</vt:lpstr>
      <vt:lpstr>OFFER_TARIFF_F_5</vt:lpstr>
      <vt:lpstr>OFFER_TARIFF_G_1</vt:lpstr>
      <vt:lpstr>OFFER_TARIFF_G_2</vt:lpstr>
      <vt:lpstr>OFFER_TARIFF_G_3</vt:lpstr>
      <vt:lpstr>OFFER_TARIFF_G_4</vt:lpstr>
      <vt:lpstr>OFFER_TARIFF_G_5</vt:lpstr>
      <vt:lpstr>org</vt:lpstr>
      <vt:lpstr>Org_Address</vt:lpstr>
      <vt:lpstr>ORG_END_DATE</vt:lpstr>
      <vt:lpstr>ORG_INFO_DATE_OGRN</vt:lpstr>
      <vt:lpstr>ORG_INFO_DATE_PARKING</vt:lpstr>
      <vt:lpstr>ORG_INFO_DATE_UNI_TS</vt:lpstr>
      <vt:lpstr>ORG_INFO_EMAIL</vt:lpstr>
      <vt:lpstr>ORG_INFO_ET</vt:lpstr>
      <vt:lpstr>ORG_INFO_ET_CYAN</vt:lpstr>
      <vt:lpstr>ORG_INFO_FLAG_INVEST</vt:lpstr>
      <vt:lpstr>ORG_INFO_NAME_FORM</vt:lpstr>
      <vt:lpstr>ORG_INFO_P_NOTE_MAIN</vt:lpstr>
      <vt:lpstr>ORG_INFO_RESP_EMAIL</vt:lpstr>
      <vt:lpstr>ORG_INFO_URL</vt:lpstr>
      <vt:lpstr>Org_main</vt:lpstr>
      <vt:lpstr>ORG_START_DATE</vt:lpstr>
      <vt:lpstr>ORG_TERRITORY_FIRST_MO</vt:lpstr>
      <vt:lpstr>ORG_TERRITORY_FLAG_INTERNET</vt:lpstr>
      <vt:lpstr>ORG_TERRITORY_LINK</vt:lpstr>
      <vt:lpstr>ORG_TERRITORY_NAME_COL</vt:lpstr>
      <vt:lpstr>ORG_TERRITORY_POINT_NUMBER_1</vt:lpstr>
      <vt:lpstr>ORG_VD_EM</vt:lpstr>
      <vt:lpstr>ORG_VD_FIRST_ROW</vt:lpstr>
      <vt:lpstr>ORG_VD_FIRST_SYSTEM</vt:lpstr>
      <vt:lpstr>ORG_VD_NAME_FORM</vt:lpstr>
      <vt:lpstr>ORG_VD_SYSTEM</vt:lpstr>
      <vt:lpstr>ORG_VD_TKO_ADD_HL_ACTIVITY_COLUMN_MARKER</vt:lpstr>
      <vt:lpstr>ORG_VD_TKO_ADD_HL_TYPE_OBJECT_COLUMN_MARKER</vt:lpstr>
      <vt:lpstr>ORG_VD_TKO_DEL_HL_ACTIVITY_COLUMN_MARKER</vt:lpstr>
      <vt:lpstr>ORG_VD_TKO_DEL_HL_TYPE_OBJECT_COLUMN_MARKER</vt:lpstr>
      <vt:lpstr>ORG_VD_TKO_VD</vt:lpstr>
      <vt:lpstr>ORG_VD_TKO_VD_ID</vt:lpstr>
      <vt:lpstr>ORG_VD_VD</vt:lpstr>
      <vt:lpstr>ORG_VD_VD_ID</vt:lpstr>
      <vt:lpstr>OTKO_FIN_SRC_LIST</vt:lpstr>
      <vt:lpstr>OTKO_FIN_SRC_VLD_LIST</vt:lpstr>
      <vt:lpstr>OTKO_IP_EVENT_CI_STAGE_LIST</vt:lpstr>
      <vt:lpstr>OTKO_IP_EVENT_GROUP_LIST</vt:lpstr>
      <vt:lpstr>OTKO_IP_EVENT_TYPE_LIST</vt:lpstr>
      <vt:lpstr>otv_lico_name</vt:lpstr>
      <vt:lpstr>P_T_TERMS_LINK</vt:lpstr>
      <vt:lpstr>pCng_P_T_TERMS_1</vt:lpstr>
      <vt:lpstr>pCng_P_T_TERMS_2</vt:lpstr>
      <vt:lpstr>pCng_P_T_TERMS_3</vt:lpstr>
      <vt:lpstr>pCng_P_T_TERMS_4</vt:lpstr>
      <vt:lpstr>pDel_CHANGE_INFO</vt:lpstr>
      <vt:lpstr>pDel_Comm</vt:lpstr>
      <vt:lpstr>pDel_DIFFERENTIATION_AREA</vt:lpstr>
      <vt:lpstr>pDel_DIFFERENTIATION_SYSTEM</vt:lpstr>
      <vt:lpstr>pDel_DIFFERENTIATION_VD</vt:lpstr>
      <vt:lpstr>pDel_ED</vt:lpstr>
      <vt:lpstr>pDel_IP_DETAILED_EVENT</vt:lpstr>
      <vt:lpstr>pDel_IP_DETAILED_IST_FIN</vt:lpstr>
      <vt:lpstr>pDel_IP_DETAILED_OBJECT</vt:lpstr>
      <vt:lpstr>pDel_IP_MAIN</vt:lpstr>
      <vt:lpstr>pDel_IP_MAIN_PROPERTY</vt:lpstr>
      <vt:lpstr>pDel_IP_QRE_CLAIM</vt:lpstr>
      <vt:lpstr>pDel_List07</vt:lpstr>
      <vt:lpstr>pDel_LT_AREA</vt:lpstr>
      <vt:lpstr>pDel_LT_MO</vt:lpstr>
      <vt:lpstr>pDel_ORG_INFO</vt:lpstr>
      <vt:lpstr>pDel_ORG_TERRITORY</vt:lpstr>
      <vt:lpstr>pDel_ORG_VD</vt:lpstr>
      <vt:lpstr>pDel_P_PROCEDURE_TC</vt:lpstr>
      <vt:lpstr>pDel_P_T_TERMS</vt:lpstr>
      <vt:lpstr>pDel_Q_LIMIT</vt:lpstr>
      <vt:lpstr>pDel_Q_TP</vt:lpstr>
      <vt:lpstr>pDel_R_B_Purch</vt:lpstr>
      <vt:lpstr>periodEnd</vt:lpstr>
      <vt:lpstr>PeriodIsEmpty</vt:lpstr>
      <vt:lpstr>PeriodIsEmptyList</vt:lpstr>
      <vt:lpstr>periodStart</vt:lpstr>
      <vt:lpstr>pHeader_B_FHD</vt:lpstr>
      <vt:lpstr>pHeader_B_FHD_TKO</vt:lpstr>
      <vt:lpstr>pHeader_B_FHD_TKO_TRANS</vt:lpstr>
      <vt:lpstr>pHeader_B_KNE</vt:lpstr>
      <vt:lpstr>pHeader_Q_LIMIT</vt:lpstr>
      <vt:lpstr>pHeader_Q_PH</vt:lpstr>
      <vt:lpstr>pHeader_Q_TP</vt:lpstr>
      <vt:lpstr>pHeader_ver_B_FHD</vt:lpstr>
      <vt:lpstr>pHeader_ver_B_FHD_TKO</vt:lpstr>
      <vt:lpstr>pHeader_ver_B_FHD_TKO_TRANS</vt:lpstr>
      <vt:lpstr>pHeader_ver_B_KNE</vt:lpstr>
      <vt:lpstr>pHeader_ver_P_PROCEDURE_TC</vt:lpstr>
      <vt:lpstr>pHeader_ver_Q_LIMIT</vt:lpstr>
      <vt:lpstr>pIns_B_FHD_1</vt:lpstr>
      <vt:lpstr>pIns_B_FHD_2</vt:lpstr>
      <vt:lpstr>pIns_B_FHD_3</vt:lpstr>
      <vt:lpstr>pIns_B_FHD_4</vt:lpstr>
      <vt:lpstr>pIns_B_FHD_5</vt:lpstr>
      <vt:lpstr>pIns_B_FHD_6</vt:lpstr>
      <vt:lpstr>pIns_B_FHD_DIFFERENTIATION</vt:lpstr>
      <vt:lpstr>pIns_B_FHD_TKO_2</vt:lpstr>
      <vt:lpstr>pIns_B_FHD_TKO_DIFFERENTIATION</vt:lpstr>
      <vt:lpstr>pIns_B_FHD_TKO_TRANS_2</vt:lpstr>
      <vt:lpstr>pIns_B_FHD_TKO_TRANS_DIFFERENTIATION</vt:lpstr>
      <vt:lpstr>pIns_B_FHD20_DIFFERENTIATION</vt:lpstr>
      <vt:lpstr>pIns_B_KNE_DIFFERENTIATION</vt:lpstr>
      <vt:lpstr>pIns_CHANGE_INFO</vt:lpstr>
      <vt:lpstr>pIns_Comm</vt:lpstr>
      <vt:lpstr>pIns_ED</vt:lpstr>
      <vt:lpstr>pIns_IP_DETAILED</vt:lpstr>
      <vt:lpstr>pIns_IP_FIN_PLAN</vt:lpstr>
      <vt:lpstr>pIns_IP_MAIN</vt:lpstr>
      <vt:lpstr>pIns_IP_QRE</vt:lpstr>
      <vt:lpstr>pIns_List07</vt:lpstr>
      <vt:lpstr>pIns_LT_AREA</vt:lpstr>
      <vt:lpstr>pIns_ORG_INFO_1</vt:lpstr>
      <vt:lpstr>pIns_ORG_INFO_2</vt:lpstr>
      <vt:lpstr>pIns_ORG_INFO_3</vt:lpstr>
      <vt:lpstr>pIns_ORG_TERRITORY</vt:lpstr>
      <vt:lpstr>pIns_ORG_VD_1</vt:lpstr>
      <vt:lpstr>pIns_ORG_VD_2</vt:lpstr>
      <vt:lpstr>pIns_ORG_VD_TKO_1</vt:lpstr>
      <vt:lpstr>pIns_P_PROCEDURE_TC_1</vt:lpstr>
      <vt:lpstr>pIns_P_PROCEDURE_TC_2</vt:lpstr>
      <vt:lpstr>pIns_P_PROCEDURE_TC_3</vt:lpstr>
      <vt:lpstr>pIns_P_PROCEDURE_TC_4</vt:lpstr>
      <vt:lpstr>pIns_P_PROCEDURE_TC_5</vt:lpstr>
      <vt:lpstr>pIns_P_T_TERMS_1</vt:lpstr>
      <vt:lpstr>pIns_P_T_TERMS_2</vt:lpstr>
      <vt:lpstr>pIns_P_T_TERMS_3</vt:lpstr>
      <vt:lpstr>pIns_P_T_TERMS_4</vt:lpstr>
      <vt:lpstr>pIns_PT_VTAR_A</vt:lpstr>
      <vt:lpstr>pIns_PT_VTAR_A_COLDVSNA</vt:lpstr>
      <vt:lpstr>pIns_PT_VTAR_A_COLDVSNA_OFFER_1</vt:lpstr>
      <vt:lpstr>pIns_PT_VTAR_A_COLDVSNA_OFFER_2</vt:lpstr>
      <vt:lpstr>pIns_PT_VTAR_A_COLDVSNA_OFFER_3</vt:lpstr>
      <vt:lpstr>pIns_PT_VTAR_A_COLDVSNA_OFFER_4</vt:lpstr>
      <vt:lpstr>pIns_PT_VTAR_A_COLDVSNA_OFFER_5</vt:lpstr>
      <vt:lpstr>pIns_PT_VTAR_A_COLDVSNA_OFFER5</vt:lpstr>
      <vt:lpstr>pIns_PT_VTAR_A_HOTVSNA</vt:lpstr>
      <vt:lpstr>pIns_PT_VTAR_A_HOTVSNA_OFFER_1</vt:lpstr>
      <vt:lpstr>pIns_PT_VTAR_A_HOTVSNA_OFFER_2</vt:lpstr>
      <vt:lpstr>pIns_PT_VTAR_A_HOTVSNA_OFFER_3</vt:lpstr>
      <vt:lpstr>pIns_PT_VTAR_A_HOTVSNA_OFFER_4</vt:lpstr>
      <vt:lpstr>pIns_PT_VTAR_A_HOTVSNA_OFFER_5</vt:lpstr>
      <vt:lpstr>pIns_PT_VTAR_A_OFFER_1</vt:lpstr>
      <vt:lpstr>pIns_PT_VTAR_A_OFFER_2</vt:lpstr>
      <vt:lpstr>pIns_PT_VTAR_A_OFFER_3</vt:lpstr>
      <vt:lpstr>pIns_PT_VTAR_A_OFFER_4</vt:lpstr>
      <vt:lpstr>pIns_PT_VTAR_A_OFFER_5</vt:lpstr>
      <vt:lpstr>pIns_PT_VTAR_A_VOTV</vt:lpstr>
      <vt:lpstr>pIns_PT_VTAR_A_VOTV_OFFER_1</vt:lpstr>
      <vt:lpstr>pIns_PT_VTAR_A_VOTV_OFFER_2</vt:lpstr>
      <vt:lpstr>pIns_PT_VTAR_A_VOTV_OFFER_3</vt:lpstr>
      <vt:lpstr>pIns_PT_VTAR_A_VOTV_OFFER_4</vt:lpstr>
      <vt:lpstr>pIns_PT_VTAR_A_VOTV_OFFER_5</vt:lpstr>
      <vt:lpstr>pIns_PT_VTAR_B</vt:lpstr>
      <vt:lpstr>pIns_PT_VTAR_B_COLDVSNA</vt:lpstr>
      <vt:lpstr>pIns_PT_VTAR_B_COLDVSNA_OFFER_1</vt:lpstr>
      <vt:lpstr>pIns_PT_VTAR_B_COLDVSNA_OFFER_2</vt:lpstr>
      <vt:lpstr>pIns_PT_VTAR_B_COLDVSNA_OFFER_3</vt:lpstr>
      <vt:lpstr>pIns_PT_VTAR_B_COLDVSNA_OFFER_4</vt:lpstr>
      <vt:lpstr>pIns_PT_VTAR_B_COLDVSNA_OFFER_5</vt:lpstr>
      <vt:lpstr>pIns_PT_VTAR_B_HOTVSNA</vt:lpstr>
      <vt:lpstr>pIns_PT_VTAR_B_HOTVSNA_OFFER_1</vt:lpstr>
      <vt:lpstr>pIns_PT_VTAR_B_HOTVSNA_OFFER_2</vt:lpstr>
      <vt:lpstr>pIns_PT_VTAR_B_HOTVSNA_OFFER_3</vt:lpstr>
      <vt:lpstr>pIns_PT_VTAR_B_HOTVSNA_OFFER_4</vt:lpstr>
      <vt:lpstr>pIns_PT_VTAR_B_HOTVSNA_OFFER_5</vt:lpstr>
      <vt:lpstr>pIns_PT_VTAR_B_OFFER_1</vt:lpstr>
      <vt:lpstr>pIns_PT_VTAR_B_OFFER_2</vt:lpstr>
      <vt:lpstr>pIns_PT_VTAR_B_OFFER_3</vt:lpstr>
      <vt:lpstr>pIns_PT_VTAR_B_OFFER_4</vt:lpstr>
      <vt:lpstr>pIns_PT_VTAR_B_OFFER_5</vt:lpstr>
      <vt:lpstr>pIns_PT_VTAR_B_VOTV</vt:lpstr>
      <vt:lpstr>pIns_PT_VTAR_B_VOTV_OFFER_1</vt:lpstr>
      <vt:lpstr>pIns_PT_VTAR_B_VOTV_OFFER_2</vt:lpstr>
      <vt:lpstr>pIns_PT_VTAR_B_VOTV_OFFER_3</vt:lpstr>
      <vt:lpstr>pIns_PT_VTAR_B_VOTV_OFFER_4</vt:lpstr>
      <vt:lpstr>pIns_PT_VTAR_B_VOTV_OFFER_5</vt:lpstr>
      <vt:lpstr>pIns_PT_VTAR_C</vt:lpstr>
      <vt:lpstr>pIns_PT_VTAR_C_COLDVSNA</vt:lpstr>
      <vt:lpstr>pIns_PT_VTAR_C_COLDVSNA_OFFER_1</vt:lpstr>
      <vt:lpstr>pIns_PT_VTAR_C_COLDVSNA_OFFER_2</vt:lpstr>
      <vt:lpstr>pIns_PT_VTAR_C_COLDVSNA_OFFER_3</vt:lpstr>
      <vt:lpstr>pIns_PT_VTAR_C_COLDVSNA_OFFER_4</vt:lpstr>
      <vt:lpstr>pIns_PT_VTAR_C_COLDVSNA_OFFER_5</vt:lpstr>
      <vt:lpstr>pIns_PT_VTAR_C_HOTVSNA</vt:lpstr>
      <vt:lpstr>pIns_PT_VTAR_C_HOTVSNA_OFFER_1</vt:lpstr>
      <vt:lpstr>pIns_PT_VTAR_C_HOTVSNA_OFFER_2</vt:lpstr>
      <vt:lpstr>pIns_PT_VTAR_C_HOTVSNA_OFFER_3</vt:lpstr>
      <vt:lpstr>pIns_PT_VTAR_C_HOTVSNA_OFFER_4</vt:lpstr>
      <vt:lpstr>pIns_PT_VTAR_C_HOTVSNA_OFFER_5</vt:lpstr>
      <vt:lpstr>pIns_PT_VTAR_C_OFFER_1</vt:lpstr>
      <vt:lpstr>pIns_PT_VTAR_C_OFFER_2</vt:lpstr>
      <vt:lpstr>pIns_PT_VTAR_C_OFFER_3</vt:lpstr>
      <vt:lpstr>pIns_PT_VTAR_C_OFFER_4</vt:lpstr>
      <vt:lpstr>pIns_PT_VTAR_C_OFFER_5</vt:lpstr>
      <vt:lpstr>pIns_PT_VTAR_C_VOTV</vt:lpstr>
      <vt:lpstr>pIns_PT_VTAR_C_VOTV_OFFER_1</vt:lpstr>
      <vt:lpstr>pIns_PT_VTAR_C_VOTV_OFFER_2</vt:lpstr>
      <vt:lpstr>pIns_PT_VTAR_C_VOTV_OFFER_3</vt:lpstr>
      <vt:lpstr>pIns_PT_VTAR_C_VOTV_OFFER_4</vt:lpstr>
      <vt:lpstr>pIns_PT_VTAR_C_VOTV_OFFER_5</vt:lpstr>
      <vt:lpstr>pIns_PT_VTAR_D</vt:lpstr>
      <vt:lpstr>pIns_PT_VTAR_D_COLDVSNA</vt:lpstr>
      <vt:lpstr>pIns_PT_VTAR_D_COLDVSNA_OFFER_1</vt:lpstr>
      <vt:lpstr>pIns_PT_VTAR_D_COLDVSNA_OFFER_2</vt:lpstr>
      <vt:lpstr>pIns_PT_VTAR_D_COLDVSNA_OFFER_3</vt:lpstr>
      <vt:lpstr>pIns_PT_VTAR_D_COLDVSNA_OFFER_4</vt:lpstr>
      <vt:lpstr>pIns_PT_VTAR_D_COLDVSNA_OFFER_5</vt:lpstr>
      <vt:lpstr>pIns_PT_VTAR_D_OFFER_1</vt:lpstr>
      <vt:lpstr>pIns_PT_VTAR_D_OFFER_2</vt:lpstr>
      <vt:lpstr>pIns_PT_VTAR_D_OFFER_3</vt:lpstr>
      <vt:lpstr>pIns_PT_VTAR_D_OFFER_4</vt:lpstr>
      <vt:lpstr>pIns_PT_VTAR_D_OFFER_5</vt:lpstr>
      <vt:lpstr>pIns_PT_VTAR_E_COLDVSNA</vt:lpstr>
      <vt:lpstr>pIns_PT_VTAR_E_COLDVSNA_OFFER_1</vt:lpstr>
      <vt:lpstr>pIns_PT_VTAR_E_COLDVSNA_OFFER_2</vt:lpstr>
      <vt:lpstr>pIns_PT_VTAR_E_COLDVSNA_OFFER_3</vt:lpstr>
      <vt:lpstr>pIns_PT_VTAR_E_COLDVSNA_OFFER_4</vt:lpstr>
      <vt:lpstr>pIns_PT_VTAR_E_COLDVSNA_OFFER_5</vt:lpstr>
      <vt:lpstr>pIns_PT_VTAR_E1</vt:lpstr>
      <vt:lpstr>pIns_PT_VTAR_E1_OFFER_1</vt:lpstr>
      <vt:lpstr>pIns_PT_VTAR_E1_OFFER_2</vt:lpstr>
      <vt:lpstr>pIns_PT_VTAR_E1_OFFER_3</vt:lpstr>
      <vt:lpstr>pIns_PT_VTAR_E1_OFFER_4</vt:lpstr>
      <vt:lpstr>pIns_PT_VTAR_E1_OFFER_5</vt:lpstr>
      <vt:lpstr>pIns_PT_VTAR_E2</vt:lpstr>
      <vt:lpstr>pIns_PT_VTAR_E2_OFFER_1</vt:lpstr>
      <vt:lpstr>pIns_PT_VTAR_E2_OFFER_2</vt:lpstr>
      <vt:lpstr>pIns_PT_VTAR_E2_OFFER_3</vt:lpstr>
      <vt:lpstr>pIns_PT_VTAR_E2_OFFER_4</vt:lpstr>
      <vt:lpstr>pIns_PT_VTAR_E2_OFFER_5</vt:lpstr>
      <vt:lpstr>pIns_PT_VTAR_F</vt:lpstr>
      <vt:lpstr>pIns_PT_VTAR_F_OFFER_1</vt:lpstr>
      <vt:lpstr>pIns_PT_VTAR_F_OFFER_2</vt:lpstr>
      <vt:lpstr>pIns_PT_VTAR_F_OFFER_3</vt:lpstr>
      <vt:lpstr>pIns_PT_VTAR_F_OFFER_4</vt:lpstr>
      <vt:lpstr>pIns_PT_VTAR_F_OFFER_5</vt:lpstr>
      <vt:lpstr>pIns_PT_VTAR_G</vt:lpstr>
      <vt:lpstr>pIns_PT_VTAR_G_OFFER_1</vt:lpstr>
      <vt:lpstr>pIns_PT_VTAR_G_OFFER_2</vt:lpstr>
      <vt:lpstr>pIns_PT_VTAR_G_OFFER_3</vt:lpstr>
      <vt:lpstr>pIns_PT_VTAR_G_OFFER_4</vt:lpstr>
      <vt:lpstr>pIns_PT_VTAR_G_OFFER_5</vt:lpstr>
      <vt:lpstr>pIns_PT_VTAR_H</vt:lpstr>
      <vt:lpstr>pIns_PT_VTAR_I</vt:lpstr>
      <vt:lpstr>pIns_PT_VTAR_I_1</vt:lpstr>
      <vt:lpstr>pIns_Q_LIMIT_1</vt:lpstr>
      <vt:lpstr>pIns_Q_LIMIT_2</vt:lpstr>
      <vt:lpstr>pIns_Q_LIMIT_3</vt:lpstr>
      <vt:lpstr>pIns_Q_LIMIT_4</vt:lpstr>
      <vt:lpstr>pIns_Q_LIMIT_DIFFERENTIATION</vt:lpstr>
      <vt:lpstr>pIns_Q_PH_DIFFERENTIATION</vt:lpstr>
      <vt:lpstr>pIns_Q_TP_1</vt:lpstr>
      <vt:lpstr>pIns_Q_TP_DIFFERENTIATION</vt:lpstr>
      <vt:lpstr>pIns_R_B_Purch_1</vt:lpstr>
      <vt:lpstr>pIns_ROIV_CASE_case</vt:lpstr>
      <vt:lpstr>pIns_ROIV_CASE_PUC_case</vt:lpstr>
      <vt:lpstr>pIns_ROIV_INFO_phone</vt:lpstr>
      <vt:lpstr>pIns_ROIV_ORG_org</vt:lpstr>
      <vt:lpstr>pIns_ROIV_OTV_org</vt:lpstr>
      <vt:lpstr>pIns_ver_COLDVSNA_TARIFF_A_COLDVSNA</vt:lpstr>
      <vt:lpstr>pIns_ver_COLDVSNA_TARIFF_B_COLDVSNA</vt:lpstr>
      <vt:lpstr>pIns_ver_COLDVSNA_TARIFF_C_COLDVSNA</vt:lpstr>
      <vt:lpstr>pIns_ver_COLDVSNA_TARIFF_D_COLDVSNA</vt:lpstr>
      <vt:lpstr>pIns_ver_COLDVSNA_TARIFF_E_COLDVSNA</vt:lpstr>
      <vt:lpstr>pIns_ver_HEAT_TARIFF_A</vt:lpstr>
      <vt:lpstr>pIns_ver_HEAT_TARIFF_B</vt:lpstr>
      <vt:lpstr>pIns_ver_HEAT_TARIFF_C</vt:lpstr>
      <vt:lpstr>pIns_ver_HEAT_TARIFF_D</vt:lpstr>
      <vt:lpstr>pIns_ver_HEAT_TARIFF_E1</vt:lpstr>
      <vt:lpstr>pIns_ver_HEAT_TARIFF_E2</vt:lpstr>
      <vt:lpstr>pIns_ver_HEAT_TARIFF_F</vt:lpstr>
      <vt:lpstr>pIns_ver_HEAT_TARIFF_G</vt:lpstr>
      <vt:lpstr>pIns_ver_HEAT_TARIFF_H</vt:lpstr>
      <vt:lpstr>pIns_ver_HEAT_TARIFF_I</vt:lpstr>
      <vt:lpstr>pIns_ver_HEAT_TARIFF_I_1</vt:lpstr>
      <vt:lpstr>pIns_ver_HOTVSNA_TARIFF_A_HOTVSNA</vt:lpstr>
      <vt:lpstr>pIns_ver_HOTVSNA_TARIFF_B_HOTVSNA</vt:lpstr>
      <vt:lpstr>pIns_ver_HOTVSNA_TARIFF_C_HOTVSNA</vt:lpstr>
      <vt:lpstr>pIns_ver_VOTV_TARIFF_A_VOTV</vt:lpstr>
      <vt:lpstr>pIns_ver_VOTV_TARIFF_B_VOTV</vt:lpstr>
      <vt:lpstr>pIns_ver_VOTV_TARIFF_C_VOTV</vt:lpstr>
      <vt:lpstr>pNote_LIMIT</vt:lpstr>
      <vt:lpstr>pNote_Q_PH</vt:lpstr>
      <vt:lpstr>pNum_Q_LIMIT</vt:lpstr>
      <vt:lpstr>PROCEDURE_TC_NAME_FORM</vt:lpstr>
      <vt:lpstr>PT_ADD_HL_CS_COLUMN_MARKER</vt:lpstr>
      <vt:lpstr>PT_ADD_HL_IST_TE_COLUMN_MARKER</vt:lpstr>
      <vt:lpstr>PT_ADD_HL_NTAR_COLUMN_MARKER</vt:lpstr>
      <vt:lpstr>PT_ADD_HL_TER_COLUMN_MARKER</vt:lpstr>
      <vt:lpstr>PT_ADD_HL_VTAR_COLUMN_MARKER</vt:lpstr>
      <vt:lpstr>pt_cs_1</vt:lpstr>
      <vt:lpstr>pt_cs_10</vt:lpstr>
      <vt:lpstr>pt_cs_11</vt:lpstr>
      <vt:lpstr>pt_cs_12</vt:lpstr>
      <vt:lpstr>pt_cs_13</vt:lpstr>
      <vt:lpstr>pt_cs_14</vt:lpstr>
      <vt:lpstr>pt_cs_15</vt:lpstr>
      <vt:lpstr>pt_cs_16</vt:lpstr>
      <vt:lpstr>pt_cs_17</vt:lpstr>
      <vt:lpstr>pt_cs_18</vt:lpstr>
      <vt:lpstr>pt_cs_19</vt:lpstr>
      <vt:lpstr>pt_cs_2</vt:lpstr>
      <vt:lpstr>pt_cs_20</vt:lpstr>
      <vt:lpstr>pt_cs_21</vt:lpstr>
      <vt:lpstr>pt_cs_21_1</vt:lpstr>
      <vt:lpstr>pt_cs_3</vt:lpstr>
      <vt:lpstr>pt_cs_4</vt:lpstr>
      <vt:lpstr>pt_cs_5</vt:lpstr>
      <vt:lpstr>pt_cs_6</vt:lpstr>
      <vt:lpstr>pt_cs_7</vt:lpstr>
      <vt:lpstr>pt_cs_8</vt:lpstr>
      <vt:lpstr>pt_cs_9</vt:lpstr>
      <vt:lpstr>PT_DEL_HL_CS_COLUMN_MARKER</vt:lpstr>
      <vt:lpstr>PT_DEL_HL_IST_TE_COLUMN_MARKER</vt:lpstr>
      <vt:lpstr>PT_DEL_HL_NTAR_COLUMN_MARKER</vt:lpstr>
      <vt:lpstr>PT_DEL_HL_TER_COLUMN_MARKER</vt:lpstr>
      <vt:lpstr>PT_DEL_HL_VTAR_COLUMN_MARKER</vt:lpstr>
      <vt:lpstr>PT_DIAMETERS_2_LIST</vt:lpstr>
      <vt:lpstr>PT_DIAMETERS_LIST</vt:lpstr>
      <vt:lpstr>PT_DIFFERENTIATION_CS</vt:lpstr>
      <vt:lpstr>PT_DIFFERENTIATION_CS_ID</vt:lpstr>
      <vt:lpstr>PT_DIFFERENTIATION_IST_TE</vt:lpstr>
      <vt:lpstr>PT_DIFFERENTIATION_IST_TE_ID</vt:lpstr>
      <vt:lpstr>PT_DIFFERENTIATION_NTAR</vt:lpstr>
      <vt:lpstr>PT_DIFFERENTIATION_NTAR_ID</vt:lpstr>
      <vt:lpstr>PT_DIFFERENTIATION_NUM_CS</vt:lpstr>
      <vt:lpstr>PT_DIFFERENTIATION_NUM_IST_TE</vt:lpstr>
      <vt:lpstr>PT_DIFFERENTIATION_NUM_NTAR</vt:lpstr>
      <vt:lpstr>PT_DIFFERENTIATION_NUM_TER</vt:lpstr>
      <vt:lpstr>PT_DIFFERENTIATION_TER</vt:lpstr>
      <vt:lpstr>PT_DIFFERENTIATION_TER_ID</vt:lpstr>
      <vt:lpstr>PT_DIFFERENTIATION_VDET</vt:lpstr>
      <vt:lpstr>PT_DIFFERENTIATION_VTAR</vt:lpstr>
      <vt:lpstr>PT_DIFFERENTIATION_VTAR_ID</vt:lpstr>
      <vt:lpstr>PT_FLAG_CS_COLUMN_MARKER</vt:lpstr>
      <vt:lpstr>PT_FLAG_IST_TE_COLUMN_MARKER</vt:lpstr>
      <vt:lpstr>PT_FLAG_TER_COLUMN_MARKER</vt:lpstr>
      <vt:lpstr>PT_FLAG_VTAR_COLUMN_MARKER</vt:lpstr>
      <vt:lpstr>PT_GROUP_CONSUMER_LIST</vt:lpstr>
      <vt:lpstr>pt_ist_te_1</vt:lpstr>
      <vt:lpstr>pt_ist_te_2</vt:lpstr>
      <vt:lpstr>pt_ist_te_20</vt:lpstr>
      <vt:lpstr>pt_ist_te_21</vt:lpstr>
      <vt:lpstr>pt_ist_te_21_1</vt:lpstr>
      <vt:lpstr>pt_ist_te_3</vt:lpstr>
      <vt:lpstr>pt_ist_te_4</vt:lpstr>
      <vt:lpstr>pt_ist_te_5</vt:lpstr>
      <vt:lpstr>pt_ist_te_6</vt:lpstr>
      <vt:lpstr>pt_ist_te_7</vt:lpstr>
      <vt:lpstr>pt_ist_te_8</vt:lpstr>
      <vt:lpstr>PT_LOAD_LIST</vt:lpstr>
      <vt:lpstr>PT_NETS_LIST</vt:lpstr>
      <vt:lpstr>pt_ntar_1</vt:lpstr>
      <vt:lpstr>pt_ntar_10</vt:lpstr>
      <vt:lpstr>pt_ntar_11</vt:lpstr>
      <vt:lpstr>pt_ntar_12</vt:lpstr>
      <vt:lpstr>pt_ntar_13</vt:lpstr>
      <vt:lpstr>pt_ntar_14</vt:lpstr>
      <vt:lpstr>pt_ntar_15</vt:lpstr>
      <vt:lpstr>pt_ntar_16</vt:lpstr>
      <vt:lpstr>pt_ntar_17</vt:lpstr>
      <vt:lpstr>pt_ntar_18</vt:lpstr>
      <vt:lpstr>pt_ntar_19</vt:lpstr>
      <vt:lpstr>pt_ntar_2</vt:lpstr>
      <vt:lpstr>pt_ntar_20</vt:lpstr>
      <vt:lpstr>pt_ntar_21</vt:lpstr>
      <vt:lpstr>pt_ntar_21_1</vt:lpstr>
      <vt:lpstr>pt_ntar_3</vt:lpstr>
      <vt:lpstr>pt_ntar_4</vt:lpstr>
      <vt:lpstr>pt_ntar_5</vt:lpstr>
      <vt:lpstr>pt_ntar_6</vt:lpstr>
      <vt:lpstr>pt_ntar_7</vt:lpstr>
      <vt:lpstr>pt_ntar_8</vt:lpstr>
      <vt:lpstr>pt_ntar_9</vt:lpstr>
      <vt:lpstr>PT_P_FORM_COLDVSNA_4_NAME_FORM</vt:lpstr>
      <vt:lpstr>PT_P_FORM_COLDVSNA_5_NAME_FORM</vt:lpstr>
      <vt:lpstr>PT_P_FORM_HEAT_21_NAME_FORM</vt:lpstr>
      <vt:lpstr>PT_P_FORM_HEAT_22_NAME_FORM</vt:lpstr>
      <vt:lpstr>PT_P_FORM_HEAT_4_NAME_FORM</vt:lpstr>
      <vt:lpstr>PT_P_FORM_HEAT_5_NAME_FORM</vt:lpstr>
      <vt:lpstr>PT_P_FORM_HEAT_6_NAME_FORM</vt:lpstr>
      <vt:lpstr>PT_P_FORM_HEAT_7_NAME_FORM</vt:lpstr>
      <vt:lpstr>PT_P_FORM_HOTVSNA_4_NAME_FORM</vt:lpstr>
      <vt:lpstr>PT_P_FORM_HOTVSNA_5_NAME_FORM</vt:lpstr>
      <vt:lpstr>PT_P_FORM_VOTV_4_NAME_FORM</vt:lpstr>
      <vt:lpstr>PT_P_FORM_VOTV_5_NAME_FORM</vt:lpstr>
      <vt:lpstr>PT_R_FORM_COLDVSNA_16_NAME_FORM</vt:lpstr>
      <vt:lpstr>PT_R_FORM_COLDVSNA_17_NAME_FORM</vt:lpstr>
      <vt:lpstr>PT_R_FORM_HEAT_21_NAME_FORM</vt:lpstr>
      <vt:lpstr>PT_R_FORM_HEAT_22_NAME_FORM</vt:lpstr>
      <vt:lpstr>PT_R_FORM_HEAT_23_NAME_FORM</vt:lpstr>
      <vt:lpstr>PT_R_FORM_HEAT_24_NAME_FORM</vt:lpstr>
      <vt:lpstr>PT_R_FORM_HOTVSNA_16_NAME_FORM</vt:lpstr>
      <vt:lpstr>PT_R_FORM_HOTVSNA_17_NAME_FORM</vt:lpstr>
      <vt:lpstr>PT_R_FORM_VOTV_16_NAME_FORM</vt:lpstr>
      <vt:lpstr>PT_R_FORM_VOTV_17_NAME_FORM</vt:lpstr>
      <vt:lpstr>PT_SCHEME_LIST</vt:lpstr>
      <vt:lpstr>pt_ter_1</vt:lpstr>
      <vt:lpstr>pt_ter_10</vt:lpstr>
      <vt:lpstr>pt_ter_11</vt:lpstr>
      <vt:lpstr>pt_ter_12</vt:lpstr>
      <vt:lpstr>pt_ter_13</vt:lpstr>
      <vt:lpstr>pt_ter_14</vt:lpstr>
      <vt:lpstr>pt_ter_15</vt:lpstr>
      <vt:lpstr>pt_ter_16</vt:lpstr>
      <vt:lpstr>pt_ter_17</vt:lpstr>
      <vt:lpstr>pt_ter_18</vt:lpstr>
      <vt:lpstr>pt_ter_19</vt:lpstr>
      <vt:lpstr>pt_ter_2</vt:lpstr>
      <vt:lpstr>pt_ter_20</vt:lpstr>
      <vt:lpstr>pt_ter_21</vt:lpstr>
      <vt:lpstr>pt_ter_21_1</vt:lpstr>
      <vt:lpstr>pt_ter_3</vt:lpstr>
      <vt:lpstr>pt_ter_4</vt:lpstr>
      <vt:lpstr>pt_ter_5</vt:lpstr>
      <vt:lpstr>pt_ter_6</vt:lpstr>
      <vt:lpstr>pt_ter_7</vt:lpstr>
      <vt:lpstr>pt_ter_8</vt:lpstr>
      <vt:lpstr>pt_ter_9</vt:lpstr>
      <vt:lpstr>PT_TN_LIST</vt:lpstr>
      <vt:lpstr>PT_VDET_COLUMN_MARKER</vt:lpstr>
      <vt:lpstr>PURCH_NAME_FORM</vt:lpstr>
      <vt:lpstr>Q_LIMIT_CheckC</vt:lpstr>
      <vt:lpstr>Q_LIMIT_diff_1</vt:lpstr>
      <vt:lpstr>Q_LIMIT_p3</vt:lpstr>
      <vt:lpstr>Q_LIMIT_p4</vt:lpstr>
      <vt:lpstr>Q_PH_diff_1</vt:lpstr>
      <vt:lpstr>Q_TP_COUNT_REFUSAL</vt:lpstr>
      <vt:lpstr>Q_TP_diff_1</vt:lpstr>
      <vt:lpstr>QRE_METHOD_LIST</vt:lpstr>
      <vt:lpstr>QUARTER</vt:lpstr>
      <vt:lpstr>R_OFFER_ADD_PERIOD_HL_COLUMN_MARKER</vt:lpstr>
      <vt:lpstr>R_OFFER_CHANGE_HL_COLUMN_MARKER</vt:lpstr>
      <vt:lpstr>R_OFFER_DEL_HL_COLUMN_MARKER</vt:lpstr>
      <vt:lpstr>R_OFFER_FLAG_HL_COLUMN_MARKER</vt:lpstr>
      <vt:lpstr>REESTR_LINK_RANGE</vt:lpstr>
      <vt:lpstr>REESTR_VT_RANGE</vt:lpstr>
      <vt:lpstr>REGION</vt:lpstr>
      <vt:lpstr>region_name</vt:lpstr>
      <vt:lpstr>RegulatoryPeriod</vt:lpstr>
      <vt:lpstr>ReportPeriod</vt:lpstr>
      <vt:lpstr>ROIV_CASE_ADD_HL_CASE_COLUMN_MARKER</vt:lpstr>
      <vt:lpstr>ROIV_CASE_DATE</vt:lpstr>
      <vt:lpstr>ROIV_CASE_DEL_HL_CASE_COLUMN_MARKER</vt:lpstr>
      <vt:lpstr>ROIV_CASE_NUM_CASE_COLUMN_MARKER</vt:lpstr>
      <vt:lpstr>ROIV_CASE_PROTOKOL</vt:lpstr>
      <vt:lpstr>ROIV_CASE_PROTOKOL_ET</vt:lpstr>
      <vt:lpstr>ROIV_CASE_PUC_ADD_HL_CASE_COLUMN_MARKER</vt:lpstr>
      <vt:lpstr>ROIV_CASE_PUC_DATE</vt:lpstr>
      <vt:lpstr>ROIV_CASE_PUC_DEL_HL_CASE_COLUMN_MARKER</vt:lpstr>
      <vt:lpstr>ROIV_CASE_PUC_NUM_CASE_COLUMN_MARKER</vt:lpstr>
      <vt:lpstr>ROIV_CASE_PUC_PROTOKOL</vt:lpstr>
      <vt:lpstr>ROIV_CASE_PUC_PROTOKOL_ET</vt:lpstr>
      <vt:lpstr>ROIV_CASE_PUC_RESH</vt:lpstr>
      <vt:lpstr>ROIV_CASE_PUC_RESH_ET</vt:lpstr>
      <vt:lpstr>ROIV_CASE_RESH</vt:lpstr>
      <vt:lpstr>ROIV_CASE_RESH_ET</vt:lpstr>
      <vt:lpstr>ROIV_INFO_COMMENT</vt:lpstr>
      <vt:lpstr>ROIV_INFO_COMMENT_HEAT</vt:lpstr>
      <vt:lpstr>ROIV_INFO_COMMENT_NO_HEAT</vt:lpstr>
      <vt:lpstr>ROIV_INFO_DEL_HL_PHONE_COLUMN_MARKER</vt:lpstr>
      <vt:lpstr>ROIV_INFO_DOKLAD</vt:lpstr>
      <vt:lpstr>ROIV_INFO_LIST</vt:lpstr>
      <vt:lpstr>ROIV_INFO_LIST_HEAT</vt:lpstr>
      <vt:lpstr>ROIV_INFO_LIST_NO_HEAT</vt:lpstr>
      <vt:lpstr>ROIV_INFO_NAME</vt:lpstr>
      <vt:lpstr>ROIV_INFO_NUM_PHONE_COLUMN_MARKER</vt:lpstr>
      <vt:lpstr>ROIV_ORG_DEL_HL_ORG_COLUMN_MARKER</vt:lpstr>
      <vt:lpstr>ROIV_ORG_INN_COLUMN_MARKER</vt:lpstr>
      <vt:lpstr>ROIV_ORG_KPP_COLUMN_MARKER</vt:lpstr>
      <vt:lpstr>ROIV_ORG_NAME_ORG_COLUMN_MARKER</vt:lpstr>
      <vt:lpstr>ROIV_ORG_NUM_ORG_COLUMN_MARKER</vt:lpstr>
      <vt:lpstr>ROIV_ORG_TECH_ORG_ID_COLUMN_MARKER</vt:lpstr>
      <vt:lpstr>ROIV_OTV_ADD_HL_DL_COLUMN_MARKER</vt:lpstr>
      <vt:lpstr>ROIV_OTV_DEL_HL_DL_COLUMN_MARKER</vt:lpstr>
      <vt:lpstr>ROIV_OTV_DEL_HL_ORG_COLUMN_MARKER</vt:lpstr>
      <vt:lpstr>ROIV_OTV_INN_COLUMN_MARKER</vt:lpstr>
      <vt:lpstr>ROIV_OTV_NAME_ORG_COLUMN_MARKER</vt:lpstr>
      <vt:lpstr>ROIV_OTV_NUM_DL_COLUMN_MARKER</vt:lpstr>
      <vt:lpstr>ROIV_OTV_NUM_ORG_COLUMN_MARKER</vt:lpstr>
      <vt:lpstr>ROIV_OTV_TECH_ORG_ID_COLUMN_MARKER</vt:lpstr>
      <vt:lpstr>SKI_number</vt:lpstr>
      <vt:lpstr>StartDateList</vt:lpstr>
      <vt:lpstr>TECH_ORG_ID</vt:lpstr>
      <vt:lpstr>TEMPLATE_DATA_POINT</vt:lpstr>
      <vt:lpstr>TEMPLATE_DATA_POINT_FHD</vt:lpstr>
      <vt:lpstr>TEMPLATE_GROUP</vt:lpstr>
      <vt:lpstr>TEMPLATE_NAME_FORM_LIST</vt:lpstr>
      <vt:lpstr>TEMPLATE_NOTE_POINT</vt:lpstr>
      <vt:lpstr>TEMPLATE_NOTE_POINT_FHD</vt:lpstr>
      <vt:lpstr>TEMPLATE_NUMBER_FORM_LIST</vt:lpstr>
      <vt:lpstr>TEMPLATE_NUMBER_POINT_FHD</vt:lpstr>
      <vt:lpstr>TEMPLATE_ORG_DATA_POINT</vt:lpstr>
      <vt:lpstr>TEMPLATE_SPHERE</vt:lpstr>
      <vt:lpstr>TEMPLATE_SPHERE_LIST</vt:lpstr>
      <vt:lpstr>TEMPLATE_SPHERE_LIST_FOR_NOTE</vt:lpstr>
      <vt:lpstr>TEMPLATE_SPHERE_LIST_FOR_NPA</vt:lpstr>
      <vt:lpstr>TEMPLATE_SPHERE_RUS</vt:lpstr>
      <vt:lpstr>TEMPLATE_SPHERE_RUS_2</vt:lpstr>
      <vt:lpstr>TemplateState</vt:lpstr>
      <vt:lpstr>ter_1</vt:lpstr>
      <vt:lpstr>TER_ID</vt:lpstr>
      <vt:lpstr>TERMS_LINK</vt:lpstr>
      <vt:lpstr>TERMS_NAME_FORM</vt:lpstr>
      <vt:lpstr>TERMS_NUM_CONTRACT_COLUMN_MARKER</vt:lpstr>
      <vt:lpstr>TERMS_P_1</vt:lpstr>
      <vt:lpstr>TERMS_TKO_TRANS_DATA</vt:lpstr>
      <vt:lpstr>TERRITORY_CheckC</vt:lpstr>
      <vt:lpstr>TERRITORY_ID</vt:lpstr>
      <vt:lpstr>TERRITORY_LIST_ID</vt:lpstr>
      <vt:lpstr>TERRITORY_MO_LIST</vt:lpstr>
      <vt:lpstr>TERRITORY_MR_LIST</vt:lpstr>
      <vt:lpstr>TERRITORY_NAME_COL</vt:lpstr>
      <vt:lpstr>TERRITORY_POINT_NUMBER_1</vt:lpstr>
      <vt:lpstr>TITLE_BUHG_FLAG</vt:lpstr>
      <vt:lpstr>TITLE_CONNECTION_FLAG</vt:lpstr>
      <vt:lpstr>TITLE_DATA_TYPE</vt:lpstr>
      <vt:lpstr>TITLE_DATE_BUHG</vt:lpstr>
      <vt:lpstr>TITLE_DATE_CHANGE</vt:lpstr>
      <vt:lpstr>TITLE_DATE_CHANGE_PERIOD</vt:lpstr>
      <vt:lpstr>TITLE_DATE_FIL</vt:lpstr>
      <vt:lpstr>TITLE_DATE_PARKING</vt:lpstr>
      <vt:lpstr>TITLE_DATE_PR</vt:lpstr>
      <vt:lpstr>TITLE_DATE_PR_CHANGE</vt:lpstr>
      <vt:lpstr>TITLE_DIFFERENTIATION_TYPE</vt:lpstr>
      <vt:lpstr>TITLE_FIL_YEAR</vt:lpstr>
      <vt:lpstr>TITLE_FLAG_DIFF_SELLER</vt:lpstr>
      <vt:lpstr>TITLE_FLAG_INTERNET</vt:lpstr>
      <vt:lpstr>TITLE_FLAG_IP</vt:lpstr>
      <vt:lpstr>TITLE_FLAG_IP_DETAILED</vt:lpstr>
      <vt:lpstr>TITLE_FLAG_NO_DIFF_COMPONENT</vt:lpstr>
      <vt:lpstr>TITLE_FLAG_NOT_REG_PRICE</vt:lpstr>
      <vt:lpstr>TITLE_FLAG_REG_PRICE_IP</vt:lpstr>
      <vt:lpstr>TITLE_FLAG_TKO_TRANS</vt:lpstr>
      <vt:lpstr>TITLE_FLAG_TOP80_ACTIVITY</vt:lpstr>
      <vt:lpstr>TITLE_HEADER_PR_CHANGE</vt:lpstr>
      <vt:lpstr>TITLE_IP_DETAILED_METHOD_LIST</vt:lpstr>
      <vt:lpstr>TITLE_IST_PUB</vt:lpstr>
      <vt:lpstr>TITLE_IST_PUB_CHANGE</vt:lpstr>
      <vt:lpstr>TITLE_NAME_OR_PR</vt:lpstr>
      <vt:lpstr>TITLE_NAME_OR_PR_CHANGE</vt:lpstr>
      <vt:lpstr>TITLE_NUMBER_PR</vt:lpstr>
      <vt:lpstr>TITLE_NUMBER_PR_CHANGE</vt:lpstr>
      <vt:lpstr>TITLE_PERIOD_END</vt:lpstr>
      <vt:lpstr>TITLE_PERIOD_START</vt:lpstr>
      <vt:lpstr>TITLE_PRICE_INDICATORS_GRAPH</vt:lpstr>
      <vt:lpstr>TITLE_PRICE_INDICATORS_LEVEL</vt:lpstr>
      <vt:lpstr>TITLE_STRUCTURE_INFO_ROIV</vt:lpstr>
      <vt:lpstr>TITLE_TYPE_ORG</vt:lpstr>
      <vt:lpstr>TKO_PT_VED_ID</vt:lpstr>
      <vt:lpstr>TKO_PT_VED_NAME</vt:lpstr>
      <vt:lpstr>TKO_PT_VED_NAME_LIST</vt:lpstr>
      <vt:lpstr>TP_NAME_FORM</vt:lpstr>
      <vt:lpstr>TP_NUMBER_FORM</vt:lpstr>
      <vt:lpstr>TP_P_A</vt:lpstr>
      <vt:lpstr>TP_P_B</vt:lpstr>
      <vt:lpstr>TP_P_G</vt:lpstr>
      <vt:lpstr>TP_P_NOTE_A</vt:lpstr>
      <vt:lpstr>TP_P_NOTE_B</vt:lpstr>
      <vt:lpstr>TP_P_NOTE_G</vt:lpstr>
      <vt:lpstr>TP_P_NOTE_G_1</vt:lpstr>
      <vt:lpstr>TP_P_NOTE_V</vt:lpstr>
      <vt:lpstr>TP_P_NOTE_V_1</vt:lpstr>
      <vt:lpstr>TP_P_V</vt:lpstr>
      <vt:lpstr>TP_P_V_1</vt:lpstr>
      <vt:lpstr>TYPE_TKO_LIST</vt:lpstr>
      <vt:lpstr>UNIT_CONNECT_LIST</vt:lpstr>
      <vt:lpstr>VD_ID_LIST</vt:lpstr>
      <vt:lpstr>VD_LIST</vt:lpstr>
      <vt:lpstr>VD_NAME_LIST</vt:lpstr>
      <vt:lpstr>VDET_END_DATE</vt:lpstr>
      <vt:lpstr>VDET_START_DATE</vt:lpstr>
      <vt:lpstr>version</vt:lpstr>
      <vt:lpstr>VOTV_FIN_SRC_LIST</vt:lpstr>
      <vt:lpstr>VOTV_FIN_SRC_VLD_LIST</vt:lpstr>
      <vt:lpstr>VOTV_IP_EVENT_CI_STAGE_LIST</vt:lpstr>
      <vt:lpstr>VOTV_IP_EVENT_GROUP_LIST</vt:lpstr>
      <vt:lpstr>VOTV_IP_EVENT_SUBGROUP_1_LIST</vt:lpstr>
      <vt:lpstr>VOTV_IP_EVENT_SUBGROUP_3_LIST</vt:lpstr>
      <vt:lpstr>VOTV_IP_EVENT_SUBGROUP_5_LIST</vt:lpstr>
      <vt:lpstr>VOTV_IP_EVENT_TYPE_LIST</vt:lpstr>
      <vt:lpstr>VOTV_PT_VED_ID</vt:lpstr>
      <vt:lpstr>VOTV_PT_VED_NAME</vt:lpstr>
      <vt:lpstr>VOTV_PT_VED_NAME_LIST</vt:lpstr>
      <vt:lpstr>VOTV_TARIFF_A_VOTV_ADD_HL_COLUMN_MARKER</vt:lpstr>
      <vt:lpstr>VOTV_TARIFF_A_VOTV_DEL_HL_DATA_DIFF_COLUMN_MARKER</vt:lpstr>
      <vt:lpstr>VOTV_TARIFF_A_VOTV_DEL_HL_FLAG_DIFF_COLUMN_MARKER</vt:lpstr>
      <vt:lpstr>VOTV_TARIFF_A_VOTV_DEL_HL_GC_COLUMN_MARKER</vt:lpstr>
      <vt:lpstr>VOTV_TARIFF_A_VOTV_DELETE_PERIOD_ROW_MARKER</vt:lpstr>
      <vt:lpstr>VOTV_TARIFF_A_VOTV_FLAG_BLOCK_COLUMN_MARKER</vt:lpstr>
      <vt:lpstr>VOTV_TARIFF_A_VOTV_FLAG_BLOCK_ROW_MARKER</vt:lpstr>
      <vt:lpstr>VOTV_TARIFF_A_VOTV_NUM_CS_COLUMN_MARKER</vt:lpstr>
      <vt:lpstr>VOTV_TARIFF_A_VOTV_NUM_DATA_DIFF_COLUMN_MARKER</vt:lpstr>
      <vt:lpstr>VOTV_TARIFF_A_VOTV_NUM_FLAG_DIFF_COLUMN_MARKER</vt:lpstr>
      <vt:lpstr>VOTV_TARIFF_A_VOTV_NUM_GC_COLUMN_MARKER</vt:lpstr>
      <vt:lpstr>VOTV_TARIFF_A_VOTV_NUM_NTAR_COLUMN_MARKER</vt:lpstr>
      <vt:lpstr>VOTV_TARIFF_A_VOTV_NUM_TER_COLUMN_MARKER</vt:lpstr>
      <vt:lpstr>VOTV_TARIFF_B_VOTV_ADD_HL_COLUMN_MARKER</vt:lpstr>
      <vt:lpstr>VOTV_TARIFF_B_VOTV_DEL_HL_DATA_DIFF_COLUMN_MARKER</vt:lpstr>
      <vt:lpstr>VOTV_TARIFF_B_VOTV_DEL_HL_FLAG_DIFF_COLUMN_MARKER</vt:lpstr>
      <vt:lpstr>VOTV_TARIFF_B_VOTV_DEL_HL_GC_COLUMN_MARKER</vt:lpstr>
      <vt:lpstr>VOTV_TARIFF_B_VOTV_DELETE_PERIOD_ROW_MARKER</vt:lpstr>
      <vt:lpstr>VOTV_TARIFF_B_VOTV_FLAG_BLOCK_COLUMN_MARKER</vt:lpstr>
      <vt:lpstr>VOTV_TARIFF_B_VOTV_FLAG_BLOCK_ROW_MARKER</vt:lpstr>
      <vt:lpstr>VOTV_TARIFF_B_VOTV_NUM_CS_COLUMN_MARKER</vt:lpstr>
      <vt:lpstr>VOTV_TARIFF_B_VOTV_NUM_DATA_DIFF_COLUMN_MARKER</vt:lpstr>
      <vt:lpstr>VOTV_TARIFF_B_VOTV_NUM_FLAG_DIFF_COLUMN_MARKER</vt:lpstr>
      <vt:lpstr>VOTV_TARIFF_B_VOTV_NUM_GC_COLUMN_MARKER</vt:lpstr>
      <vt:lpstr>VOTV_TARIFF_B_VOTV_NUM_NTAR_COLUMN_MARKER</vt:lpstr>
      <vt:lpstr>VOTV_TARIFF_B_VOTV_NUM_TER_COLUMN_MARKER</vt:lpstr>
      <vt:lpstr>VOTV_TARIFF_C_VOTV_ADD_HL_COLUMN_MARKER</vt:lpstr>
      <vt:lpstr>VOTV_TARIFF_C_VOTV_ADD_HL_DIAMETERS_COLUMN_MARKER</vt:lpstr>
      <vt:lpstr>VOTV_TARIFF_C_VOTV_ADD_HL_LEN_COLUMN_MARKER</vt:lpstr>
      <vt:lpstr>VOTV_TARIFF_C_VOTV_ADD_HL_LOAD_COLUMN_MARKER</vt:lpstr>
      <vt:lpstr>VOTV_TARIFF_C_VOTV_ADD_HL_NETS_COLUMN_MARKER</vt:lpstr>
      <vt:lpstr>VOTV_TARIFF_C_VOTV_DEL_HL_DATA_DIFF_COLUMN_MARKER</vt:lpstr>
      <vt:lpstr>VOTV_TARIFF_C_VOTV_DEL_HL_DIAMETERS_COLUMN_MARKER</vt:lpstr>
      <vt:lpstr>VOTV_TARIFF_C_VOTV_DEL_HL_FLAG_DIFF_COLUMN_MARKER</vt:lpstr>
      <vt:lpstr>VOTV_TARIFF_C_VOTV_DEL_HL_GC_COLUMN_MARKER</vt:lpstr>
      <vt:lpstr>VOTV_TARIFF_C_VOTV_DEL_HL_LEN_COLUMN_MARKER</vt:lpstr>
      <vt:lpstr>VOTV_TARIFF_C_VOTV_DEL_HL_LOAD_COLUMN_MARKER</vt:lpstr>
      <vt:lpstr>VOTV_TARIFF_C_VOTV_DEL_HL_NETS_COLUMN_MARKER</vt:lpstr>
      <vt:lpstr>VOTV_TARIFF_C_VOTV_DELETE_PERIOD_ROW_MARKER</vt:lpstr>
      <vt:lpstr>VOTV_TARIFF_C_VOTV_FLAG_BLOCK_COLUMN_MARKER</vt:lpstr>
      <vt:lpstr>VOTV_TARIFF_C_VOTV_FLAG_BLOCK_ROW_MARKER</vt:lpstr>
      <vt:lpstr>VOTV_TARIFF_C_VOTV_NUM_CS_COLUMN_MARKER</vt:lpstr>
      <vt:lpstr>VOTV_TARIFF_C_VOTV_NUM_DATA_DIFF_COLUMN_MARKER</vt:lpstr>
      <vt:lpstr>VOTV_TARIFF_C_VOTV_NUM_DIAMETERS_COLUMN_MARKER</vt:lpstr>
      <vt:lpstr>VOTV_TARIFF_C_VOTV_NUM_FLAG_DIFF_COLUMN_MARKER</vt:lpstr>
      <vt:lpstr>VOTV_TARIFF_C_VOTV_NUM_GC_COLUMN_MARKER</vt:lpstr>
      <vt:lpstr>VOTV_TARIFF_C_VOTV_NUM_LEN_COLUMN_MARKER</vt:lpstr>
      <vt:lpstr>VOTV_TARIFF_C_VOTV_NUM_LOAD_COLUMN_MARKER</vt:lpstr>
      <vt:lpstr>VOTV_TARIFF_C_VOTV_NUM_NETS_COLUMN_MARKER</vt:lpstr>
      <vt:lpstr>VOTV_TARIFF_C_VOTV_NUM_NTAR_COLUMN_MARKER</vt:lpstr>
      <vt:lpstr>VOTV_TARIFF_C_VOTV_NUM_TER_COLUMN_MARKER</vt:lpstr>
      <vt:lpstr>VSNA_FIN_SRC_LIST</vt:lpstr>
      <vt:lpstr>VSNA_FIN_SRC_VLD_LIST</vt:lpstr>
      <vt:lpstr>VSNA_IP_EVENT_CI_STAGE_LIST</vt:lpstr>
      <vt:lpstr>VSNA_IP_EVENT_GROUP_LIST</vt:lpstr>
      <vt:lpstr>VSNA_IP_EVENT_SUBGROUP_1_LIST</vt:lpstr>
      <vt:lpstr>VSNA_IP_EVENT_SUBGROUP_3_LIST</vt:lpstr>
      <vt:lpstr>VSNA_IP_EVENT_SUBGROUP_5_LIST</vt:lpstr>
      <vt:lpstr>VSNA_IP_EVENT_TYPE_LIST</vt:lpstr>
      <vt:lpstr>VTAR_ID</vt:lpstr>
      <vt:lpstr>Y_N_DIFFERENTIATION_AREA</vt:lpstr>
      <vt:lpstr>Y_N_DIFFERENTIATION_SYSTEM</vt:lpstr>
      <vt:lpstr>YEAR_IP_LIST</vt:lpstr>
      <vt:lpstr>year_list</vt:lpstr>
      <vt:lpstr>year_list1</vt:lpstr>
    </vt:vector>
  </TitlesOfParts>
  <Company>ФАС России</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Информация, подлежащая раскрытию организациями сферы теплоснабжения (цены и тарифы)</dc:title>
  <dc:subject>Информация, подлежащая раскрытию организациями сферы теплоснабжения (цены и тарифы)</dc:subject>
  <dc:creator>--</dc:creator>
  <dc:description/>
  <cp:lastModifiedBy>-</cp:lastModifiedBy>
  <cp:lastPrinted>2013-08-29T08:11:20Z</cp:lastPrinted>
  <dcterms:created xsi:type="dcterms:W3CDTF">2004-05-21T07:18:45Z</dcterms:created>
  <dcterms:modified xsi:type="dcterms:W3CDTF">2023-11-10T12:28:34Z</dcterms:modified>
</cp:coreProperties>
</file>

<file path=docProps/custom.xml><?xml version="1.0" encoding="utf-8"?>
<Properties xmlns="http://schemas.openxmlformats.org/officeDocument/2006/custom-properties" xmlns:vt="http://schemas.openxmlformats.org/officeDocument/2006/docPropsVTypes"/>
</file>